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C:\Users\Trololololol\Documents\Projects\0_BRZ_PARENT\1_BRZ_HARDWARE\1_BCM_ECU\3_BCM_ECU_revA\"/>
    </mc:Choice>
  </mc:AlternateContent>
  <xr:revisionPtr revIDLastSave="0" documentId="13_ncr:1_{1E3C46F8-4C7D-478F-9D15-8AC869AD700A}" xr6:coauthVersionLast="47" xr6:coauthVersionMax="47" xr10:uidLastSave="{00000000-0000-0000-0000-000000000000}"/>
  <workbookProtection workbookAlgorithmName="SHA-512" workbookHashValue="9Tu4NBv68gmIzXyJYbUSzn8PsZr1TFCYodfdXFLY1IFFgROBuyYld0CXgEClOR7X+OH+rO3M4mpmiuMjhvlEHw==" workbookSaltValue="EUSOMyJ7N4N2o3mpQWAtPA==" workbookSpinCount="100000" lockStructure="1"/>
  <bookViews>
    <workbookView xWindow="-120" yWindow="-120" windowWidth="38640" windowHeight="21120" xr2:uid="{00000000-000D-0000-FFFF-FFFF00000000}"/>
  </bookViews>
  <sheets>
    <sheet name="Design Converter" sheetId="1" r:id="rId1"/>
    <sheet name="Variable_Management" sheetId="2" state="hidden" r:id="rId2"/>
    <sheet name="Eff_vs_IOUT" sheetId="4" state="hidden" r:id="rId3"/>
    <sheet name="Loop_Modeling" sheetId="5" state="hidden" r:id="rId4"/>
    <sheet name="Constants" sheetId="3" state="hidden" r:id="rId5"/>
    <sheet name="Plot_Management_Eff" sheetId="6" state="hidden" r:id="rId6"/>
    <sheet name="Plot_Management_Sch" sheetId="7" state="hidden" r:id="rId7"/>
    <sheet name="Lists" sheetId="8" state="hidden" r:id="rId8"/>
    <sheet name="Sheet1" sheetId="9" state="hidden" r:id="rId9"/>
  </sheets>
  <definedNames>
    <definedName name="Acs">Constants!$B$33</definedName>
    <definedName name="Adc">Loop_Modeling!$B$38</definedName>
    <definedName name="Adc_ea">Loop_Modeling!$B$62</definedName>
    <definedName name="ADC_VINmin">Variable_Management!$B$160</definedName>
    <definedName name="CCOMP">Variable_Management!$B$225</definedName>
    <definedName name="CCOMP_Calc">Variable_Management!$B$224</definedName>
    <definedName name="CCOMP_calc_CCM">Variable_Management!$B$189</definedName>
    <definedName name="CCOMP_CALC_DCM">Variable_Management!$B$215</definedName>
    <definedName name="CHF">Variable_Management!$B$227</definedName>
    <definedName name="CHF_calc">Variable_Management!$B$226</definedName>
    <definedName name="CHF_CALC_CCM">Variable_Management!$B$190</definedName>
    <definedName name="CHF_CALC_DCM">Variable_Management!$B$216</definedName>
    <definedName name="Comp_calc_CCM">Variable_Management!$B$189</definedName>
    <definedName name="Cout">Variable_Management!$B$110</definedName>
    <definedName name="Cout_min">Variable_Management!$B$108</definedName>
    <definedName name="D_limit_max">Constants!$B$18</definedName>
    <definedName name="D_limit_min">Constants!$B$16</definedName>
    <definedName name="D_limit_nom">Constants!$B$17</definedName>
    <definedName name="DC_DCM_max">Variable_Management!$B$39</definedName>
    <definedName name="Dc_max_IC">Variable_Management!$B$23</definedName>
    <definedName name="Dc_max_ideal">Variable_Management!$A$22</definedName>
    <definedName name="DC_rip">Variable_Management!$B$32</definedName>
    <definedName name="Dc_rip_max">Variable_Management!$B$31</definedName>
    <definedName name="Dc_VIN_max">Variable_Management!$B$71</definedName>
    <definedName name="Dc_VIN_min">Variable_Management!$B$55</definedName>
    <definedName name="Dc_VIN_nom">Variable_Management!$B$63</definedName>
    <definedName name="DC_VIN_var_DCM">Loop_Modeling!$B$70</definedName>
    <definedName name="EFF_est">Variable_Management!$B$16</definedName>
    <definedName name="Eff_vs_IOUT">Plot_Management_Eff!$C$3</definedName>
    <definedName name="fcross">Variable_Management!$B$220</definedName>
    <definedName name="fcross_est">Variable_Management!$B$219</definedName>
    <definedName name="fp_ea_est">Variable_Management!$B$182</definedName>
    <definedName name="Fsw">Variable_Management!$B$10</definedName>
    <definedName name="fz_ea_est">Variable_Management!$B$181</definedName>
    <definedName name="fz_rhp">Variable_Management!$B$169</definedName>
    <definedName name="Gcomp">Constants!$B$32</definedName>
    <definedName name="Gea_mid_calc">Variable_Management!#REF!</definedName>
    <definedName name="gfs">Variable_Management!$B$243</definedName>
    <definedName name="gm_ea">Constants!$B$37</definedName>
    <definedName name="Gplant_fc_dB">Loop_Modeling!$AD$7</definedName>
    <definedName name="IIN_33">Variable_Management!$B$35</definedName>
    <definedName name="IL_avg_VIN_max">Variable_Management!$B$73</definedName>
    <definedName name="IL_avg_VIN_min">Variable_Management!$B$57</definedName>
    <definedName name="IL_avg_VIN_nom">Variable_Management!$B$65</definedName>
    <definedName name="IL_pk">Variable_Management!$B$94</definedName>
    <definedName name="IL_pk_max">Variable_Management!$B$95</definedName>
    <definedName name="ILp_VINmax">Variable_Management!$B$75</definedName>
    <definedName name="ILp_VINmin">Variable_Management!$B$59</definedName>
    <definedName name="ILp_VINnom">Variable_Management!$B$67</definedName>
    <definedName name="ILrip">Variable_Management!$B$30</definedName>
    <definedName name="ILrip_VINmax">Variable_Management!$B$74</definedName>
    <definedName name="ILrip_VINmin">Variable_Management!$B$58</definedName>
    <definedName name="ILrip_VINnom">Variable_Management!$B$66</definedName>
    <definedName name="IOUT">Variable_Management!$B$13</definedName>
    <definedName name="IOUT_VAR">Loop_Modeling!$B$17</definedName>
    <definedName name="Ipk_margin">Variable_Management!$B$78</definedName>
    <definedName name="Ipk_selected">Variable_Management!$B$80</definedName>
    <definedName name="IQ">Constants!$B$58</definedName>
    <definedName name="IRMS_COUT">Variable_Management!$B$109</definedName>
    <definedName name="Isl">Constants!$B$26</definedName>
    <definedName name="Iss">Constants!$B$47</definedName>
    <definedName name="Kd">Loop_Modeling!$B$36</definedName>
    <definedName name="Kd_VINmin">Variable_Management!$B$156</definedName>
    <definedName name="Kex">Loop_Modeling!$B$34</definedName>
    <definedName name="Kex_VINmin">Variable_Management!$B$154</definedName>
    <definedName name="Kfb">Variable_Management!$B$139</definedName>
    <definedName name="Kfb_high">Constants!$B$39</definedName>
    <definedName name="Kfb_low">Constants!$B$38</definedName>
    <definedName name="Km">Loop_Modeling!$B$35</definedName>
    <definedName name="Km_VINmin">Variable_Management!$B$155</definedName>
    <definedName name="Kslope">Variable_Management!#REF!</definedName>
    <definedName name="Lm">Variable_Management!$B$47</definedName>
    <definedName name="Lopt">Variable_Management!#REF!</definedName>
    <definedName name="Lopt_2">Variable_Management!$B$36</definedName>
    <definedName name="M_L_DCM">Variable_Management!$B$41</definedName>
    <definedName name="Np">Variable_Management!$B$17</definedName>
    <definedName name="POUT">Variable_Management!$B$15</definedName>
    <definedName name="_xlnm.Print_Area" localSheetId="0">'Design Converter'!$A$1:$Z$97</definedName>
    <definedName name="Q">Loop_Modeling!$B$52</definedName>
    <definedName name="Q_VINmin">Variable_Management!$B$177</definedName>
    <definedName name="Qg_tot">Variable_Management!$B$238</definedName>
    <definedName name="Qg_tot_HS">Variable_Management!$B$255</definedName>
    <definedName name="Qgd">Variable_Management!$B$239</definedName>
    <definedName name="Qgs">Variable_Management!$B$240</definedName>
    <definedName name="Qrr">Variable_Management!$B$263</definedName>
    <definedName name="R_cs">Variable_Management!$B$90</definedName>
    <definedName name="R_sl">Variable_Management!$B$91</definedName>
    <definedName name="RCOMP">Variable_Management!$B$223</definedName>
    <definedName name="RCOMP_Calc">Variable_Management!$B$222</definedName>
    <definedName name="Rcomp_calc_CCM">Variable_Management!$B$188</definedName>
    <definedName name="RCOMP_CALC_DCM">Variable_Management!$B$214</definedName>
    <definedName name="Rcs_max">Variable_Management!$B$83</definedName>
    <definedName name="Rcs_w_sl">Variable_Management!#REF!</definedName>
    <definedName name="Rcs_wo_sl">Variable_Management!$B$84</definedName>
    <definedName name="Rdcr">Variable_Management!$B$48</definedName>
    <definedName name="RDS_on">Variable_Management!$B$237</definedName>
    <definedName name="RDS_on_HS">Variable_Management!$B$254</definedName>
    <definedName name="Resr">Variable_Management!$B$111</definedName>
    <definedName name="RFBB">Variable_Management!$B$147</definedName>
    <definedName name="RFBB_calc">Variable_Management!$B$146</definedName>
    <definedName name="RFBT">Variable_Management!$B$145</definedName>
    <definedName name="Rgate">Variable_Management!$B$241</definedName>
    <definedName name="Rmax">Variable_Management!$B$140</definedName>
    <definedName name="Rmax_high">Constants!$B$41</definedName>
    <definedName name="Rmax_low">Constants!$B$40</definedName>
    <definedName name="Rmin">Variable_Management!$B$141</definedName>
    <definedName name="Rmin_high">Constants!$B$43</definedName>
    <definedName name="Rmin_low">Constants!$B$42</definedName>
    <definedName name="ROUT">Variable_Management!$B$14</definedName>
    <definedName name="Rsl_int">Constants!$B$27</definedName>
    <definedName name="RT">Variable_Management!$B$11</definedName>
    <definedName name="Ruvlo_bottom_calc">Variable_Management!$B$129</definedName>
    <definedName name="Ruvlo_top">Variable_Management!$B$128</definedName>
    <definedName name="Ruvlo_top_calc">Variable_Management!$B$127</definedName>
    <definedName name="SCH">INDIRECT(Plot_Management_Sch!$A$1)</definedName>
    <definedName name="SCH_1">Plot_Management_Sch!$B$2</definedName>
    <definedName name="SCH_2">Plot_Management_Sch!$B$5</definedName>
    <definedName name="SCH_3">Plot_Management_Sch!$B$7</definedName>
    <definedName name="Se_VINmin">Variable_Management!$B$173</definedName>
    <definedName name="Sn_VINmin">Variable_Management!$B$174</definedName>
    <definedName name="t_dead">Constants!$B$24</definedName>
    <definedName name="tf_sw">Variable_Management!$B$250</definedName>
    <definedName name="tr_sw">Variable_Management!$B$249</definedName>
    <definedName name="tss">Variable_Management!$B$118</definedName>
    <definedName name="UV_fall">Constants!$B$51</definedName>
    <definedName name="UV_I_hyst">Constants!$B$52</definedName>
    <definedName name="UV_rise">Constants!$B$50</definedName>
    <definedName name="Vcc">Constants!$B$55</definedName>
    <definedName name="Vcl">Constants!$B$30</definedName>
    <definedName name="Vd_rect">Variable_Management!$B$264</definedName>
    <definedName name="VIN_33">Variable_Management!$B$33</definedName>
    <definedName name="VIN_max">Variable_Management!$B$9</definedName>
    <definedName name="VIN_min">Variable_Management!$B$7</definedName>
    <definedName name="VIN_nom">Variable_Management!$B$8</definedName>
    <definedName name="VIN_op_max">Constants!$B$62</definedName>
    <definedName name="VIN_op_min">Constants!$B$61</definedName>
    <definedName name="VIN_var">Variable_Management!$B$8</definedName>
    <definedName name="VOUT">Variable_Management!$B$12</definedName>
    <definedName name="VOUT_range">Variable_Management!$B$19</definedName>
    <definedName name="Vout_rip_sel">Variable_Management!$B$106</definedName>
    <definedName name="Vref">Constants!$B$36</definedName>
    <definedName name="Vsl">Constants!$B$28</definedName>
    <definedName name="Vth">Variable_Management!$B$244</definedName>
    <definedName name="VTRK">Variable_Management!$B$142</definedName>
    <definedName name="Vuvlo_off">Variable_Management!$B$123</definedName>
    <definedName name="Vuvlo_on">Variable_Management!$B$122</definedName>
    <definedName name="wp_lf">Loop_Modeling!$B$39</definedName>
    <definedName name="wp_lf_DCM">Loop_Modeling!$B$73</definedName>
    <definedName name="wp_lf_VINmin">Variable_Management!$B$162</definedName>
    <definedName name="wp0_ea">Loop_Modeling!$B$64</definedName>
    <definedName name="wp1_ea">Loop_Modeling!$B$65</definedName>
    <definedName name="wsl">Loop_Modeling!$B$51</definedName>
    <definedName name="wsl_VINmin">Variable_Management!$B$176</definedName>
    <definedName name="wz_ea">Loop_Modeling!$B$63</definedName>
    <definedName name="wz_esr">Loop_Modeling!$B$45</definedName>
    <definedName name="wz_esr_VINmin">Variable_Management!$B$165</definedName>
    <definedName name="wz_rhp">Loop_Modeling!$B$42</definedName>
    <definedName name="wz_RHP_VINmin">Variable_Management!$B$168</definedName>
    <definedName name="wz1_dcm">Loop_Modeling!$B$75</definedName>
    <definedName name="wz2_dcm">Loop_Modeling!$B$77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B78" i="2" l="1"/>
  <c r="B24" i="3" l="1"/>
  <c r="B264" i="2"/>
  <c r="B263" i="2"/>
  <c r="B20" i="2"/>
  <c r="B8" i="2"/>
  <c r="T8" i="4" s="1"/>
  <c r="B12" i="2"/>
  <c r="R15" i="4" s="1"/>
  <c r="B7" i="2"/>
  <c r="B3" i="8" s="1"/>
  <c r="B10" i="2"/>
  <c r="B12" i="3"/>
  <c r="B254" i="2"/>
  <c r="R10" i="4"/>
  <c r="R21" i="4"/>
  <c r="R29" i="4"/>
  <c r="R37" i="4"/>
  <c r="R42" i="4"/>
  <c r="R43" i="4"/>
  <c r="R46" i="4"/>
  <c r="R47" i="4"/>
  <c r="R50" i="4"/>
  <c r="R51" i="4"/>
  <c r="R54" i="4"/>
  <c r="R55" i="4"/>
  <c r="T56" i="4"/>
  <c r="AT56" i="4" s="1"/>
  <c r="R58" i="4"/>
  <c r="R59" i="4"/>
  <c r="T62" i="4"/>
  <c r="R62" i="4"/>
  <c r="R63" i="4"/>
  <c r="R64" i="4"/>
  <c r="R75" i="4"/>
  <c r="R76" i="4"/>
  <c r="R78"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7" i="4"/>
  <c r="B244" i="2"/>
  <c r="B256" i="2"/>
  <c r="B257" i="2"/>
  <c r="B258" i="2"/>
  <c r="B261" i="2"/>
  <c r="B255" i="2"/>
  <c r="B262" i="2"/>
  <c r="E143" i="2"/>
  <c r="B128" i="2"/>
  <c r="B123" i="2"/>
  <c r="B122" i="2"/>
  <c r="B52" i="3"/>
  <c r="B126" i="2" s="1"/>
  <c r="B39" i="2"/>
  <c r="F5" i="8"/>
  <c r="F4" i="8"/>
  <c r="F3" i="8"/>
  <c r="B37" i="3"/>
  <c r="B29" i="5"/>
  <c r="B58" i="3"/>
  <c r="B47" i="3"/>
  <c r="B116" i="2" s="1"/>
  <c r="B2" i="6"/>
  <c r="B245" i="2"/>
  <c r="B241" i="2"/>
  <c r="B240" i="2"/>
  <c r="B239" i="2"/>
  <c r="B238" i="2"/>
  <c r="B237" i="2"/>
  <c r="B125" i="2"/>
  <c r="B124" i="2"/>
  <c r="G127" i="2" s="1"/>
  <c r="B118" i="2"/>
  <c r="B220" i="2"/>
  <c r="B180" i="2" s="1"/>
  <c r="O548" i="5"/>
  <c r="O549" i="5"/>
  <c r="O550" i="5"/>
  <c r="O551" i="5"/>
  <c r="O552" i="5"/>
  <c r="O553" i="5"/>
  <c r="O554" i="5"/>
  <c r="O555" i="5"/>
  <c r="O556" i="5"/>
  <c r="O557" i="5"/>
  <c r="O558" i="5"/>
  <c r="O559" i="5"/>
  <c r="O560" i="5"/>
  <c r="O537" i="5"/>
  <c r="O538" i="5"/>
  <c r="O539" i="5"/>
  <c r="O540" i="5"/>
  <c r="O541" i="5"/>
  <c r="O542" i="5"/>
  <c r="O543" i="5"/>
  <c r="O544" i="5"/>
  <c r="O545" i="5"/>
  <c r="O546" i="5"/>
  <c r="O547" i="5"/>
  <c r="O520" i="5"/>
  <c r="O521" i="5"/>
  <c r="O522" i="5"/>
  <c r="O523" i="5"/>
  <c r="O524" i="5"/>
  <c r="O525" i="5"/>
  <c r="O526" i="5"/>
  <c r="O527" i="5"/>
  <c r="O528" i="5"/>
  <c r="O529" i="5"/>
  <c r="O530" i="5"/>
  <c r="O531" i="5"/>
  <c r="O532" i="5"/>
  <c r="O533" i="5"/>
  <c r="O534" i="5"/>
  <c r="O535" i="5"/>
  <c r="O536" i="5"/>
  <c r="O5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4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3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2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1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9" i="5"/>
  <c r="O7" i="5"/>
  <c r="B30" i="5"/>
  <c r="B145" i="2"/>
  <c r="B56" i="5" s="1"/>
  <c r="B147" i="2"/>
  <c r="B57" i="5" s="1"/>
  <c r="B225" i="2"/>
  <c r="B227" i="2"/>
  <c r="B60" i="5" s="1"/>
  <c r="B223" i="2"/>
  <c r="B27" i="5"/>
  <c r="B111" i="2"/>
  <c r="B110" i="2"/>
  <c r="B96" i="2"/>
  <c r="B90" i="2"/>
  <c r="B25" i="5" s="1"/>
  <c r="B26" i="3"/>
  <c r="B28" i="5" s="1"/>
  <c r="B26" i="5"/>
  <c r="B48" i="2"/>
  <c r="B22" i="3"/>
  <c r="B30" i="2"/>
  <c r="B14" i="3"/>
  <c r="B10" i="3"/>
  <c r="B9" i="2"/>
  <c r="B12" i="5" s="1"/>
  <c r="B207" i="2"/>
  <c r="B210" i="2" s="1"/>
  <c r="B19" i="2"/>
  <c r="B48" i="5"/>
  <c r="B106" i="2"/>
  <c r="M8" i="4"/>
  <c r="B170" i="2"/>
  <c r="B19" i="5"/>
  <c r="B11" i="2"/>
  <c r="H14" i="1" s="1"/>
  <c r="R113" i="4" l="1"/>
  <c r="R80" i="4"/>
  <c r="R112" i="4"/>
  <c r="R79" i="4"/>
  <c r="T59" i="4"/>
  <c r="AT59" i="4" s="1"/>
  <c r="B205" i="2"/>
  <c r="O9" i="4"/>
  <c r="B4" i="8"/>
  <c r="B11" i="5"/>
  <c r="T12" i="4"/>
  <c r="AT12" i="4" s="1"/>
  <c r="B16" i="5"/>
  <c r="P15" i="5" s="1"/>
  <c r="B45" i="5"/>
  <c r="B46" i="5" s="1"/>
  <c r="H54" i="1"/>
  <c r="B135" i="2" s="1"/>
  <c r="J49" i="5"/>
  <c r="T9" i="4"/>
  <c r="AT9" i="4" s="1"/>
  <c r="B19" i="3"/>
  <c r="B20" i="3" s="1"/>
  <c r="B23" i="2" s="1"/>
  <c r="H16" i="1" s="1"/>
  <c r="R74" i="4"/>
  <c r="T70" i="4"/>
  <c r="AT70" i="4" s="1"/>
  <c r="T417" i="5"/>
  <c r="B129" i="2"/>
  <c r="O8" i="5"/>
  <c r="T8" i="5" s="1"/>
  <c r="B127" i="2"/>
  <c r="H48" i="1" s="1"/>
  <c r="B13" i="5"/>
  <c r="B51" i="5"/>
  <c r="B176" i="2"/>
  <c r="B173" i="2"/>
  <c r="AT62" i="4"/>
  <c r="AT8" i="4"/>
  <c r="T139" i="4"/>
  <c r="AT139" i="4" s="1"/>
  <c r="T122" i="4"/>
  <c r="AT122" i="4" s="1"/>
  <c r="T138" i="4"/>
  <c r="AT138" i="4" s="1"/>
  <c r="T123" i="4"/>
  <c r="AT123" i="4" s="1"/>
  <c r="T154" i="4"/>
  <c r="AT154" i="4" s="1"/>
  <c r="T151" i="4"/>
  <c r="AT151" i="4" s="1"/>
  <c r="T146" i="4"/>
  <c r="AT146" i="4" s="1"/>
  <c r="T143" i="4"/>
  <c r="AT143" i="4" s="1"/>
  <c r="T134" i="4"/>
  <c r="AT134" i="4" s="1"/>
  <c r="T127" i="4"/>
  <c r="AT127" i="4" s="1"/>
  <c r="T118" i="4"/>
  <c r="AT118" i="4" s="1"/>
  <c r="T100" i="4"/>
  <c r="AT100" i="4" s="1"/>
  <c r="T93" i="4"/>
  <c r="AT93" i="4" s="1"/>
  <c r="T46" i="4"/>
  <c r="AT46" i="4" s="1"/>
  <c r="T40" i="4"/>
  <c r="AT40" i="4" s="1"/>
  <c r="T22" i="4"/>
  <c r="AT22" i="4" s="1"/>
  <c r="T155" i="4"/>
  <c r="AT155" i="4" s="1"/>
  <c r="T150" i="4"/>
  <c r="AT150" i="4" s="1"/>
  <c r="T147" i="4"/>
  <c r="AT147" i="4" s="1"/>
  <c r="T109" i="4"/>
  <c r="AT109" i="4" s="1"/>
  <c r="T84" i="4"/>
  <c r="AT84" i="4" s="1"/>
  <c r="T80" i="4"/>
  <c r="AT80" i="4" s="1"/>
  <c r="T76" i="4"/>
  <c r="AT76" i="4" s="1"/>
  <c r="T43" i="4"/>
  <c r="AT43" i="4" s="1"/>
  <c r="T37" i="4"/>
  <c r="AT37" i="4" s="1"/>
  <c r="T19" i="4"/>
  <c r="AT19" i="4" s="1"/>
  <c r="T7" i="4"/>
  <c r="AT7" i="4" s="1"/>
  <c r="T132" i="4"/>
  <c r="AT132" i="4" s="1"/>
  <c r="T129" i="4"/>
  <c r="AT129" i="4" s="1"/>
  <c r="T116" i="4"/>
  <c r="AT116" i="4" s="1"/>
  <c r="T113" i="4"/>
  <c r="AT113" i="4" s="1"/>
  <c r="T107" i="4"/>
  <c r="AT107" i="4" s="1"/>
  <c r="T91" i="4"/>
  <c r="AT91" i="4" s="1"/>
  <c r="T74" i="4"/>
  <c r="AT74" i="4" s="1"/>
  <c r="T64" i="4"/>
  <c r="AT64" i="4" s="1"/>
  <c r="T51" i="4"/>
  <c r="AT51" i="4" s="1"/>
  <c r="T33" i="4"/>
  <c r="AT33" i="4" s="1"/>
  <c r="T141" i="4"/>
  <c r="AT141" i="4" s="1"/>
  <c r="T136" i="4"/>
  <c r="AT136" i="4" s="1"/>
  <c r="T125" i="4"/>
  <c r="AT125" i="4" s="1"/>
  <c r="T120" i="4"/>
  <c r="AT120" i="4" s="1"/>
  <c r="T102" i="4"/>
  <c r="AT102" i="4" s="1"/>
  <c r="T86" i="4"/>
  <c r="AT86" i="4" s="1"/>
  <c r="T67" i="4"/>
  <c r="AT67" i="4" s="1"/>
  <c r="T54" i="4"/>
  <c r="AT54" i="4" s="1"/>
  <c r="T48" i="4"/>
  <c r="AT48" i="4" s="1"/>
  <c r="T26" i="4"/>
  <c r="AT26" i="4" s="1"/>
  <c r="T15" i="4"/>
  <c r="AT15" i="4" s="1"/>
  <c r="B64" i="5"/>
  <c r="AT56" i="5" s="1"/>
  <c r="B139" i="2"/>
  <c r="H56" i="1"/>
  <c r="B138" i="2"/>
  <c r="B141" i="2"/>
  <c r="B140" i="2"/>
  <c r="B10" i="5"/>
  <c r="AT43" i="5"/>
  <c r="AT62" i="5"/>
  <c r="AT52" i="5"/>
  <c r="AT102" i="5"/>
  <c r="AT115" i="5"/>
  <c r="AT156" i="5"/>
  <c r="AT84" i="5"/>
  <c r="AT248" i="5"/>
  <c r="AT295" i="5"/>
  <c r="AT89" i="5"/>
  <c r="AT153" i="5"/>
  <c r="AT175" i="5"/>
  <c r="AT218" i="5"/>
  <c r="AT229" i="5"/>
  <c r="AT233" i="5"/>
  <c r="AT273" i="5"/>
  <c r="AT286" i="5"/>
  <c r="AT237" i="5"/>
  <c r="B165" i="2"/>
  <c r="T7" i="5" s="1"/>
  <c r="B119" i="2"/>
  <c r="H43" i="1" s="1"/>
  <c r="AT46" i="5"/>
  <c r="AV46" i="5" s="1"/>
  <c r="AT30" i="5"/>
  <c r="AT29" i="5"/>
  <c r="B63" i="5"/>
  <c r="AZ20" i="5" s="1"/>
  <c r="B58" i="5"/>
  <c r="B65" i="5"/>
  <c r="AW7" i="5" s="1"/>
  <c r="T156" i="4"/>
  <c r="AT156" i="4" s="1"/>
  <c r="T152" i="4"/>
  <c r="AT152" i="4" s="1"/>
  <c r="T148" i="4"/>
  <c r="AT148" i="4" s="1"/>
  <c r="T144" i="4"/>
  <c r="AT144" i="4" s="1"/>
  <c r="T137" i="4"/>
  <c r="AT137" i="4" s="1"/>
  <c r="T135" i="4"/>
  <c r="AT135" i="4" s="1"/>
  <c r="T130" i="4"/>
  <c r="AT130" i="4" s="1"/>
  <c r="T128" i="4"/>
  <c r="AT128" i="4" s="1"/>
  <c r="T121" i="4"/>
  <c r="AT121" i="4" s="1"/>
  <c r="T119" i="4"/>
  <c r="AT119" i="4" s="1"/>
  <c r="T114" i="4"/>
  <c r="AT114" i="4" s="1"/>
  <c r="T112" i="4"/>
  <c r="AT112" i="4" s="1"/>
  <c r="T105" i="4"/>
  <c r="AT105" i="4" s="1"/>
  <c r="T103" i="4"/>
  <c r="AT103" i="4" s="1"/>
  <c r="T98" i="4"/>
  <c r="AT98" i="4" s="1"/>
  <c r="T96" i="4"/>
  <c r="AT96" i="4" s="1"/>
  <c r="T89" i="4"/>
  <c r="AT89" i="4" s="1"/>
  <c r="T87" i="4"/>
  <c r="AT87" i="4" s="1"/>
  <c r="T82" i="4"/>
  <c r="AT82" i="4" s="1"/>
  <c r="T78" i="4"/>
  <c r="AT78" i="4" s="1"/>
  <c r="T73" i="4"/>
  <c r="AT73" i="4" s="1"/>
  <c r="T66" i="4"/>
  <c r="AT66" i="4" s="1"/>
  <c r="T61" i="4"/>
  <c r="AT61" i="4" s="1"/>
  <c r="T53" i="4"/>
  <c r="AT53" i="4" s="1"/>
  <c r="T45" i="4"/>
  <c r="AT45" i="4" s="1"/>
  <c r="T39" i="4"/>
  <c r="AT39" i="4" s="1"/>
  <c r="T36" i="4"/>
  <c r="AT36" i="4" s="1"/>
  <c r="T32" i="4"/>
  <c r="AT32" i="4" s="1"/>
  <c r="T29" i="4"/>
  <c r="AT29" i="4" s="1"/>
  <c r="T25" i="4"/>
  <c r="AT25" i="4" s="1"/>
  <c r="T18" i="4"/>
  <c r="AT18" i="4" s="1"/>
  <c r="T14" i="4"/>
  <c r="AT14" i="4" s="1"/>
  <c r="T11" i="4"/>
  <c r="AT11" i="4" s="1"/>
  <c r="T157" i="4"/>
  <c r="AT157" i="4" s="1"/>
  <c r="T153" i="4"/>
  <c r="AT153" i="4" s="1"/>
  <c r="T149" i="4"/>
  <c r="AT149" i="4" s="1"/>
  <c r="T145" i="4"/>
  <c r="AT145" i="4" s="1"/>
  <c r="T142" i="4"/>
  <c r="AT142" i="4" s="1"/>
  <c r="T140" i="4"/>
  <c r="AT140" i="4" s="1"/>
  <c r="T133" i="4"/>
  <c r="AT133" i="4" s="1"/>
  <c r="T131" i="4"/>
  <c r="AT131" i="4" s="1"/>
  <c r="T126" i="4"/>
  <c r="AT126" i="4" s="1"/>
  <c r="T124" i="4"/>
  <c r="AT124" i="4" s="1"/>
  <c r="T117" i="4"/>
  <c r="AT117" i="4" s="1"/>
  <c r="T115" i="4"/>
  <c r="AT115" i="4" s="1"/>
  <c r="T110" i="4"/>
  <c r="AT110" i="4" s="1"/>
  <c r="T108" i="4"/>
  <c r="AT108" i="4" s="1"/>
  <c r="T101" i="4"/>
  <c r="AT101" i="4" s="1"/>
  <c r="T99" i="4"/>
  <c r="AT99" i="4" s="1"/>
  <c r="T94" i="4"/>
  <c r="AT94" i="4" s="1"/>
  <c r="T92" i="4"/>
  <c r="AT92" i="4" s="1"/>
  <c r="T85" i="4"/>
  <c r="AT85" i="4" s="1"/>
  <c r="T83" i="4"/>
  <c r="AT83" i="4" s="1"/>
  <c r="T81" i="4"/>
  <c r="AT81" i="4" s="1"/>
  <c r="T77" i="4"/>
  <c r="AT77" i="4" s="1"/>
  <c r="T75" i="4"/>
  <c r="AT75" i="4" s="1"/>
  <c r="T72" i="4"/>
  <c r="AT72" i="4" s="1"/>
  <c r="T69" i="4"/>
  <c r="AT69" i="4" s="1"/>
  <c r="T65" i="4"/>
  <c r="AT65" i="4" s="1"/>
  <c r="T63" i="4"/>
  <c r="AT63" i="4" s="1"/>
  <c r="T60" i="4"/>
  <c r="AT60" i="4" s="1"/>
  <c r="T58" i="4"/>
  <c r="AT58" i="4" s="1"/>
  <c r="T55" i="4"/>
  <c r="AT55" i="4" s="1"/>
  <c r="T52" i="4"/>
  <c r="AT52" i="4" s="1"/>
  <c r="T50" i="4"/>
  <c r="AT50" i="4" s="1"/>
  <c r="T47" i="4"/>
  <c r="AT47" i="4" s="1"/>
  <c r="T44" i="4"/>
  <c r="AT44" i="4" s="1"/>
  <c r="T42" i="4"/>
  <c r="AT42" i="4" s="1"/>
  <c r="T38" i="4"/>
  <c r="AT38" i="4" s="1"/>
  <c r="T35" i="4"/>
  <c r="AT35" i="4" s="1"/>
  <c r="T31" i="4"/>
  <c r="AT31" i="4" s="1"/>
  <c r="T28" i="4"/>
  <c r="AT28" i="4" s="1"/>
  <c r="T24" i="4"/>
  <c r="AT24" i="4" s="1"/>
  <c r="T21" i="4"/>
  <c r="AT21" i="4" s="1"/>
  <c r="T17" i="4"/>
  <c r="AT17" i="4" s="1"/>
  <c r="T111" i="4"/>
  <c r="AT111" i="4" s="1"/>
  <c r="T106" i="4"/>
  <c r="AT106" i="4" s="1"/>
  <c r="T104" i="4"/>
  <c r="AT104" i="4" s="1"/>
  <c r="T97" i="4"/>
  <c r="AT97" i="4" s="1"/>
  <c r="T95" i="4"/>
  <c r="AT95" i="4" s="1"/>
  <c r="T90" i="4"/>
  <c r="AT90" i="4" s="1"/>
  <c r="T88" i="4"/>
  <c r="AT88" i="4" s="1"/>
  <c r="T79" i="4"/>
  <c r="AT79" i="4" s="1"/>
  <c r="T71" i="4"/>
  <c r="AT71" i="4" s="1"/>
  <c r="T68" i="4"/>
  <c r="AT68" i="4" s="1"/>
  <c r="T57" i="4"/>
  <c r="AT57" i="4" s="1"/>
  <c r="T49" i="4"/>
  <c r="AT49" i="4" s="1"/>
  <c r="T41" i="4"/>
  <c r="AT41" i="4" s="1"/>
  <c r="T34" i="4"/>
  <c r="AT34" i="4" s="1"/>
  <c r="T30" i="4"/>
  <c r="AT30" i="4" s="1"/>
  <c r="T27" i="4"/>
  <c r="AT27" i="4" s="1"/>
  <c r="T23" i="4"/>
  <c r="AT23" i="4" s="1"/>
  <c r="T20" i="4"/>
  <c r="AT20" i="4" s="1"/>
  <c r="T16" i="4"/>
  <c r="AT16" i="4" s="1"/>
  <c r="T13" i="4"/>
  <c r="AT13" i="4" s="1"/>
  <c r="T10" i="4"/>
  <c r="AT10" i="4" s="1"/>
  <c r="R72" i="4"/>
  <c r="R70" i="4"/>
  <c r="R68" i="4"/>
  <c r="R66" i="4"/>
  <c r="R23" i="4"/>
  <c r="R71" i="4"/>
  <c r="R67" i="4"/>
  <c r="R31" i="4"/>
  <c r="R8" i="4"/>
  <c r="B32" i="2"/>
  <c r="B33" i="2" s="1"/>
  <c r="R38" i="4"/>
  <c r="R33" i="4"/>
  <c r="R25" i="4"/>
  <c r="R17" i="4"/>
  <c r="R12" i="4"/>
  <c r="R40" i="4"/>
  <c r="R35" i="4"/>
  <c r="R27" i="4"/>
  <c r="R19" i="4"/>
  <c r="K8" i="2"/>
  <c r="B199" i="2"/>
  <c r="B200" i="2" s="1"/>
  <c r="T38" i="5"/>
  <c r="T24" i="5"/>
  <c r="U24" i="5" s="1"/>
  <c r="T32" i="5"/>
  <c r="V32" i="5" s="1"/>
  <c r="T22" i="5"/>
  <c r="U22" i="5" s="1"/>
  <c r="T43" i="5"/>
  <c r="T41" i="5"/>
  <c r="T64" i="5"/>
  <c r="T30" i="5"/>
  <c r="T56" i="5"/>
  <c r="U56" i="5" s="1"/>
  <c r="T67" i="5"/>
  <c r="T63" i="5"/>
  <c r="V63" i="5" s="1"/>
  <c r="T76" i="5"/>
  <c r="T57" i="5"/>
  <c r="T89" i="5"/>
  <c r="V89" i="5" s="1"/>
  <c r="T82" i="5"/>
  <c r="U82" i="5" s="1"/>
  <c r="T98" i="5"/>
  <c r="T105" i="5"/>
  <c r="T83" i="5"/>
  <c r="T91" i="5"/>
  <c r="U91" i="5" s="1"/>
  <c r="T37" i="5"/>
  <c r="V37" i="5" s="1"/>
  <c r="T121" i="5"/>
  <c r="T136" i="5"/>
  <c r="U136" i="5" s="1"/>
  <c r="T155" i="5"/>
  <c r="T106" i="5"/>
  <c r="T117" i="5"/>
  <c r="T131" i="5"/>
  <c r="T151" i="5"/>
  <c r="T114" i="5"/>
  <c r="T130" i="5"/>
  <c r="U130" i="5" s="1"/>
  <c r="T146" i="5"/>
  <c r="U146" i="5" s="1"/>
  <c r="T134" i="5"/>
  <c r="V134" i="5" s="1"/>
  <c r="T171" i="5"/>
  <c r="T181" i="5"/>
  <c r="V181" i="5" s="1"/>
  <c r="T118" i="5"/>
  <c r="T169" i="5"/>
  <c r="T79" i="5"/>
  <c r="T161" i="5"/>
  <c r="T183" i="5"/>
  <c r="V183" i="5" s="1"/>
  <c r="T190" i="5"/>
  <c r="T201" i="5"/>
  <c r="U201" i="5" s="1"/>
  <c r="T188" i="5"/>
  <c r="T203" i="5"/>
  <c r="U203" i="5" s="1"/>
  <c r="T211" i="5"/>
  <c r="T223" i="5"/>
  <c r="T239" i="5"/>
  <c r="T150" i="5"/>
  <c r="T199" i="5"/>
  <c r="V199" i="5" s="1"/>
  <c r="T222" i="5"/>
  <c r="U222" i="5" s="1"/>
  <c r="T242" i="5"/>
  <c r="U242" i="5" s="1"/>
  <c r="T174" i="5"/>
  <c r="T207" i="5"/>
  <c r="T221" i="5"/>
  <c r="T235" i="5"/>
  <c r="U235" i="5" s="1"/>
  <c r="T176" i="5"/>
  <c r="T252" i="5"/>
  <c r="T260" i="5"/>
  <c r="T273" i="5"/>
  <c r="T279" i="5"/>
  <c r="U279" i="5" s="1"/>
  <c r="T301" i="5"/>
  <c r="V301" i="5" s="1"/>
  <c r="T318" i="5"/>
  <c r="V318" i="5" s="1"/>
  <c r="T334" i="5"/>
  <c r="T250" i="5"/>
  <c r="T276" i="5"/>
  <c r="T44" i="5"/>
  <c r="T26" i="5"/>
  <c r="T39" i="5"/>
  <c r="T34" i="5"/>
  <c r="T47" i="5"/>
  <c r="T52" i="5"/>
  <c r="T70" i="5"/>
  <c r="T33" i="5"/>
  <c r="T59" i="5"/>
  <c r="T35" i="5"/>
  <c r="T66" i="5"/>
  <c r="T80" i="5"/>
  <c r="T61" i="5"/>
  <c r="T92" i="5"/>
  <c r="T94" i="5"/>
  <c r="T69" i="5"/>
  <c r="T107" i="5"/>
  <c r="T85" i="5"/>
  <c r="T101" i="5"/>
  <c r="T87" i="5"/>
  <c r="T126" i="5"/>
  <c r="T139" i="5"/>
  <c r="T84" i="5"/>
  <c r="T109" i="5"/>
  <c r="T123" i="5"/>
  <c r="T137" i="5"/>
  <c r="T156" i="5"/>
  <c r="T115" i="5"/>
  <c r="T138" i="5"/>
  <c r="T152" i="5"/>
  <c r="T149" i="5"/>
  <c r="T173" i="5"/>
  <c r="T187" i="5"/>
  <c r="T133" i="5"/>
  <c r="T170" i="5"/>
  <c r="T100" i="5"/>
  <c r="T172" i="5"/>
  <c r="T185" i="5"/>
  <c r="T194" i="5"/>
  <c r="T204" i="5"/>
  <c r="T196" i="5"/>
  <c r="T205" i="5"/>
  <c r="T215" i="5"/>
  <c r="T224" i="5"/>
  <c r="T245" i="5"/>
  <c r="T159" i="5"/>
  <c r="T212" i="5"/>
  <c r="T229" i="5"/>
  <c r="T243" i="5"/>
  <c r="T180" i="5"/>
  <c r="T210" i="5"/>
  <c r="T225" i="5"/>
  <c r="T236" i="5"/>
  <c r="T241" i="5"/>
  <c r="T254" i="5"/>
  <c r="T263" i="5"/>
  <c r="T274" i="5"/>
  <c r="T282" i="5"/>
  <c r="T306" i="5"/>
  <c r="T322" i="5"/>
  <c r="T135" i="5"/>
  <c r="T251" i="5"/>
  <c r="T284" i="5"/>
  <c r="T299" i="5"/>
  <c r="T316" i="5"/>
  <c r="T331" i="5"/>
  <c r="T246" i="5"/>
  <c r="T261" i="5"/>
  <c r="T271" i="5"/>
  <c r="T293" i="5"/>
  <c r="T303" i="5"/>
  <c r="T320" i="5"/>
  <c r="T335" i="5"/>
  <c r="T356" i="5"/>
  <c r="T283" i="5"/>
  <c r="T315" i="5"/>
  <c r="T345" i="5"/>
  <c r="T364" i="5"/>
  <c r="T381" i="5"/>
  <c r="T400" i="5"/>
  <c r="T415" i="5"/>
  <c r="T429" i="5"/>
  <c r="T214" i="5"/>
  <c r="T341" i="5"/>
  <c r="T375" i="5"/>
  <c r="T386" i="5"/>
  <c r="T407" i="5"/>
  <c r="T195" i="5"/>
  <c r="T294" i="5"/>
  <c r="T348" i="5"/>
  <c r="T363" i="5"/>
  <c r="T382" i="5"/>
  <c r="T399" i="5"/>
  <c r="T411" i="5"/>
  <c r="T324" i="5"/>
  <c r="T428" i="5"/>
  <c r="T443" i="5"/>
  <c r="T458" i="5"/>
  <c r="T478" i="5"/>
  <c r="T499" i="5"/>
  <c r="T513" i="5"/>
  <c r="T532" i="5"/>
  <c r="T347" i="5"/>
  <c r="T438" i="5"/>
  <c r="T456" i="5"/>
  <c r="T468" i="5"/>
  <c r="T480" i="5"/>
  <c r="T498" i="5"/>
  <c r="T504" i="5"/>
  <c r="T29" i="5"/>
  <c r="T31" i="5"/>
  <c r="T40" i="5"/>
  <c r="T54" i="5"/>
  <c r="T51" i="5"/>
  <c r="T58" i="5"/>
  <c r="T77" i="5"/>
  <c r="T81" i="5"/>
  <c r="T102" i="5"/>
  <c r="T90" i="5"/>
  <c r="T113" i="5"/>
  <c r="T147" i="5"/>
  <c r="T116" i="5"/>
  <c r="T148" i="5"/>
  <c r="T122" i="5"/>
  <c r="T128" i="5"/>
  <c r="T178" i="5"/>
  <c r="T163" i="5"/>
  <c r="T158" i="5"/>
  <c r="T189" i="5"/>
  <c r="T164" i="5"/>
  <c r="T209" i="5"/>
  <c r="T234" i="5"/>
  <c r="T193" i="5"/>
  <c r="T238" i="5"/>
  <c r="T192" i="5"/>
  <c r="T233" i="5"/>
  <c r="T249" i="5"/>
  <c r="T270" i="5"/>
  <c r="T295" i="5"/>
  <c r="T332" i="5"/>
  <c r="T266" i="5"/>
  <c r="T302" i="5"/>
  <c r="T325" i="5"/>
  <c r="T231" i="5"/>
  <c r="U231" i="5" s="1"/>
  <c r="T264" i="5"/>
  <c r="T285" i="5"/>
  <c r="T300" i="5"/>
  <c r="V300" i="5" s="1"/>
  <c r="T321" i="5"/>
  <c r="T349" i="5"/>
  <c r="T280" i="5"/>
  <c r="T329" i="5"/>
  <c r="T359" i="5"/>
  <c r="T378" i="5"/>
  <c r="T403" i="5"/>
  <c r="T421" i="5"/>
  <c r="T437" i="5"/>
  <c r="T369" i="5"/>
  <c r="T380" i="5"/>
  <c r="T396" i="5"/>
  <c r="V396" i="5" s="1"/>
  <c r="T228" i="5"/>
  <c r="T336" i="5"/>
  <c r="T361" i="5"/>
  <c r="T383" i="5"/>
  <c r="T404" i="5"/>
  <c r="T287" i="5"/>
  <c r="V287" i="5" s="1"/>
  <c r="T430" i="5"/>
  <c r="T448" i="5"/>
  <c r="T472" i="5"/>
  <c r="T505" i="5"/>
  <c r="T516" i="5"/>
  <c r="T339" i="5"/>
  <c r="T442" i="5"/>
  <c r="T462" i="5"/>
  <c r="T475" i="5"/>
  <c r="U475" i="5" s="1"/>
  <c r="T500" i="5"/>
  <c r="T512" i="5"/>
  <c r="T522" i="5"/>
  <c r="T368" i="5"/>
  <c r="T398" i="5"/>
  <c r="T422" i="5"/>
  <c r="T439" i="5"/>
  <c r="T457" i="5"/>
  <c r="T470" i="5"/>
  <c r="T486" i="5"/>
  <c r="T493" i="5"/>
  <c r="T526" i="5"/>
  <c r="T557" i="5"/>
  <c r="T344" i="5"/>
  <c r="T465" i="5"/>
  <c r="T536" i="5"/>
  <c r="T545" i="5"/>
  <c r="T554" i="5"/>
  <c r="T406" i="5"/>
  <c r="T490" i="5"/>
  <c r="T524" i="5"/>
  <c r="T552" i="5"/>
  <c r="T440" i="5"/>
  <c r="T535" i="5"/>
  <c r="T559" i="5"/>
  <c r="T469" i="5"/>
  <c r="T502" i="5"/>
  <c r="T19" i="5"/>
  <c r="T46" i="5"/>
  <c r="T42" i="5"/>
  <c r="T48" i="5"/>
  <c r="T20" i="5"/>
  <c r="T62" i="5"/>
  <c r="T68" i="5"/>
  <c r="T73" i="5"/>
  <c r="T96" i="5"/>
  <c r="T60" i="5"/>
  <c r="T108" i="5"/>
  <c r="T127" i="5"/>
  <c r="T99" i="5"/>
  <c r="T124" i="5"/>
  <c r="T75" i="5"/>
  <c r="T143" i="5"/>
  <c r="T165" i="5"/>
  <c r="T86" i="5"/>
  <c r="T182" i="5"/>
  <c r="T175" i="5"/>
  <c r="T197" i="5"/>
  <c r="T200" i="5"/>
  <c r="T218" i="5"/>
  <c r="T120" i="5"/>
  <c r="T216" i="5"/>
  <c r="T157" i="5"/>
  <c r="T213" i="5"/>
  <c r="T240" i="5"/>
  <c r="T255" i="5"/>
  <c r="T277" i="5"/>
  <c r="T308" i="5"/>
  <c r="T237" i="5"/>
  <c r="T288" i="5"/>
  <c r="T311" i="5"/>
  <c r="T328" i="5"/>
  <c r="T253" i="5"/>
  <c r="T268" i="5"/>
  <c r="T290" i="5"/>
  <c r="U290" i="5" s="1"/>
  <c r="T305" i="5"/>
  <c r="T326" i="5"/>
  <c r="T354" i="5"/>
  <c r="T286" i="5"/>
  <c r="T337" i="5"/>
  <c r="T362" i="5"/>
  <c r="V362" i="5" s="1"/>
  <c r="T387" i="5"/>
  <c r="T405" i="5"/>
  <c r="T424" i="5"/>
  <c r="T247" i="5"/>
  <c r="T371" i="5"/>
  <c r="T385" i="5"/>
  <c r="T409" i="5"/>
  <c r="T272" i="5"/>
  <c r="T340" i="5"/>
  <c r="T21" i="5"/>
  <c r="T45" i="5"/>
  <c r="T49" i="5"/>
  <c r="T23" i="5"/>
  <c r="T65" i="5"/>
  <c r="T71" i="5"/>
  <c r="T78" i="5"/>
  <c r="T97" i="5"/>
  <c r="T72" i="5"/>
  <c r="T110" i="5"/>
  <c r="T132" i="5"/>
  <c r="T103" i="5"/>
  <c r="T129" i="5"/>
  <c r="T104" i="5"/>
  <c r="T145" i="5"/>
  <c r="T167" i="5"/>
  <c r="T111" i="5"/>
  <c r="T184" i="5"/>
  <c r="T179" i="5"/>
  <c r="T198" i="5"/>
  <c r="T202" i="5"/>
  <c r="T220" i="5"/>
  <c r="T144" i="5"/>
  <c r="T217" i="5"/>
  <c r="T168" i="5"/>
  <c r="T219" i="5"/>
  <c r="T153" i="5"/>
  <c r="T257" i="5"/>
  <c r="T278" i="5"/>
  <c r="T314" i="5"/>
  <c r="T244" i="5"/>
  <c r="T291" i="5"/>
  <c r="T313" i="5"/>
  <c r="V313" i="5" s="1"/>
  <c r="T160" i="5"/>
  <c r="T256" i="5"/>
  <c r="T269" i="5"/>
  <c r="T296" i="5"/>
  <c r="T307" i="5"/>
  <c r="T330" i="5"/>
  <c r="T262" i="5"/>
  <c r="T309" i="5"/>
  <c r="T342" i="5"/>
  <c r="U342" i="5" s="1"/>
  <c r="T366" i="5"/>
  <c r="T390" i="5"/>
  <c r="T410" i="5"/>
  <c r="T433" i="5"/>
  <c r="T297" i="5"/>
  <c r="T372" i="5"/>
  <c r="U372" i="5" s="1"/>
  <c r="T389" i="5"/>
  <c r="T418" i="5"/>
  <c r="T275" i="5"/>
  <c r="U275" i="5" s="1"/>
  <c r="T353" i="5"/>
  <c r="T373" i="5"/>
  <c r="T392" i="5"/>
  <c r="T414" i="5"/>
  <c r="T53" i="5"/>
  <c r="T25" i="5"/>
  <c r="T141" i="5"/>
  <c r="T125" i="5"/>
  <c r="T186" i="5"/>
  <c r="T166" i="5"/>
  <c r="T248" i="5"/>
  <c r="T258" i="5"/>
  <c r="T259" i="5"/>
  <c r="T343" i="5"/>
  <c r="T367" i="5"/>
  <c r="T317" i="5"/>
  <c r="T319" i="5"/>
  <c r="T388" i="5"/>
  <c r="T357" i="5"/>
  <c r="T441" i="5"/>
  <c r="T466" i="5"/>
  <c r="T507" i="5"/>
  <c r="T533" i="5"/>
  <c r="T431" i="5"/>
  <c r="T464" i="5"/>
  <c r="U464" i="5" s="1"/>
  <c r="T485" i="5"/>
  <c r="T511" i="5"/>
  <c r="T333" i="5"/>
  <c r="T377" i="5"/>
  <c r="T416" i="5"/>
  <c r="T446" i="5"/>
  <c r="T463" i="5"/>
  <c r="T482" i="5"/>
  <c r="T495" i="5"/>
  <c r="U495" i="5" s="1"/>
  <c r="T538" i="5"/>
  <c r="T338" i="5"/>
  <c r="T484" i="5"/>
  <c r="U484" i="5" s="1"/>
  <c r="T540" i="5"/>
  <c r="T550" i="5"/>
  <c r="T412" i="5"/>
  <c r="U412" i="5" s="1"/>
  <c r="T514" i="5"/>
  <c r="T551" i="5"/>
  <c r="T449" i="5"/>
  <c r="T549" i="5"/>
  <c r="T445" i="5"/>
  <c r="T509" i="5"/>
  <c r="U509" i="5" s="1"/>
  <c r="T28" i="5"/>
  <c r="T50" i="5"/>
  <c r="T95" i="5"/>
  <c r="T112" i="5"/>
  <c r="T177" i="5"/>
  <c r="T206" i="5"/>
  <c r="T232" i="5"/>
  <c r="T265" i="5"/>
  <c r="T292" i="5"/>
  <c r="T281" i="5"/>
  <c r="T267" i="5"/>
  <c r="T393" i="5"/>
  <c r="T376" i="5"/>
  <c r="T355" i="5"/>
  <c r="T402" i="5"/>
  <c r="T370" i="5"/>
  <c r="T447" i="5"/>
  <c r="T481" i="5"/>
  <c r="T508" i="5"/>
  <c r="U508" i="5" s="1"/>
  <c r="T537" i="5"/>
  <c r="T453" i="5"/>
  <c r="T471" i="5"/>
  <c r="T496" i="5"/>
  <c r="T517" i="5"/>
  <c r="T358" i="5"/>
  <c r="T395" i="5"/>
  <c r="T425" i="5"/>
  <c r="T452" i="5"/>
  <c r="T467" i="5"/>
  <c r="T487" i="5"/>
  <c r="T506" i="5"/>
  <c r="T556" i="5"/>
  <c r="T346" i="5"/>
  <c r="T529" i="5"/>
  <c r="T542" i="5"/>
  <c r="T541" i="5"/>
  <c r="T426" i="5"/>
  <c r="T518" i="5"/>
  <c r="T553" i="5"/>
  <c r="V553" i="5" s="1"/>
  <c r="T528" i="5"/>
  <c r="T558" i="5"/>
  <c r="T476" i="5"/>
  <c r="T520" i="5"/>
  <c r="T27" i="5"/>
  <c r="T55" i="5"/>
  <c r="T88" i="5"/>
  <c r="T142" i="5"/>
  <c r="T140" i="5"/>
  <c r="T208" i="5"/>
  <c r="T191" i="5"/>
  <c r="T289" i="5"/>
  <c r="T323" i="5"/>
  <c r="T298" i="5"/>
  <c r="T312" i="5"/>
  <c r="U312" i="5" s="1"/>
  <c r="T420" i="5"/>
  <c r="T391" i="5"/>
  <c r="T365" i="5"/>
  <c r="T408" i="5"/>
  <c r="T384" i="5"/>
  <c r="U384" i="5" s="1"/>
  <c r="T451" i="5"/>
  <c r="V451" i="5" s="1"/>
  <c r="T491" i="5"/>
  <c r="T515" i="5"/>
  <c r="T351" i="5"/>
  <c r="T454" i="5"/>
  <c r="U454" i="5" s="1"/>
  <c r="T474" i="5"/>
  <c r="T501" i="5"/>
  <c r="T519" i="5"/>
  <c r="T360" i="5"/>
  <c r="T401" i="5"/>
  <c r="T434" i="5"/>
  <c r="T455" i="5"/>
  <c r="T473" i="5"/>
  <c r="U473" i="5" s="1"/>
  <c r="T489" i="5"/>
  <c r="T510" i="5"/>
  <c r="T560" i="5"/>
  <c r="T352" i="5"/>
  <c r="T534" i="5"/>
  <c r="T546" i="5"/>
  <c r="T544" i="5"/>
  <c r="T450" i="5"/>
  <c r="T527" i="5"/>
  <c r="T555" i="5"/>
  <c r="T530" i="5"/>
  <c r="T397" i="5"/>
  <c r="T479" i="5"/>
  <c r="T523" i="5"/>
  <c r="T119" i="5"/>
  <c r="T327" i="5"/>
  <c r="T436" i="5"/>
  <c r="T432" i="5"/>
  <c r="T427" i="5"/>
  <c r="T521" i="5"/>
  <c r="T461" i="5"/>
  <c r="U461" i="5" s="1"/>
  <c r="T304" i="5"/>
  <c r="T394" i="5"/>
  <c r="T547" i="5"/>
  <c r="T36" i="5"/>
  <c r="T154" i="5"/>
  <c r="T226" i="5"/>
  <c r="T162" i="5"/>
  <c r="U162" i="5" s="1"/>
  <c r="T460" i="5"/>
  <c r="T459" i="5"/>
  <c r="T374" i="5"/>
  <c r="V374" i="5" s="1"/>
  <c r="T477" i="5"/>
  <c r="T444" i="5"/>
  <c r="T497" i="5"/>
  <c r="T423" i="5"/>
  <c r="T74" i="5"/>
  <c r="T227" i="5"/>
  <c r="T310" i="5"/>
  <c r="T379" i="5"/>
  <c r="T494" i="5"/>
  <c r="T483" i="5"/>
  <c r="T413" i="5"/>
  <c r="T492" i="5"/>
  <c r="T539" i="5"/>
  <c r="V539" i="5" s="1"/>
  <c r="T543" i="5"/>
  <c r="T488" i="5"/>
  <c r="T93" i="5"/>
  <c r="T525" i="5"/>
  <c r="T548" i="5"/>
  <c r="T230" i="5"/>
  <c r="T503" i="5"/>
  <c r="T419" i="5"/>
  <c r="T350" i="5"/>
  <c r="T435" i="5"/>
  <c r="V417" i="5"/>
  <c r="U417" i="5"/>
  <c r="T531" i="5"/>
  <c r="AT7" i="5"/>
  <c r="B5" i="8"/>
  <c r="E28" i="2"/>
  <c r="AZ27" i="5"/>
  <c r="AZ60" i="5"/>
  <c r="AZ66" i="5"/>
  <c r="AZ69" i="5"/>
  <c r="AZ98" i="5"/>
  <c r="AZ140" i="5"/>
  <c r="AZ135" i="5"/>
  <c r="AZ148" i="5"/>
  <c r="AZ164" i="5"/>
  <c r="AZ173" i="5"/>
  <c r="AZ211" i="5"/>
  <c r="AZ212" i="5"/>
  <c r="AZ200" i="5"/>
  <c r="AZ264" i="5"/>
  <c r="AZ318" i="5"/>
  <c r="AZ305" i="5"/>
  <c r="AZ265" i="5"/>
  <c r="AZ324" i="5"/>
  <c r="AZ299" i="5"/>
  <c r="AZ22" i="5"/>
  <c r="AZ35" i="5"/>
  <c r="AZ55" i="5"/>
  <c r="AZ59" i="5"/>
  <c r="AZ95" i="5"/>
  <c r="AZ121" i="5"/>
  <c r="AZ126" i="5"/>
  <c r="AZ139" i="5"/>
  <c r="AZ150" i="5"/>
  <c r="AZ158" i="5"/>
  <c r="AZ190" i="5"/>
  <c r="AZ196" i="5"/>
  <c r="AZ184" i="5"/>
  <c r="AZ246" i="5"/>
  <c r="AZ303" i="5"/>
  <c r="AZ290" i="5"/>
  <c r="AZ255" i="5"/>
  <c r="AZ315" i="5"/>
  <c r="AZ218" i="5"/>
  <c r="AZ393" i="5"/>
  <c r="AZ40" i="5"/>
  <c r="AZ50" i="5"/>
  <c r="AZ24" i="5"/>
  <c r="AZ23" i="5"/>
  <c r="AZ91" i="5"/>
  <c r="AZ110" i="5"/>
  <c r="AZ123" i="5"/>
  <c r="AZ127" i="5"/>
  <c r="AZ116" i="5"/>
  <c r="AZ152" i="5"/>
  <c r="AZ171" i="5"/>
  <c r="AZ194" i="5"/>
  <c r="AZ161" i="5"/>
  <c r="AZ220" i="5"/>
  <c r="AZ296" i="5"/>
  <c r="AZ278" i="5"/>
  <c r="AZ249" i="5"/>
  <c r="AZ312" i="5"/>
  <c r="B59" i="5"/>
  <c r="G126" i="2"/>
  <c r="B148" i="2"/>
  <c r="V82" i="5"/>
  <c r="V136" i="5"/>
  <c r="V203" i="5"/>
  <c r="U300" i="5"/>
  <c r="V24" i="5"/>
  <c r="V146" i="5"/>
  <c r="U199" i="5"/>
  <c r="U301" i="5"/>
  <c r="V342" i="5"/>
  <c r="U396" i="5"/>
  <c r="V464" i="5"/>
  <c r="V461" i="5"/>
  <c r="V91" i="5"/>
  <c r="U183" i="5"/>
  <c r="U313" i="5"/>
  <c r="U63" i="5"/>
  <c r="V495" i="5"/>
  <c r="U89" i="5"/>
  <c r="U451" i="5"/>
  <c r="U32" i="5"/>
  <c r="U134" i="5"/>
  <c r="V279" i="5"/>
  <c r="B75" i="5"/>
  <c r="AJ56" i="5" s="1"/>
  <c r="R60" i="4"/>
  <c r="R56" i="4"/>
  <c r="R52" i="4"/>
  <c r="R48" i="4"/>
  <c r="R44" i="4"/>
  <c r="R36" i="4"/>
  <c r="R34" i="4"/>
  <c r="R32" i="4"/>
  <c r="R30" i="4"/>
  <c r="R13" i="4"/>
  <c r="R11" i="4"/>
  <c r="R9" i="4"/>
  <c r="R81" i="4"/>
  <c r="R77" i="4"/>
  <c r="R73" i="4"/>
  <c r="R69" i="4"/>
  <c r="R65" i="4"/>
  <c r="R61" i="4"/>
  <c r="R57" i="4"/>
  <c r="R53" i="4"/>
  <c r="R49" i="4"/>
  <c r="R45" i="4"/>
  <c r="R41" i="4"/>
  <c r="R39" i="4"/>
  <c r="R28" i="4"/>
  <c r="R26" i="4"/>
  <c r="R24" i="4"/>
  <c r="R22" i="4"/>
  <c r="R20" i="4"/>
  <c r="R18" i="4"/>
  <c r="R16" i="4"/>
  <c r="R14" i="4"/>
  <c r="B22" i="2"/>
  <c r="H50" i="1"/>
  <c r="B130" i="2"/>
  <c r="B131" i="2"/>
  <c r="AS10" i="4"/>
  <c r="AS34" i="4"/>
  <c r="AS46" i="4"/>
  <c r="AS54" i="4"/>
  <c r="AS58" i="4"/>
  <c r="AS66" i="4"/>
  <c r="AS74" i="4"/>
  <c r="AS82" i="4"/>
  <c r="AS90" i="4"/>
  <c r="AS98" i="4"/>
  <c r="AS102" i="4"/>
  <c r="AS110" i="4"/>
  <c r="AS118" i="4"/>
  <c r="AS126" i="4"/>
  <c r="AS134" i="4"/>
  <c r="AS142" i="4"/>
  <c r="AS150" i="4"/>
  <c r="AS7" i="4"/>
  <c r="AS148" i="4"/>
  <c r="AS11" i="4"/>
  <c r="AS15" i="4"/>
  <c r="AS19" i="4"/>
  <c r="AS23" i="4"/>
  <c r="AS27" i="4"/>
  <c r="AS31" i="4"/>
  <c r="AS35" i="4"/>
  <c r="AS39" i="4"/>
  <c r="AS43" i="4"/>
  <c r="AS47" i="4"/>
  <c r="AS51" i="4"/>
  <c r="AS55" i="4"/>
  <c r="AS59" i="4"/>
  <c r="AS63" i="4"/>
  <c r="AS67" i="4"/>
  <c r="AS71" i="4"/>
  <c r="AS75" i="4"/>
  <c r="AS79" i="4"/>
  <c r="AS83" i="4"/>
  <c r="AS87" i="4"/>
  <c r="AS91" i="4"/>
  <c r="AS95" i="4"/>
  <c r="AS99" i="4"/>
  <c r="AS103" i="4"/>
  <c r="AS107" i="4"/>
  <c r="AS111" i="4"/>
  <c r="AS115" i="4"/>
  <c r="AS119" i="4"/>
  <c r="AS123" i="4"/>
  <c r="AS127" i="4"/>
  <c r="AS131" i="4"/>
  <c r="AS135" i="4"/>
  <c r="AS139" i="4"/>
  <c r="AS143" i="4"/>
  <c r="AS147" i="4"/>
  <c r="AS151" i="4"/>
  <c r="AS155" i="4"/>
  <c r="AS12" i="4"/>
  <c r="AS16" i="4"/>
  <c r="AS20" i="4"/>
  <c r="AS24" i="4"/>
  <c r="AS28" i="4"/>
  <c r="AS36" i="4"/>
  <c r="AS40" i="4"/>
  <c r="AS48" i="4"/>
  <c r="AS56" i="4"/>
  <c r="AS60" i="4"/>
  <c r="AS68" i="4"/>
  <c r="AS76" i="4"/>
  <c r="AS84" i="4"/>
  <c r="AS88" i="4"/>
  <c r="AS96" i="4"/>
  <c r="AS104" i="4"/>
  <c r="AS108" i="4"/>
  <c r="AS116" i="4"/>
  <c r="AS124" i="4"/>
  <c r="AS128" i="4"/>
  <c r="AS136" i="4"/>
  <c r="AS152" i="4"/>
  <c r="AS8" i="4"/>
  <c r="AS32" i="4"/>
  <c r="AS44" i="4"/>
  <c r="AS52" i="4"/>
  <c r="AS64" i="4"/>
  <c r="AS72" i="4"/>
  <c r="AS80" i="4"/>
  <c r="AS92" i="4"/>
  <c r="AS100" i="4"/>
  <c r="AS112" i="4"/>
  <c r="AS120" i="4"/>
  <c r="AS132" i="4"/>
  <c r="AS144" i="4"/>
  <c r="AS9" i="4"/>
  <c r="AS13" i="4"/>
  <c r="AS17" i="4"/>
  <c r="AS21" i="4"/>
  <c r="AS25" i="4"/>
  <c r="AS29" i="4"/>
  <c r="AS33" i="4"/>
  <c r="AS37" i="4"/>
  <c r="AS41" i="4"/>
  <c r="AS45" i="4"/>
  <c r="AS49" i="4"/>
  <c r="AS53" i="4"/>
  <c r="AS57" i="4"/>
  <c r="AS61" i="4"/>
  <c r="AS65" i="4"/>
  <c r="AS69" i="4"/>
  <c r="AS73" i="4"/>
  <c r="AS77" i="4"/>
  <c r="AS81" i="4"/>
  <c r="AS85" i="4"/>
  <c r="AS89" i="4"/>
  <c r="AS93" i="4"/>
  <c r="AS97" i="4"/>
  <c r="AS101" i="4"/>
  <c r="AS105" i="4"/>
  <c r="AS109" i="4"/>
  <c r="AS113" i="4"/>
  <c r="AS117" i="4"/>
  <c r="AS121" i="4"/>
  <c r="AS125" i="4"/>
  <c r="AS129" i="4"/>
  <c r="AS133" i="4"/>
  <c r="AS137" i="4"/>
  <c r="AS141" i="4"/>
  <c r="AS145" i="4"/>
  <c r="AS149" i="4"/>
  <c r="AS153" i="4"/>
  <c r="AS157" i="4"/>
  <c r="AS14" i="4"/>
  <c r="AS18" i="4"/>
  <c r="AS22" i="4"/>
  <c r="AS26" i="4"/>
  <c r="AS30" i="4"/>
  <c r="AS38" i="4"/>
  <c r="AS42" i="4"/>
  <c r="AS50" i="4"/>
  <c r="AS62" i="4"/>
  <c r="AS70" i="4"/>
  <c r="AS78" i="4"/>
  <c r="AS86" i="4"/>
  <c r="AS94" i="4"/>
  <c r="AS106" i="4"/>
  <c r="AS114" i="4"/>
  <c r="AS122" i="4"/>
  <c r="AS130" i="4"/>
  <c r="AS138" i="4"/>
  <c r="AS146" i="4"/>
  <c r="AS154" i="4"/>
  <c r="AS140" i="4"/>
  <c r="AS156" i="4"/>
  <c r="V509" i="5" l="1"/>
  <c r="AT246" i="5"/>
  <c r="AT249" i="5"/>
  <c r="AT191" i="5"/>
  <c r="AT198" i="5"/>
  <c r="AT111" i="5"/>
  <c r="AT183" i="5"/>
  <c r="B166" i="2"/>
  <c r="AT324" i="5"/>
  <c r="V473" i="5"/>
  <c r="AT165" i="5"/>
  <c r="AT61" i="5"/>
  <c r="V290" i="5"/>
  <c r="AT130" i="5"/>
  <c r="V231" i="5"/>
  <c r="AT91" i="5"/>
  <c r="AT93" i="5"/>
  <c r="U539" i="5"/>
  <c r="AT66" i="5"/>
  <c r="V454" i="5"/>
  <c r="AT54" i="5"/>
  <c r="AT39" i="5"/>
  <c r="AT271" i="5"/>
  <c r="AT311" i="5"/>
  <c r="AJ84" i="5"/>
  <c r="AJ147" i="5"/>
  <c r="AT38" i="5"/>
  <c r="AT44" i="5"/>
  <c r="AU44" i="5" s="1"/>
  <c r="AT32" i="5"/>
  <c r="AV32" i="5" s="1"/>
  <c r="AT328" i="5"/>
  <c r="AT276" i="5"/>
  <c r="AU276" i="5" s="1"/>
  <c r="AT314" i="5"/>
  <c r="AV314" i="5" s="1"/>
  <c r="AT257" i="5"/>
  <c r="AT221" i="5"/>
  <c r="AT211" i="5"/>
  <c r="AT176" i="5"/>
  <c r="AT160" i="5"/>
  <c r="AT131" i="5"/>
  <c r="AT135" i="5"/>
  <c r="AT118" i="5"/>
  <c r="AT141" i="5"/>
  <c r="AT79" i="5"/>
  <c r="AT78" i="5"/>
  <c r="AT23" i="5"/>
  <c r="AT25" i="5"/>
  <c r="AT335" i="5"/>
  <c r="AT259" i="5"/>
  <c r="AT297" i="5"/>
  <c r="AT205" i="5"/>
  <c r="AT280" i="5"/>
  <c r="AT238" i="5"/>
  <c r="AT243" i="5"/>
  <c r="AT234" i="5"/>
  <c r="AT189" i="5"/>
  <c r="AT181" i="5"/>
  <c r="AT173" i="5"/>
  <c r="AT138" i="5"/>
  <c r="AT126" i="5"/>
  <c r="AT83" i="5"/>
  <c r="AT87" i="5"/>
  <c r="AU87" i="5" s="1"/>
  <c r="AT22" i="5"/>
  <c r="AT64" i="5"/>
  <c r="AT31" i="5"/>
  <c r="AU31" i="5" s="1"/>
  <c r="AT36" i="5"/>
  <c r="AU36" i="5" s="1"/>
  <c r="AT24" i="5"/>
  <c r="AT28" i="5"/>
  <c r="AT316" i="5"/>
  <c r="AT250" i="5"/>
  <c r="AT301" i="5"/>
  <c r="AT251" i="5"/>
  <c r="AT195" i="5"/>
  <c r="AT164" i="5"/>
  <c r="AT199" i="5"/>
  <c r="AT133" i="5"/>
  <c r="AT187" i="5"/>
  <c r="AT110" i="5"/>
  <c r="AT92" i="5"/>
  <c r="AT121" i="5"/>
  <c r="AT103" i="5"/>
  <c r="AT55" i="5"/>
  <c r="AT65" i="5"/>
  <c r="AT47" i="5"/>
  <c r="AT307" i="5"/>
  <c r="AT200" i="5"/>
  <c r="AT282" i="5"/>
  <c r="AT322" i="5"/>
  <c r="AT265" i="5"/>
  <c r="AT230" i="5"/>
  <c r="AT224" i="5"/>
  <c r="AT215" i="5"/>
  <c r="AT172" i="5"/>
  <c r="AT163" i="5"/>
  <c r="AU163" i="5" s="1"/>
  <c r="AT150" i="5"/>
  <c r="AT122" i="5"/>
  <c r="AT71" i="5"/>
  <c r="AU71" i="5" s="1"/>
  <c r="AT88" i="5"/>
  <c r="AV88" i="5" s="1"/>
  <c r="AT90" i="5"/>
  <c r="AT63" i="5"/>
  <c r="AT53" i="5"/>
  <c r="AT21" i="5"/>
  <c r="AT37" i="5"/>
  <c r="AT42" i="5"/>
  <c r="AT33" i="5"/>
  <c r="AT299" i="5"/>
  <c r="AT210" i="5"/>
  <c r="AT283" i="5"/>
  <c r="AT240" i="5"/>
  <c r="AT159" i="5"/>
  <c r="AT239" i="5"/>
  <c r="AT190" i="5"/>
  <c r="AT182" i="5"/>
  <c r="AT177" i="5"/>
  <c r="AT139" i="5"/>
  <c r="AT142" i="5"/>
  <c r="AT100" i="5"/>
  <c r="AT96" i="5"/>
  <c r="AT69" i="5"/>
  <c r="AT41" i="5"/>
  <c r="AT34" i="5"/>
  <c r="AT291" i="5"/>
  <c r="AT327" i="5"/>
  <c r="AT270" i="5"/>
  <c r="AT312" i="5"/>
  <c r="AT255" i="5"/>
  <c r="AV255" i="5" s="1"/>
  <c r="AT217" i="5"/>
  <c r="AT209" i="5"/>
  <c r="AT154" i="5"/>
  <c r="AV154" i="5" s="1"/>
  <c r="AT157" i="5"/>
  <c r="AU157" i="5" s="1"/>
  <c r="AT128" i="5"/>
  <c r="AT129" i="5"/>
  <c r="AT109" i="5"/>
  <c r="AT136" i="5"/>
  <c r="AT75" i="5"/>
  <c r="AT77" i="5"/>
  <c r="AT20" i="5"/>
  <c r="AT51" i="5"/>
  <c r="AT8" i="5"/>
  <c r="AT49" i="5"/>
  <c r="AT27" i="5"/>
  <c r="AT45" i="5"/>
  <c r="AT57" i="5"/>
  <c r="AT58" i="5"/>
  <c r="AT70" i="5"/>
  <c r="AT81" i="5"/>
  <c r="AT97" i="5"/>
  <c r="AT82" i="5"/>
  <c r="AT113" i="5"/>
  <c r="AT143" i="5"/>
  <c r="AT148" i="5"/>
  <c r="AT119" i="5"/>
  <c r="AT146" i="5"/>
  <c r="AT144" i="5"/>
  <c r="AT178" i="5"/>
  <c r="AT149" i="5"/>
  <c r="AT184" i="5"/>
  <c r="AT162" i="5"/>
  <c r="AT194" i="5"/>
  <c r="AT193" i="5"/>
  <c r="AT245" i="5"/>
  <c r="AT216" i="5"/>
  <c r="AT166" i="5"/>
  <c r="AT222" i="5"/>
  <c r="AT214" i="5"/>
  <c r="AT260" i="5"/>
  <c r="AT287" i="5"/>
  <c r="AT315" i="5"/>
  <c r="AT219" i="5"/>
  <c r="AT278" i="5"/>
  <c r="AT304" i="5"/>
  <c r="AT117" i="5"/>
  <c r="AT261" i="5"/>
  <c r="AT285" i="5"/>
  <c r="AT303" i="5"/>
  <c r="AT336" i="5"/>
  <c r="AT345" i="5"/>
  <c r="AT356" i="5"/>
  <c r="AT284" i="5"/>
  <c r="AT341" i="5"/>
  <c r="AT378" i="5"/>
  <c r="AT397" i="5"/>
  <c r="AT403" i="5"/>
  <c r="AT421" i="5"/>
  <c r="AT436" i="5"/>
  <c r="AT262" i="5"/>
  <c r="AT321" i="5"/>
  <c r="AT340" i="5"/>
  <c r="AT368" i="5"/>
  <c r="AT386" i="5"/>
  <c r="AT396" i="5"/>
  <c r="AT410" i="5"/>
  <c r="AT347" i="5"/>
  <c r="AT360" i="5"/>
  <c r="AT375" i="5"/>
  <c r="AT402" i="5"/>
  <c r="AT417" i="5"/>
  <c r="AT275" i="5"/>
  <c r="AT346" i="5"/>
  <c r="AT412" i="5"/>
  <c r="AT438" i="5"/>
  <c r="AT451" i="5"/>
  <c r="AT487" i="5"/>
  <c r="AT494" i="5"/>
  <c r="AT510" i="5"/>
  <c r="AT530" i="5"/>
  <c r="AT370" i="5"/>
  <c r="AT425" i="5"/>
  <c r="AT447" i="5"/>
  <c r="AT460" i="5"/>
  <c r="AT483" i="5"/>
  <c r="AT496" i="5"/>
  <c r="AT516" i="5"/>
  <c r="AT337" i="5"/>
  <c r="AT439" i="5"/>
  <c r="AT459" i="5"/>
  <c r="AT474" i="5"/>
  <c r="AT486" i="5"/>
  <c r="AT507" i="5"/>
  <c r="AT525" i="5"/>
  <c r="AT548" i="5"/>
  <c r="AT553" i="5"/>
  <c r="AT380" i="5"/>
  <c r="AT473" i="5"/>
  <c r="AT492" i="5"/>
  <c r="AT40" i="5"/>
  <c r="AT60" i="5"/>
  <c r="AT59" i="5"/>
  <c r="AT73" i="5"/>
  <c r="AT86" i="5"/>
  <c r="AT98" i="5"/>
  <c r="AT85" i="5"/>
  <c r="AT114" i="5"/>
  <c r="AT145" i="5"/>
  <c r="AT151" i="5"/>
  <c r="AT120" i="5"/>
  <c r="AT152" i="5"/>
  <c r="AT147" i="5"/>
  <c r="AT179" i="5"/>
  <c r="AT161" i="5"/>
  <c r="AT95" i="5"/>
  <c r="AT167" i="5"/>
  <c r="AT197" i="5"/>
  <c r="AT208" i="5"/>
  <c r="AT247" i="5"/>
  <c r="AT220" i="5"/>
  <c r="AT188" i="5"/>
  <c r="AT225" i="5"/>
  <c r="AT228" i="5"/>
  <c r="AT263" i="5"/>
  <c r="AT293" i="5"/>
  <c r="AT320" i="5"/>
  <c r="AT241" i="5"/>
  <c r="AT279" i="5"/>
  <c r="AT308" i="5"/>
  <c r="AT196" i="5"/>
  <c r="AT264" i="5"/>
  <c r="AT288" i="5"/>
  <c r="AT313" i="5"/>
  <c r="AT338" i="5"/>
  <c r="AT348" i="5"/>
  <c r="AT359" i="5"/>
  <c r="AT290" i="5"/>
  <c r="AT364" i="5"/>
  <c r="AT382" i="5"/>
  <c r="AT398" i="5"/>
  <c r="AT406" i="5"/>
  <c r="AT424" i="5"/>
  <c r="AT437" i="5"/>
  <c r="AT267" i="5"/>
  <c r="AT326" i="5"/>
  <c r="AT355" i="5"/>
  <c r="AT372" i="5"/>
  <c r="AT387" i="5"/>
  <c r="AT405" i="5"/>
  <c r="AT202" i="5"/>
  <c r="AT351" i="5"/>
  <c r="AT361" i="5"/>
  <c r="AT383" i="5"/>
  <c r="AT404" i="5"/>
  <c r="AT418" i="5"/>
  <c r="AT305" i="5"/>
  <c r="AT350" i="5"/>
  <c r="AT419" i="5"/>
  <c r="AT443" i="5"/>
  <c r="AT466" i="5"/>
  <c r="AT488" i="5"/>
  <c r="AT499" i="5"/>
  <c r="AT513" i="5"/>
  <c r="AT294" i="5"/>
  <c r="AT384" i="5"/>
  <c r="AT48" i="5"/>
  <c r="AT67" i="5"/>
  <c r="AT26" i="5"/>
  <c r="AT72" i="5"/>
  <c r="AT94" i="5"/>
  <c r="AT105" i="5"/>
  <c r="AT101" i="5"/>
  <c r="AT127" i="5"/>
  <c r="AT104" i="5"/>
  <c r="AT99" i="5"/>
  <c r="AT134" i="5"/>
  <c r="AT116" i="5"/>
  <c r="AT158" i="5"/>
  <c r="AT112" i="5"/>
  <c r="AT169" i="5"/>
  <c r="AT140" i="5"/>
  <c r="AT185" i="5"/>
  <c r="AT201" i="5"/>
  <c r="AT223" i="5"/>
  <c r="AT192" i="5"/>
  <c r="AT232" i="5"/>
  <c r="AT212" i="5"/>
  <c r="AT235" i="5"/>
  <c r="AT252" i="5"/>
  <c r="AT274" i="5"/>
  <c r="AT306" i="5"/>
  <c r="AT332" i="5"/>
  <c r="AT258" i="5"/>
  <c r="AT289" i="5"/>
  <c r="AT319" i="5"/>
  <c r="AT244" i="5"/>
  <c r="AT269" i="5"/>
  <c r="AT296" i="5"/>
  <c r="AT318" i="5"/>
  <c r="AT342" i="5"/>
  <c r="AT349" i="5"/>
  <c r="AT174" i="5"/>
  <c r="AT310" i="5"/>
  <c r="AT366" i="5"/>
  <c r="AT388" i="5"/>
  <c r="AT400" i="5"/>
  <c r="AT415" i="5"/>
  <c r="AT429" i="5"/>
  <c r="AT180" i="5"/>
  <c r="AT268" i="5"/>
  <c r="AT329" i="5"/>
  <c r="AT362" i="5"/>
  <c r="AT376" i="5"/>
  <c r="AT391" i="5"/>
  <c r="AT407" i="5"/>
  <c r="AT317" i="5"/>
  <c r="AT352" i="5"/>
  <c r="AT369" i="5"/>
  <c r="AT385" i="5"/>
  <c r="AT411" i="5"/>
  <c r="AT168" i="5"/>
  <c r="AT334" i="5"/>
  <c r="AT371" i="5"/>
  <c r="AT427" i="5"/>
  <c r="AT445" i="5"/>
  <c r="AT469" i="5"/>
  <c r="AT489" i="5"/>
  <c r="AT502" i="5"/>
  <c r="AT518" i="5"/>
  <c r="AT331" i="5"/>
  <c r="AT408" i="5"/>
  <c r="AT435" i="5"/>
  <c r="AT456" i="5"/>
  <c r="AT472" i="5"/>
  <c r="AT490" i="5"/>
  <c r="AT501" i="5"/>
  <c r="AT272" i="5"/>
  <c r="AT399" i="5"/>
  <c r="AT453" i="5"/>
  <c r="AT468" i="5"/>
  <c r="AT478" i="5"/>
  <c r="AT504" i="5"/>
  <c r="AT514" i="5"/>
  <c r="AT543" i="5"/>
  <c r="AT550" i="5"/>
  <c r="AT559" i="5"/>
  <c r="AT416" i="5"/>
  <c r="AT479" i="5"/>
  <c r="AT509" i="5"/>
  <c r="AT50" i="5"/>
  <c r="AT74" i="5"/>
  <c r="AT124" i="5"/>
  <c r="AT171" i="5"/>
  <c r="AT186" i="5"/>
  <c r="AT242" i="5"/>
  <c r="AT277" i="5"/>
  <c r="AT292" i="5"/>
  <c r="AT300" i="5"/>
  <c r="AT231" i="5"/>
  <c r="AT401" i="5"/>
  <c r="AT298" i="5"/>
  <c r="AT393" i="5"/>
  <c r="AT373" i="5"/>
  <c r="AT344" i="5"/>
  <c r="AT481" i="5"/>
  <c r="AT357" i="5"/>
  <c r="AT448" i="5"/>
  <c r="AT485" i="5"/>
  <c r="AT517" i="5"/>
  <c r="AT452" i="5"/>
  <c r="AT477" i="5"/>
  <c r="AT512" i="5"/>
  <c r="AT549" i="5"/>
  <c r="AT392" i="5"/>
  <c r="AT506" i="5"/>
  <c r="AT539" i="5"/>
  <c r="AT554" i="5"/>
  <c r="AT465" i="5"/>
  <c r="AT526" i="5"/>
  <c r="AT555" i="5"/>
  <c r="AT358" i="5"/>
  <c r="AT395" i="5"/>
  <c r="AT430" i="5"/>
  <c r="AT467" i="5"/>
  <c r="AT537" i="5"/>
  <c r="AT440" i="5"/>
  <c r="AT500" i="5"/>
  <c r="AT534" i="5"/>
  <c r="AT68" i="5"/>
  <c r="AT107" i="5"/>
  <c r="AT106" i="5"/>
  <c r="AT125" i="5"/>
  <c r="AT206" i="5"/>
  <c r="AT213" i="5"/>
  <c r="AT309" i="5"/>
  <c r="AT325" i="5"/>
  <c r="AT323" i="5"/>
  <c r="AT330" i="5"/>
  <c r="AT420" i="5"/>
  <c r="AT333" i="5"/>
  <c r="AT409" i="5"/>
  <c r="AT390" i="5"/>
  <c r="AT379" i="5"/>
  <c r="AT493" i="5"/>
  <c r="AT422" i="5"/>
  <c r="AT458" i="5"/>
  <c r="AT491" i="5"/>
  <c r="AT302" i="5"/>
  <c r="AT457" i="5"/>
  <c r="AT480" i="5"/>
  <c r="AT524" i="5"/>
  <c r="AT551" i="5"/>
  <c r="AT463" i="5"/>
  <c r="AT520" i="5"/>
  <c r="AT541" i="5"/>
  <c r="AT441" i="5"/>
  <c r="AT484" i="5"/>
  <c r="AT533" i="5"/>
  <c r="AT532" i="5"/>
  <c r="AT365" i="5"/>
  <c r="AT413" i="5"/>
  <c r="AT432" i="5"/>
  <c r="AT511" i="5"/>
  <c r="AT556" i="5"/>
  <c r="AT446" i="5"/>
  <c r="AT503" i="5"/>
  <c r="AT538" i="5"/>
  <c r="AT80" i="5"/>
  <c r="AT108" i="5"/>
  <c r="AT137" i="5"/>
  <c r="AT170" i="5"/>
  <c r="AT227" i="5"/>
  <c r="AT236" i="5"/>
  <c r="AT203" i="5"/>
  <c r="AT253" i="5"/>
  <c r="AT343" i="5"/>
  <c r="AT374" i="5"/>
  <c r="AT433" i="5"/>
  <c r="AT367" i="5"/>
  <c r="AT339" i="5"/>
  <c r="AT414" i="5"/>
  <c r="AT431" i="5"/>
  <c r="AT508" i="5"/>
  <c r="AT434" i="5"/>
  <c r="AT464" i="5"/>
  <c r="AT497" i="5"/>
  <c r="AT363" i="5"/>
  <c r="AT462" i="5"/>
  <c r="AT498" i="5"/>
  <c r="AT531" i="5"/>
  <c r="AT557" i="5"/>
  <c r="AT476" i="5"/>
  <c r="AT528" i="5"/>
  <c r="AT542" i="5"/>
  <c r="AT444" i="5"/>
  <c r="AT495" i="5"/>
  <c r="AT545" i="5"/>
  <c r="AT536" i="5"/>
  <c r="AT377" i="5"/>
  <c r="AT426" i="5"/>
  <c r="AT454" i="5"/>
  <c r="AT523" i="5"/>
  <c r="AT558" i="5"/>
  <c r="AT449" i="5"/>
  <c r="AT521" i="5"/>
  <c r="AT544" i="5"/>
  <c r="AT76" i="5"/>
  <c r="AT207" i="5"/>
  <c r="AT354" i="5"/>
  <c r="AT353" i="5"/>
  <c r="AT442" i="5"/>
  <c r="AT471" i="5"/>
  <c r="AT482" i="5"/>
  <c r="AT519" i="5"/>
  <c r="AT428" i="5"/>
  <c r="AT470" i="5"/>
  <c r="AT35" i="5"/>
  <c r="AT281" i="5"/>
  <c r="AT522" i="5"/>
  <c r="AT204" i="5"/>
  <c r="AT389" i="5"/>
  <c r="AT132" i="5"/>
  <c r="AT254" i="5"/>
  <c r="AT394" i="5"/>
  <c r="AT256" i="5"/>
  <c r="AT475" i="5"/>
  <c r="AT505" i="5"/>
  <c r="AT535" i="5"/>
  <c r="AT552" i="5"/>
  <c r="AT461" i="5"/>
  <c r="AT527" i="5"/>
  <c r="AT123" i="5"/>
  <c r="AT266" i="5"/>
  <c r="AT226" i="5"/>
  <c r="AT450" i="5"/>
  <c r="AT515" i="5"/>
  <c r="AT546" i="5"/>
  <c r="AT547" i="5"/>
  <c r="AT540" i="5"/>
  <c r="AT529" i="5"/>
  <c r="AT19" i="5"/>
  <c r="AT155" i="5"/>
  <c r="AT381" i="5"/>
  <c r="AT423" i="5"/>
  <c r="AT455" i="5"/>
  <c r="AT560" i="5"/>
  <c r="AV56" i="5"/>
  <c r="AU56" i="5"/>
  <c r="AU46" i="5"/>
  <c r="AV37" i="5"/>
  <c r="AU37" i="5"/>
  <c r="AZ7" i="5"/>
  <c r="AZ344" i="5"/>
  <c r="AZ302" i="5"/>
  <c r="AZ227" i="5"/>
  <c r="BB227" i="5" s="1"/>
  <c r="AZ256" i="5"/>
  <c r="BB256" i="5" s="1"/>
  <c r="AZ282" i="5"/>
  <c r="AZ240" i="5"/>
  <c r="BA240" i="5" s="1"/>
  <c r="AZ235" i="5"/>
  <c r="BB235" i="5" s="1"/>
  <c r="AZ236" i="5"/>
  <c r="BB236" i="5" s="1"/>
  <c r="AZ118" i="5"/>
  <c r="AZ115" i="5"/>
  <c r="AZ169" i="5"/>
  <c r="BA169" i="5" s="1"/>
  <c r="AZ107" i="5"/>
  <c r="BB107" i="5" s="1"/>
  <c r="AZ111" i="5"/>
  <c r="AZ103" i="5"/>
  <c r="AZ83" i="5"/>
  <c r="BA83" i="5" s="1"/>
  <c r="AZ53" i="5"/>
  <c r="BA53" i="5" s="1"/>
  <c r="AZ39" i="5"/>
  <c r="AZ38" i="5"/>
  <c r="AZ8" i="5"/>
  <c r="BA8" i="5" s="1"/>
  <c r="AZ373" i="5"/>
  <c r="BB373" i="5" s="1"/>
  <c r="AZ351" i="5"/>
  <c r="AZ309" i="5"/>
  <c r="AZ241" i="5"/>
  <c r="BA241" i="5" s="1"/>
  <c r="AZ269" i="5"/>
  <c r="BA269" i="5" s="1"/>
  <c r="AZ288" i="5"/>
  <c r="AZ191" i="5"/>
  <c r="AZ242" i="5"/>
  <c r="BB242" i="5" s="1"/>
  <c r="AZ179" i="5"/>
  <c r="BA179" i="5" s="1"/>
  <c r="AZ136" i="5"/>
  <c r="AZ134" i="5"/>
  <c r="AZ177" i="5"/>
  <c r="BA177" i="5" s="1"/>
  <c r="AZ119" i="5"/>
  <c r="BB119" i="5" s="1"/>
  <c r="AZ117" i="5"/>
  <c r="AZ94" i="5"/>
  <c r="AZ89" i="5"/>
  <c r="BB89" i="5" s="1"/>
  <c r="AZ75" i="5"/>
  <c r="BB75" i="5" s="1"/>
  <c r="AZ52" i="5"/>
  <c r="AZ44" i="5"/>
  <c r="BB44" i="5" s="1"/>
  <c r="AZ34" i="5"/>
  <c r="BA34" i="5" s="1"/>
  <c r="AZ206" i="5"/>
  <c r="BB206" i="5" s="1"/>
  <c r="AZ314" i="5"/>
  <c r="AZ251" i="5"/>
  <c r="AZ284" i="5"/>
  <c r="BA284" i="5" s="1"/>
  <c r="AZ300" i="5"/>
  <c r="BB300" i="5" s="1"/>
  <c r="AZ223" i="5"/>
  <c r="AZ178" i="5"/>
  <c r="AZ195" i="5"/>
  <c r="BA195" i="5" s="1"/>
  <c r="AZ174" i="5"/>
  <c r="BB174" i="5" s="1"/>
  <c r="AZ156" i="5"/>
  <c r="AZ141" i="5"/>
  <c r="AZ137" i="5"/>
  <c r="BA137" i="5" s="1"/>
  <c r="AZ125" i="5"/>
  <c r="BB125" i="5" s="1"/>
  <c r="AZ114" i="5"/>
  <c r="AZ92" i="5"/>
  <c r="AZ47" i="5"/>
  <c r="BB47" i="5" s="1"/>
  <c r="AZ51" i="5"/>
  <c r="BB51" i="5" s="1"/>
  <c r="AZ32" i="5"/>
  <c r="AZ45" i="5"/>
  <c r="AZ326" i="5"/>
  <c r="BA326" i="5" s="1"/>
  <c r="AZ274" i="5"/>
  <c r="BB274" i="5" s="1"/>
  <c r="AZ219" i="5"/>
  <c r="AZ197" i="5"/>
  <c r="AZ132" i="5"/>
  <c r="BB132" i="5" s="1"/>
  <c r="AZ81" i="5"/>
  <c r="BB81" i="5" s="1"/>
  <c r="AZ80" i="5"/>
  <c r="AZ70" i="5"/>
  <c r="AZ68" i="5"/>
  <c r="BA68" i="5" s="1"/>
  <c r="AZ43" i="5"/>
  <c r="BA43" i="5" s="1"/>
  <c r="O12" i="5"/>
  <c r="AZ352" i="5"/>
  <c r="BB352" i="5" s="1"/>
  <c r="AZ339" i="5"/>
  <c r="BB339" i="5" s="1"/>
  <c r="AZ295" i="5"/>
  <c r="BA295" i="5" s="1"/>
  <c r="AZ188" i="5"/>
  <c r="AZ247" i="5"/>
  <c r="AZ279" i="5"/>
  <c r="BB279" i="5" s="1"/>
  <c r="AZ237" i="5"/>
  <c r="BA237" i="5" s="1"/>
  <c r="AZ226" i="5"/>
  <c r="AZ230" i="5"/>
  <c r="AZ201" i="5"/>
  <c r="BA201" i="5" s="1"/>
  <c r="AZ180" i="5"/>
  <c r="BB180" i="5" s="1"/>
  <c r="AZ163" i="5"/>
  <c r="AZ154" i="5"/>
  <c r="AZ100" i="5"/>
  <c r="BA100" i="5" s="1"/>
  <c r="AZ86" i="5"/>
  <c r="BA86" i="5" s="1"/>
  <c r="AZ84" i="5"/>
  <c r="AZ78" i="5"/>
  <c r="AZ21" i="5"/>
  <c r="BA21" i="5" s="1"/>
  <c r="AZ30" i="5"/>
  <c r="BA30" i="5" s="1"/>
  <c r="AZ369" i="5"/>
  <c r="AZ346" i="5"/>
  <c r="AZ306" i="5"/>
  <c r="BA306" i="5" s="1"/>
  <c r="AZ232" i="5"/>
  <c r="BB232" i="5" s="1"/>
  <c r="AZ262" i="5"/>
  <c r="AZ285" i="5"/>
  <c r="AZ189" i="5"/>
  <c r="BA189" i="5" s="1"/>
  <c r="AZ238" i="5"/>
  <c r="BB238" i="5" s="1"/>
  <c r="AZ243" i="5"/>
  <c r="AZ130" i="5"/>
  <c r="AZ122" i="5"/>
  <c r="BB122" i="5" s="1"/>
  <c r="AZ175" i="5"/>
  <c r="BA175" i="5" s="1"/>
  <c r="AZ113" i="5"/>
  <c r="AZ112" i="5"/>
  <c r="BB112" i="5" s="1"/>
  <c r="AZ109" i="5"/>
  <c r="BA109" i="5" s="1"/>
  <c r="AZ88" i="5"/>
  <c r="BB88" i="5" s="1"/>
  <c r="AZ71" i="5"/>
  <c r="AZ48" i="5"/>
  <c r="AZ41" i="5"/>
  <c r="BB41" i="5" s="1"/>
  <c r="AZ29" i="5"/>
  <c r="BA29" i="5" s="1"/>
  <c r="AZ332" i="5"/>
  <c r="AZ283" i="5"/>
  <c r="AZ157" i="5"/>
  <c r="BB157" i="5" s="1"/>
  <c r="AZ231" i="5"/>
  <c r="BA231" i="5" s="1"/>
  <c r="AZ221" i="5"/>
  <c r="AZ172" i="5"/>
  <c r="AZ147" i="5"/>
  <c r="BA147" i="5" s="1"/>
  <c r="AZ105" i="5"/>
  <c r="BA105" i="5" s="1"/>
  <c r="AZ322" i="5"/>
  <c r="AZ263" i="5"/>
  <c r="AZ298" i="5"/>
  <c r="BA298" i="5" s="1"/>
  <c r="AZ313" i="5"/>
  <c r="BA313" i="5" s="1"/>
  <c r="AZ261" i="5"/>
  <c r="AZ199" i="5"/>
  <c r="AZ210" i="5"/>
  <c r="BA210" i="5" s="1"/>
  <c r="AZ208" i="5"/>
  <c r="BA208" i="5" s="1"/>
  <c r="AZ168" i="5"/>
  <c r="AZ159" i="5"/>
  <c r="AZ145" i="5"/>
  <c r="BA145" i="5" s="1"/>
  <c r="AZ133" i="5"/>
  <c r="BA133" i="5" s="1"/>
  <c r="AZ131" i="5"/>
  <c r="AZ97" i="5"/>
  <c r="AZ65" i="5"/>
  <c r="BB65" i="5" s="1"/>
  <c r="AZ61" i="5"/>
  <c r="BB61" i="5" s="1"/>
  <c r="AZ56" i="5"/>
  <c r="AZ26" i="5"/>
  <c r="BA26" i="5" s="1"/>
  <c r="AZ411" i="5"/>
  <c r="BB411" i="5" s="1"/>
  <c r="AZ316" i="5"/>
  <c r="BA316" i="5" s="1"/>
  <c r="AZ329" i="5"/>
  <c r="AZ268" i="5"/>
  <c r="AZ317" i="5"/>
  <c r="BB317" i="5" s="1"/>
  <c r="AZ323" i="5"/>
  <c r="BA323" i="5" s="1"/>
  <c r="AZ266" i="5"/>
  <c r="AZ202" i="5"/>
  <c r="AZ214" i="5"/>
  <c r="BB214" i="5" s="1"/>
  <c r="AZ213" i="5"/>
  <c r="BB213" i="5" s="1"/>
  <c r="AZ183" i="5"/>
  <c r="AZ166" i="5"/>
  <c r="AZ101" i="5"/>
  <c r="BA101" i="5" s="1"/>
  <c r="AZ138" i="5"/>
  <c r="BA138" i="5" s="1"/>
  <c r="AZ144" i="5"/>
  <c r="AZ74" i="5"/>
  <c r="AZ76" i="5"/>
  <c r="BB76" i="5" s="1"/>
  <c r="AZ54" i="5"/>
  <c r="BB54" i="5" s="1"/>
  <c r="AZ64" i="5"/>
  <c r="AZ31" i="5"/>
  <c r="AZ338" i="5"/>
  <c r="BA338" i="5" s="1"/>
  <c r="AZ337" i="5"/>
  <c r="BA337" i="5" s="1"/>
  <c r="AZ287" i="5"/>
  <c r="AZ331" i="5"/>
  <c r="AZ207" i="5"/>
  <c r="BA207" i="5" s="1"/>
  <c r="AZ276" i="5"/>
  <c r="BA276" i="5" s="1"/>
  <c r="AZ234" i="5"/>
  <c r="AZ222" i="5"/>
  <c r="AZ225" i="5"/>
  <c r="BA225" i="5" s="1"/>
  <c r="AZ198" i="5"/>
  <c r="BB198" i="5" s="1"/>
  <c r="AZ176" i="5"/>
  <c r="AZ160" i="5"/>
  <c r="BA160" i="5" s="1"/>
  <c r="AZ149" i="5"/>
  <c r="BB149" i="5" s="1"/>
  <c r="AZ85" i="5"/>
  <c r="BB85" i="5" s="1"/>
  <c r="AZ108" i="5"/>
  <c r="AZ82" i="5"/>
  <c r="AZ72" i="5"/>
  <c r="BA72" i="5" s="1"/>
  <c r="AZ73" i="5"/>
  <c r="BA73" i="5" s="1"/>
  <c r="U287" i="5"/>
  <c r="AV221" i="5"/>
  <c r="AU221" i="5"/>
  <c r="AU160" i="5"/>
  <c r="AV160" i="5"/>
  <c r="AV79" i="5"/>
  <c r="AU79" i="5"/>
  <c r="AU234" i="5"/>
  <c r="AV234" i="5"/>
  <c r="AV189" i="5"/>
  <c r="AU189" i="5"/>
  <c r="AU181" i="5"/>
  <c r="AV181" i="5"/>
  <c r="AV173" i="5"/>
  <c r="AU173" i="5"/>
  <c r="AU126" i="5"/>
  <c r="AV126" i="5"/>
  <c r="AV87" i="5"/>
  <c r="AV31" i="5"/>
  <c r="AJ172" i="5"/>
  <c r="AK172" i="5" s="1"/>
  <c r="AV316" i="5"/>
  <c r="AU316" i="5"/>
  <c r="AV250" i="5"/>
  <c r="AU250" i="5"/>
  <c r="AU301" i="5"/>
  <c r="AV301" i="5"/>
  <c r="AV251" i="5"/>
  <c r="AU251" i="5"/>
  <c r="AU195" i="5"/>
  <c r="AV195" i="5"/>
  <c r="AV164" i="5"/>
  <c r="AU164" i="5"/>
  <c r="AV199" i="5"/>
  <c r="AU199" i="5"/>
  <c r="AV133" i="5"/>
  <c r="AU133" i="5"/>
  <c r="AU187" i="5"/>
  <c r="AV187" i="5"/>
  <c r="AV110" i="5"/>
  <c r="AU110" i="5"/>
  <c r="AV92" i="5"/>
  <c r="AU92" i="5"/>
  <c r="AV121" i="5"/>
  <c r="AU121" i="5"/>
  <c r="AV103" i="5"/>
  <c r="AU103" i="5"/>
  <c r="AU55" i="5"/>
  <c r="AV55" i="5"/>
  <c r="AV65" i="5"/>
  <c r="AU65" i="5"/>
  <c r="AV47" i="5"/>
  <c r="AU47" i="5"/>
  <c r="AU307" i="5"/>
  <c r="AV307" i="5"/>
  <c r="AV200" i="5"/>
  <c r="AU200" i="5"/>
  <c r="AU282" i="5"/>
  <c r="AV282" i="5"/>
  <c r="AU322" i="5"/>
  <c r="AV322" i="5"/>
  <c r="AU265" i="5"/>
  <c r="AV265" i="5"/>
  <c r="AV230" i="5"/>
  <c r="AU230" i="5"/>
  <c r="AU224" i="5"/>
  <c r="AV224" i="5"/>
  <c r="AU215" i="5"/>
  <c r="AV215" i="5"/>
  <c r="AV172" i="5"/>
  <c r="AU172" i="5"/>
  <c r="AU150" i="5"/>
  <c r="AV150" i="5"/>
  <c r="AU122" i="5"/>
  <c r="AV122" i="5"/>
  <c r="AU90" i="5"/>
  <c r="AV90" i="5"/>
  <c r="AU63" i="5"/>
  <c r="AV63" i="5"/>
  <c r="AU53" i="5"/>
  <c r="AV53" i="5"/>
  <c r="AU21" i="5"/>
  <c r="AV21" i="5"/>
  <c r="B142" i="2"/>
  <c r="B144" i="2" s="1"/>
  <c r="H58" i="1" s="1"/>
  <c r="B62" i="5"/>
  <c r="AV328" i="5"/>
  <c r="AU328" i="5"/>
  <c r="AU257" i="5"/>
  <c r="AV257" i="5"/>
  <c r="AV211" i="5"/>
  <c r="AU211" i="5"/>
  <c r="AU176" i="5"/>
  <c r="AV176" i="5"/>
  <c r="AU131" i="5"/>
  <c r="AV131" i="5"/>
  <c r="AU135" i="5"/>
  <c r="AV135" i="5"/>
  <c r="AU118" i="5"/>
  <c r="AV118" i="5"/>
  <c r="AV141" i="5"/>
  <c r="AU141" i="5"/>
  <c r="AU78" i="5"/>
  <c r="AV78" i="5"/>
  <c r="AU23" i="5"/>
  <c r="AV23" i="5"/>
  <c r="AV25" i="5"/>
  <c r="AU25" i="5"/>
  <c r="AU335" i="5"/>
  <c r="AV335" i="5"/>
  <c r="AU259" i="5"/>
  <c r="AV259" i="5"/>
  <c r="AU297" i="5"/>
  <c r="AV297" i="5"/>
  <c r="AU205" i="5"/>
  <c r="AV205" i="5"/>
  <c r="AV280" i="5"/>
  <c r="AU280" i="5"/>
  <c r="AV238" i="5"/>
  <c r="AU238" i="5"/>
  <c r="AV243" i="5"/>
  <c r="AU243" i="5"/>
  <c r="AV138" i="5"/>
  <c r="AU138" i="5"/>
  <c r="AU83" i="5"/>
  <c r="AV83" i="5"/>
  <c r="AU22" i="5"/>
  <c r="AV22" i="5"/>
  <c r="AV64" i="5"/>
  <c r="AU64" i="5"/>
  <c r="AJ166" i="5"/>
  <c r="AJ7" i="5"/>
  <c r="AJ109" i="5"/>
  <c r="AL109" i="5" s="1"/>
  <c r="AJ121" i="5"/>
  <c r="AL121" i="5" s="1"/>
  <c r="V242" i="5"/>
  <c r="AU32" i="5"/>
  <c r="AV299" i="5"/>
  <c r="AU299" i="5"/>
  <c r="AU210" i="5"/>
  <c r="AV210" i="5"/>
  <c r="AU283" i="5"/>
  <c r="AV283" i="5"/>
  <c r="AV240" i="5"/>
  <c r="AU240" i="5"/>
  <c r="AV159" i="5"/>
  <c r="AU159" i="5"/>
  <c r="AU239" i="5"/>
  <c r="AV239" i="5"/>
  <c r="AU190" i="5"/>
  <c r="AV190" i="5"/>
  <c r="AV182" i="5"/>
  <c r="AU182" i="5"/>
  <c r="AU177" i="5"/>
  <c r="AV177" i="5"/>
  <c r="AU139" i="5"/>
  <c r="AV139" i="5"/>
  <c r="AU142" i="5"/>
  <c r="AV142" i="5"/>
  <c r="AU100" i="5"/>
  <c r="AV100" i="5"/>
  <c r="AV96" i="5"/>
  <c r="AU96" i="5"/>
  <c r="AU69" i="5"/>
  <c r="AV69" i="5"/>
  <c r="AV41" i="5"/>
  <c r="AU41" i="5"/>
  <c r="AU34" i="5"/>
  <c r="AV34" i="5"/>
  <c r="AU291" i="5"/>
  <c r="AV291" i="5"/>
  <c r="AU327" i="5"/>
  <c r="AV327" i="5"/>
  <c r="AV270" i="5"/>
  <c r="AU270" i="5"/>
  <c r="AV312" i="5"/>
  <c r="AU312" i="5"/>
  <c r="AU217" i="5"/>
  <c r="AV217" i="5"/>
  <c r="AV209" i="5"/>
  <c r="AU209" i="5"/>
  <c r="AV128" i="5"/>
  <c r="AU128" i="5"/>
  <c r="AU129" i="5"/>
  <c r="AV129" i="5"/>
  <c r="AV109" i="5"/>
  <c r="AU109" i="5"/>
  <c r="AV136" i="5"/>
  <c r="AU136" i="5"/>
  <c r="AV75" i="5"/>
  <c r="AU75" i="5"/>
  <c r="AU77" i="5"/>
  <c r="AV77" i="5"/>
  <c r="AU20" i="5"/>
  <c r="AV20" i="5"/>
  <c r="AV51" i="5"/>
  <c r="AU51" i="5"/>
  <c r="AV8" i="5"/>
  <c r="AU8" i="5"/>
  <c r="AJ43" i="5"/>
  <c r="V484" i="5"/>
  <c r="AU237" i="5"/>
  <c r="AV237" i="5"/>
  <c r="AU286" i="5"/>
  <c r="AV286" i="5"/>
  <c r="AV324" i="5"/>
  <c r="AU324" i="5"/>
  <c r="AV273" i="5"/>
  <c r="AU273" i="5"/>
  <c r="AU233" i="5"/>
  <c r="AV233" i="5"/>
  <c r="AU229" i="5"/>
  <c r="AV229" i="5"/>
  <c r="AU218" i="5"/>
  <c r="AV218" i="5"/>
  <c r="AV175" i="5"/>
  <c r="AU175" i="5"/>
  <c r="AV165" i="5"/>
  <c r="AU165" i="5"/>
  <c r="AV153" i="5"/>
  <c r="AU153" i="5"/>
  <c r="AU130" i="5"/>
  <c r="AV130" i="5"/>
  <c r="AV89" i="5"/>
  <c r="AU89" i="5"/>
  <c r="AV91" i="5"/>
  <c r="AU91" i="5"/>
  <c r="AV93" i="5"/>
  <c r="AU93" i="5"/>
  <c r="AV66" i="5"/>
  <c r="AU66" i="5"/>
  <c r="AU54" i="5"/>
  <c r="AV54" i="5"/>
  <c r="AU39" i="5"/>
  <c r="AV39" i="5"/>
  <c r="AU271" i="5"/>
  <c r="AV271" i="5"/>
  <c r="AU311" i="5"/>
  <c r="AV311" i="5"/>
  <c r="AU246" i="5"/>
  <c r="AV246" i="5"/>
  <c r="AV295" i="5"/>
  <c r="AU295" i="5"/>
  <c r="AU249" i="5"/>
  <c r="AV249" i="5"/>
  <c r="AV191" i="5"/>
  <c r="AU191" i="5"/>
  <c r="AU248" i="5"/>
  <c r="AV248" i="5"/>
  <c r="AU198" i="5"/>
  <c r="AV198" i="5"/>
  <c r="AV111" i="5"/>
  <c r="AU111" i="5"/>
  <c r="AV183" i="5"/>
  <c r="AU183" i="5"/>
  <c r="AV84" i="5"/>
  <c r="AU84" i="5"/>
  <c r="AU156" i="5"/>
  <c r="AV156" i="5"/>
  <c r="AV115" i="5"/>
  <c r="AU115" i="5"/>
  <c r="AV102" i="5"/>
  <c r="AU102" i="5"/>
  <c r="AU52" i="5"/>
  <c r="AV52" i="5"/>
  <c r="AU62" i="5"/>
  <c r="AV62" i="5"/>
  <c r="AU43" i="5"/>
  <c r="AV43" i="5"/>
  <c r="AV24" i="5"/>
  <c r="AU24" i="5"/>
  <c r="AV42" i="5"/>
  <c r="AU42" i="5"/>
  <c r="AV28" i="5"/>
  <c r="AU28" i="5"/>
  <c r="AV29" i="5"/>
  <c r="AU29" i="5"/>
  <c r="AV30" i="5"/>
  <c r="AU30" i="5"/>
  <c r="AV38" i="5"/>
  <c r="AU38" i="5"/>
  <c r="AZ25" i="5"/>
  <c r="AZ42" i="5"/>
  <c r="AZ58" i="5"/>
  <c r="AZ62" i="5"/>
  <c r="AZ96" i="5"/>
  <c r="AZ129" i="5"/>
  <c r="AZ128" i="5"/>
  <c r="AZ142" i="5"/>
  <c r="AZ153" i="5"/>
  <c r="AZ162" i="5"/>
  <c r="AZ205" i="5"/>
  <c r="AZ204" i="5"/>
  <c r="AZ186" i="5"/>
  <c r="AZ259" i="5"/>
  <c r="AZ307" i="5"/>
  <c r="AZ294" i="5"/>
  <c r="AZ257" i="5"/>
  <c r="AZ320" i="5"/>
  <c r="AZ358" i="5"/>
  <c r="AZ335" i="5"/>
  <c r="AZ383" i="5"/>
  <c r="AZ410" i="5"/>
  <c r="AZ428" i="5"/>
  <c r="AZ440" i="5"/>
  <c r="AZ277" i="5"/>
  <c r="AZ345" i="5"/>
  <c r="AZ361" i="5"/>
  <c r="AZ375" i="5"/>
  <c r="AZ386" i="5"/>
  <c r="AZ399" i="5"/>
  <c r="AZ417" i="5"/>
  <c r="AZ245" i="5"/>
  <c r="AZ280" i="5"/>
  <c r="AZ333" i="5"/>
  <c r="AZ342" i="5"/>
  <c r="AZ364" i="5"/>
  <c r="AZ378" i="5"/>
  <c r="AZ398" i="5"/>
  <c r="AZ416" i="5"/>
  <c r="AZ368" i="5"/>
  <c r="AZ452" i="5"/>
  <c r="AZ460" i="5"/>
  <c r="AZ478" i="5"/>
  <c r="AZ504" i="5"/>
  <c r="AZ531" i="5"/>
  <c r="AZ382" i="5"/>
  <c r="AZ403" i="5"/>
  <c r="AZ429" i="5"/>
  <c r="AZ461" i="5"/>
  <c r="AZ468" i="5"/>
  <c r="AZ480" i="5"/>
  <c r="AZ507" i="5"/>
  <c r="AZ516" i="5"/>
  <c r="AZ353" i="5"/>
  <c r="AZ405" i="5"/>
  <c r="AZ441" i="5"/>
  <c r="AZ453" i="5"/>
  <c r="AZ466" i="5"/>
  <c r="AZ479" i="5"/>
  <c r="AZ488" i="5"/>
  <c r="AZ494" i="5"/>
  <c r="AZ502" i="5"/>
  <c r="AZ509" i="5"/>
  <c r="AZ522" i="5"/>
  <c r="AZ545" i="5"/>
  <c r="AZ229" i="5"/>
  <c r="AZ425" i="5"/>
  <c r="AZ513" i="5"/>
  <c r="AZ529" i="5"/>
  <c r="AZ548" i="5"/>
  <c r="AZ558" i="5"/>
  <c r="AZ448" i="5"/>
  <c r="AZ544" i="5"/>
  <c r="AZ407" i="5"/>
  <c r="AZ501" i="5"/>
  <c r="AZ541" i="5"/>
  <c r="AZ559" i="5"/>
  <c r="AZ464" i="5"/>
  <c r="AZ19" i="5"/>
  <c r="AZ37" i="5"/>
  <c r="AZ67" i="5"/>
  <c r="AZ57" i="5"/>
  <c r="AZ77" i="5"/>
  <c r="AZ102" i="5"/>
  <c r="AZ151" i="5"/>
  <c r="AZ146" i="5"/>
  <c r="AZ104" i="5"/>
  <c r="AZ170" i="5"/>
  <c r="AZ187" i="5"/>
  <c r="AZ216" i="5"/>
  <c r="AZ217" i="5"/>
  <c r="AZ215" i="5"/>
  <c r="AZ271" i="5"/>
  <c r="AZ327" i="5"/>
  <c r="AZ321" i="5"/>
  <c r="AZ275" i="5"/>
  <c r="AZ330" i="5"/>
  <c r="AZ224" i="5"/>
  <c r="AZ360" i="5"/>
  <c r="AZ385" i="5"/>
  <c r="AZ414" i="5"/>
  <c r="AZ431" i="5"/>
  <c r="AZ250" i="5"/>
  <c r="AZ293" i="5"/>
  <c r="AZ350" i="5"/>
  <c r="AZ363" i="5"/>
  <c r="AZ377" i="5"/>
  <c r="AZ389" i="5"/>
  <c r="AZ402" i="5"/>
  <c r="AZ418" i="5"/>
  <c r="AZ254" i="5"/>
  <c r="AZ286" i="5"/>
  <c r="AZ336" i="5"/>
  <c r="AZ348" i="5"/>
  <c r="AZ366" i="5"/>
  <c r="AZ379" i="5"/>
  <c r="AZ400" i="5"/>
  <c r="AZ311" i="5"/>
  <c r="AZ401" i="5"/>
  <c r="AZ457" i="5"/>
  <c r="AZ471" i="5"/>
  <c r="AZ490" i="5"/>
  <c r="AZ515" i="5"/>
  <c r="AZ532" i="5"/>
  <c r="AZ391" i="5"/>
  <c r="AZ412" i="5"/>
  <c r="AZ439" i="5"/>
  <c r="AZ462" i="5"/>
  <c r="AZ470" i="5"/>
  <c r="AZ484" i="5"/>
  <c r="AZ511" i="5"/>
  <c r="AZ519" i="5"/>
  <c r="AZ381" i="5"/>
  <c r="AZ430" i="5"/>
  <c r="AZ443" i="5"/>
  <c r="AZ454" i="5"/>
  <c r="AZ469" i="5"/>
  <c r="AZ482" i="5"/>
  <c r="AZ489" i="5"/>
  <c r="AZ495" i="5"/>
  <c r="AZ503" i="5"/>
  <c r="AZ510" i="5"/>
  <c r="AZ523" i="5"/>
  <c r="AZ554" i="5"/>
  <c r="AZ297" i="5"/>
  <c r="AZ449" i="5"/>
  <c r="AZ517" i="5"/>
  <c r="AZ534" i="5"/>
  <c r="AZ553" i="5"/>
  <c r="AZ433" i="5"/>
  <c r="AZ524" i="5"/>
  <c r="AZ549" i="5"/>
  <c r="AZ424" i="5"/>
  <c r="AZ528" i="5"/>
  <c r="AZ542" i="5"/>
  <c r="AZ372" i="5"/>
  <c r="AZ483" i="5"/>
  <c r="AZ33" i="5"/>
  <c r="AZ28" i="5"/>
  <c r="AZ49" i="5"/>
  <c r="AZ93" i="5"/>
  <c r="AZ87" i="5"/>
  <c r="AZ106" i="5"/>
  <c r="AZ155" i="5"/>
  <c r="AZ167" i="5"/>
  <c r="AZ185" i="5"/>
  <c r="AZ203" i="5"/>
  <c r="AZ233" i="5"/>
  <c r="AZ228" i="5"/>
  <c r="AZ239" i="5"/>
  <c r="AZ281" i="5"/>
  <c r="AZ253" i="5"/>
  <c r="AZ192" i="5"/>
  <c r="AZ301" i="5"/>
  <c r="AZ343" i="5"/>
  <c r="AZ258" i="5"/>
  <c r="AZ367" i="5"/>
  <c r="AZ404" i="5"/>
  <c r="AZ420" i="5"/>
  <c r="AZ435" i="5"/>
  <c r="AZ252" i="5"/>
  <c r="AZ304" i="5"/>
  <c r="AZ356" i="5"/>
  <c r="AZ365" i="5"/>
  <c r="AZ380" i="5"/>
  <c r="AZ390" i="5"/>
  <c r="AZ408" i="5"/>
  <c r="AZ419" i="5"/>
  <c r="AZ267" i="5"/>
  <c r="AZ289" i="5"/>
  <c r="AZ340" i="5"/>
  <c r="AZ349" i="5"/>
  <c r="AZ371" i="5"/>
  <c r="AZ388" i="5"/>
  <c r="AZ406" i="5"/>
  <c r="AZ354" i="5"/>
  <c r="AZ422" i="5"/>
  <c r="AZ458" i="5"/>
  <c r="AZ472" i="5"/>
  <c r="AZ496" i="5"/>
  <c r="AZ525" i="5"/>
  <c r="AZ270" i="5"/>
  <c r="AZ394" i="5"/>
  <c r="AZ426" i="5"/>
  <c r="AZ446" i="5"/>
  <c r="AZ465" i="5"/>
  <c r="AZ474" i="5"/>
  <c r="AZ498" i="5"/>
  <c r="AZ512" i="5"/>
  <c r="AZ308" i="5"/>
  <c r="AZ387" i="5"/>
  <c r="AZ432" i="5"/>
  <c r="AZ444" i="5"/>
  <c r="AZ455" i="5"/>
  <c r="AZ473" i="5"/>
  <c r="AZ486" i="5"/>
  <c r="AZ492" i="5"/>
  <c r="AZ499" i="5"/>
  <c r="AZ505" i="5"/>
  <c r="AZ518" i="5"/>
  <c r="AZ530" i="5"/>
  <c r="AZ555" i="5"/>
  <c r="AZ328" i="5"/>
  <c r="AZ456" i="5"/>
  <c r="AZ521" i="5"/>
  <c r="AZ536" i="5"/>
  <c r="AZ557" i="5"/>
  <c r="AZ437" i="5"/>
  <c r="AZ538" i="5"/>
  <c r="AZ550" i="5"/>
  <c r="AZ481" i="5"/>
  <c r="AZ533" i="5"/>
  <c r="AZ547" i="5"/>
  <c r="AZ438" i="5"/>
  <c r="AZ537" i="5"/>
  <c r="AZ36" i="5"/>
  <c r="AZ46" i="5"/>
  <c r="AZ63" i="5"/>
  <c r="AZ79" i="5"/>
  <c r="AZ90" i="5"/>
  <c r="AZ99" i="5"/>
  <c r="AZ120" i="5"/>
  <c r="AZ124" i="5"/>
  <c r="AZ181" i="5"/>
  <c r="AZ143" i="5"/>
  <c r="AZ165" i="5"/>
  <c r="AZ182" i="5"/>
  <c r="AZ244" i="5"/>
  <c r="AZ193" i="5"/>
  <c r="AZ291" i="5"/>
  <c r="AZ272" i="5"/>
  <c r="AZ248" i="5"/>
  <c r="AZ310" i="5"/>
  <c r="AZ357" i="5"/>
  <c r="AZ319" i="5"/>
  <c r="AZ376" i="5"/>
  <c r="AZ409" i="5"/>
  <c r="AZ423" i="5"/>
  <c r="AZ436" i="5"/>
  <c r="AZ260" i="5"/>
  <c r="AZ334" i="5"/>
  <c r="AZ359" i="5"/>
  <c r="AZ370" i="5"/>
  <c r="AZ384" i="5"/>
  <c r="AZ392" i="5"/>
  <c r="AZ413" i="5"/>
  <c r="AZ209" i="5"/>
  <c r="AZ273" i="5"/>
  <c r="AZ292" i="5"/>
  <c r="AZ341" i="5"/>
  <c r="AZ355" i="5"/>
  <c r="AZ374" i="5"/>
  <c r="AZ395" i="5"/>
  <c r="AZ415" i="5"/>
  <c r="AZ362" i="5"/>
  <c r="AZ442" i="5"/>
  <c r="AZ459" i="5"/>
  <c r="AZ475" i="5"/>
  <c r="AZ497" i="5"/>
  <c r="AZ526" i="5"/>
  <c r="AZ325" i="5"/>
  <c r="AZ397" i="5"/>
  <c r="AZ427" i="5"/>
  <c r="AZ447" i="5"/>
  <c r="AZ467" i="5"/>
  <c r="AZ477" i="5"/>
  <c r="AZ506" i="5"/>
  <c r="AZ514" i="5"/>
  <c r="AZ347" i="5"/>
  <c r="AZ396" i="5"/>
  <c r="AZ434" i="5"/>
  <c r="AZ451" i="5"/>
  <c r="AZ463" i="5"/>
  <c r="AZ476" i="5"/>
  <c r="AZ487" i="5"/>
  <c r="AZ493" i="5"/>
  <c r="AZ500" i="5"/>
  <c r="AZ508" i="5"/>
  <c r="AZ520" i="5"/>
  <c r="AZ539" i="5"/>
  <c r="AZ556" i="5"/>
  <c r="AZ421" i="5"/>
  <c r="AZ485" i="5"/>
  <c r="AZ527" i="5"/>
  <c r="AZ540" i="5"/>
  <c r="AZ560" i="5"/>
  <c r="AZ445" i="5"/>
  <c r="AZ543" i="5"/>
  <c r="AZ551" i="5"/>
  <c r="AZ491" i="5"/>
  <c r="AZ535" i="5"/>
  <c r="AZ552" i="5"/>
  <c r="AZ450" i="5"/>
  <c r="AZ546" i="5"/>
  <c r="AW26" i="5"/>
  <c r="AW48" i="5"/>
  <c r="AW33" i="5"/>
  <c r="AW46" i="5"/>
  <c r="AW32" i="5"/>
  <c r="AW45" i="5"/>
  <c r="AW34" i="5"/>
  <c r="AW59" i="5"/>
  <c r="AW36" i="5"/>
  <c r="AW54" i="5"/>
  <c r="AW65" i="5"/>
  <c r="AW40" i="5"/>
  <c r="AW58" i="5"/>
  <c r="AW83" i="5"/>
  <c r="AW70" i="5"/>
  <c r="AW81" i="5"/>
  <c r="AW99" i="5"/>
  <c r="AW84" i="5"/>
  <c r="AW95" i="5"/>
  <c r="AW107" i="5"/>
  <c r="AW111" i="5"/>
  <c r="AW120" i="5"/>
  <c r="AW135" i="5"/>
  <c r="AW152" i="5"/>
  <c r="AW115" i="5"/>
  <c r="AW130" i="5"/>
  <c r="AW141" i="5"/>
  <c r="AW157" i="5"/>
  <c r="AW102" i="5"/>
  <c r="AW114" i="5"/>
  <c r="AW131" i="5"/>
  <c r="AW147" i="5"/>
  <c r="AW155" i="5"/>
  <c r="AW164" i="5"/>
  <c r="AW176" i="5"/>
  <c r="AW156" i="5"/>
  <c r="AW183" i="5"/>
  <c r="AW170" i="5"/>
  <c r="AW188" i="5"/>
  <c r="AW205" i="5"/>
  <c r="AW148" i="5"/>
  <c r="AW195" i="5"/>
  <c r="AW214" i="5"/>
  <c r="AW226" i="5"/>
  <c r="AW240" i="5"/>
  <c r="AW197" i="5"/>
  <c r="AW231" i="5"/>
  <c r="AW169" i="5"/>
  <c r="AW187" i="5"/>
  <c r="AW198" i="5"/>
  <c r="AW216" i="5"/>
  <c r="AW224" i="5"/>
  <c r="AW241" i="5"/>
  <c r="AW233" i="5"/>
  <c r="AW253" i="5"/>
  <c r="AW272" i="5"/>
  <c r="AW294" i="5"/>
  <c r="AW310" i="5"/>
  <c r="AW329" i="5"/>
  <c r="AW225" i="5"/>
  <c r="AW251" i="5"/>
  <c r="AW263" i="5"/>
  <c r="AW280" i="5"/>
  <c r="AW295" i="5"/>
  <c r="AW312" i="5"/>
  <c r="AW322" i="5"/>
  <c r="AW213" i="5"/>
  <c r="AW252" i="5"/>
  <c r="AW270" i="5"/>
  <c r="AW282" i="5"/>
  <c r="AW297" i="5"/>
  <c r="AW311" i="5"/>
  <c r="AW328" i="5"/>
  <c r="AW347" i="5"/>
  <c r="AW246" i="5"/>
  <c r="AW313" i="5"/>
  <c r="AW345" i="5"/>
  <c r="AW357" i="5"/>
  <c r="AW370" i="5"/>
  <c r="AW380" i="5"/>
  <c r="AW392" i="5"/>
  <c r="AW413" i="5"/>
  <c r="AW427" i="5"/>
  <c r="AW271" i="5"/>
  <c r="AW341" i="5"/>
  <c r="O13" i="5"/>
  <c r="AJ13" i="5" s="1"/>
  <c r="AW22" i="5"/>
  <c r="AW31" i="5"/>
  <c r="AW20" i="5"/>
  <c r="AW38" i="5"/>
  <c r="AW21" i="5"/>
  <c r="AW35" i="5"/>
  <c r="AW52" i="5"/>
  <c r="AW51" i="5"/>
  <c r="AW61" i="5"/>
  <c r="AW47" i="5"/>
  <c r="AW56" i="5"/>
  <c r="AW71" i="5"/>
  <c r="AW60" i="5"/>
  <c r="AW68" i="5"/>
  <c r="AW88" i="5"/>
  <c r="AW72" i="5"/>
  <c r="AW85" i="5"/>
  <c r="AW101" i="5"/>
  <c r="AW89" i="5"/>
  <c r="AW96" i="5"/>
  <c r="AW97" i="5"/>
  <c r="AW112" i="5"/>
  <c r="AW125" i="5"/>
  <c r="AW138" i="5"/>
  <c r="AW158" i="5"/>
  <c r="AW116" i="5"/>
  <c r="AW132" i="5"/>
  <c r="AW143" i="5"/>
  <c r="AW64" i="5"/>
  <c r="AW105" i="5"/>
  <c r="AW121" i="5"/>
  <c r="AW133" i="5"/>
  <c r="AW150" i="5"/>
  <c r="AW113" i="5"/>
  <c r="AW166" i="5"/>
  <c r="AW180" i="5"/>
  <c r="AW173" i="5"/>
  <c r="AW119" i="5"/>
  <c r="AW171" i="5"/>
  <c r="AW191" i="5"/>
  <c r="AW207" i="5"/>
  <c r="AW160" i="5"/>
  <c r="AW203" i="5"/>
  <c r="AW217" i="5"/>
  <c r="AW228" i="5"/>
  <c r="AW242" i="5"/>
  <c r="AW199" i="5"/>
  <c r="AW234" i="5"/>
  <c r="AW172" i="5"/>
  <c r="AW189" i="5"/>
  <c r="AW201" i="5"/>
  <c r="AW218" i="5"/>
  <c r="AW227" i="5"/>
  <c r="AW163" i="5"/>
  <c r="AW236" i="5"/>
  <c r="AW256" i="5"/>
  <c r="AW278" i="5"/>
  <c r="AW298" i="5"/>
  <c r="AW317" i="5"/>
  <c r="AW330" i="5"/>
  <c r="AW230" i="5"/>
  <c r="AW254" i="5"/>
  <c r="AW265" i="5"/>
  <c r="AW283" i="5"/>
  <c r="AW301" i="5"/>
  <c r="AW314" i="5"/>
  <c r="AW324" i="5"/>
  <c r="AW221" i="5"/>
  <c r="AW258" i="5"/>
  <c r="AW273" i="5"/>
  <c r="AW286" i="5"/>
  <c r="AW299" i="5"/>
  <c r="AW316" i="5"/>
  <c r="AW333" i="5"/>
  <c r="AW353" i="5"/>
  <c r="AW281" i="5"/>
  <c r="AW327" i="5"/>
  <c r="AW346" i="5"/>
  <c r="AW359" i="5"/>
  <c r="AW371" i="5"/>
  <c r="AW384" i="5"/>
  <c r="AW399" i="5"/>
  <c r="AW416" i="5"/>
  <c r="AW8" i="5"/>
  <c r="AW23" i="5"/>
  <c r="AW37" i="5"/>
  <c r="AW29" i="5"/>
  <c r="AW41" i="5"/>
  <c r="AW24" i="5"/>
  <c r="AW39" i="5"/>
  <c r="AW63" i="5"/>
  <c r="AW53" i="5"/>
  <c r="AW66" i="5"/>
  <c r="AW49" i="5"/>
  <c r="AW57" i="5"/>
  <c r="AW75" i="5"/>
  <c r="AW76" i="5"/>
  <c r="AW73" i="5"/>
  <c r="AW91" i="5"/>
  <c r="AW82" i="5"/>
  <c r="AW93" i="5"/>
  <c r="AW104" i="5"/>
  <c r="AW90" i="5"/>
  <c r="AW98" i="5"/>
  <c r="AW103" i="5"/>
  <c r="AW117" i="5"/>
  <c r="AW126" i="5"/>
  <c r="AW146" i="5"/>
  <c r="AW161" i="5"/>
  <c r="AW122" i="5"/>
  <c r="AW134" i="5"/>
  <c r="AW145" i="5"/>
  <c r="AW80" i="5"/>
  <c r="AW108" i="5"/>
  <c r="AW123" i="5"/>
  <c r="AW140" i="5"/>
  <c r="AW151" i="5"/>
  <c r="AW139" i="5"/>
  <c r="AW168" i="5"/>
  <c r="AW185" i="5"/>
  <c r="AW178" i="5"/>
  <c r="AW137" i="5"/>
  <c r="AW182" i="5"/>
  <c r="AW196" i="5"/>
  <c r="AW124" i="5"/>
  <c r="AW162" i="5"/>
  <c r="AW204" i="5"/>
  <c r="AW219" i="5"/>
  <c r="AW235" i="5"/>
  <c r="AW244" i="5"/>
  <c r="AW202" i="5"/>
  <c r="AW237" i="5"/>
  <c r="AW175" i="5"/>
  <c r="AW192" i="5"/>
  <c r="AW206" i="5"/>
  <c r="AW220" i="5"/>
  <c r="AW229" i="5"/>
  <c r="AW208" i="5"/>
  <c r="AW243" i="5"/>
  <c r="AW262" i="5"/>
  <c r="AW284" i="5"/>
  <c r="AW302" i="5"/>
  <c r="AW321" i="5"/>
  <c r="AW331" i="5"/>
  <c r="AW248" i="5"/>
  <c r="AW255" i="5"/>
  <c r="AW268" i="5"/>
  <c r="AW287" i="5"/>
  <c r="AW306" i="5"/>
  <c r="AW315" i="5"/>
  <c r="AW332" i="5"/>
  <c r="AW245" i="5"/>
  <c r="AW260" i="5"/>
  <c r="AW276" i="5"/>
  <c r="AW289" i="5"/>
  <c r="AW304" i="5"/>
  <c r="AW319" i="5"/>
  <c r="AW334" i="5"/>
  <c r="AW355" i="5"/>
  <c r="AW296" i="5"/>
  <c r="AW337" i="5"/>
  <c r="AW350" i="5"/>
  <c r="AW363" i="5"/>
  <c r="AW377" i="5"/>
  <c r="AW389" i="5"/>
  <c r="AW408" i="5"/>
  <c r="AW419" i="5"/>
  <c r="AW434" i="5"/>
  <c r="AW25" i="5"/>
  <c r="AW43" i="5"/>
  <c r="AW30" i="5"/>
  <c r="AW44" i="5"/>
  <c r="AW28" i="5"/>
  <c r="AW42" i="5"/>
  <c r="AW69" i="5"/>
  <c r="AW55" i="5"/>
  <c r="AW27" i="5"/>
  <c r="AW50" i="5"/>
  <c r="AW62" i="5"/>
  <c r="AW79" i="5"/>
  <c r="AW77" i="5"/>
  <c r="AW74" i="5"/>
  <c r="AW67" i="5"/>
  <c r="AW78" i="5"/>
  <c r="AW94" i="5"/>
  <c r="AW109" i="5"/>
  <c r="AW92" i="5"/>
  <c r="AW100" i="5"/>
  <c r="AW106" i="5"/>
  <c r="AW118" i="5"/>
  <c r="AW128" i="5"/>
  <c r="AW149" i="5"/>
  <c r="AW87" i="5"/>
  <c r="AW127" i="5"/>
  <c r="AW136" i="5"/>
  <c r="AW153" i="5"/>
  <c r="AW86" i="5"/>
  <c r="AW110" i="5"/>
  <c r="AW129" i="5"/>
  <c r="AW144" i="5"/>
  <c r="AW154" i="5"/>
  <c r="AW159" i="5"/>
  <c r="AW174" i="5"/>
  <c r="AW186" i="5"/>
  <c r="AW179" i="5"/>
  <c r="AW165" i="5"/>
  <c r="AW184" i="5"/>
  <c r="AW200" i="5"/>
  <c r="AW142" i="5"/>
  <c r="AW194" i="5"/>
  <c r="AW210" i="5"/>
  <c r="AW222" i="5"/>
  <c r="AW238" i="5"/>
  <c r="AW167" i="5"/>
  <c r="AW215" i="5"/>
  <c r="AW239" i="5"/>
  <c r="AW181" i="5"/>
  <c r="AW193" i="5"/>
  <c r="AW209" i="5"/>
  <c r="AW223" i="5"/>
  <c r="AW232" i="5"/>
  <c r="AW211" i="5"/>
  <c r="AW247" i="5"/>
  <c r="AW269" i="5"/>
  <c r="AW290" i="5"/>
  <c r="AW305" i="5"/>
  <c r="AW326" i="5"/>
  <c r="AW177" i="5"/>
  <c r="AW249" i="5"/>
  <c r="AW257" i="5"/>
  <c r="AW275" i="5"/>
  <c r="AW293" i="5"/>
  <c r="AW309" i="5"/>
  <c r="AW320" i="5"/>
  <c r="AW190" i="5"/>
  <c r="AW250" i="5"/>
  <c r="AW267" i="5"/>
  <c r="AW277" i="5"/>
  <c r="AW292" i="5"/>
  <c r="AW308" i="5"/>
  <c r="AW325" i="5"/>
  <c r="AW340" i="5"/>
  <c r="AW212" i="5"/>
  <c r="AW307" i="5"/>
  <c r="AW344" i="5"/>
  <c r="AW356" i="5"/>
  <c r="AW365" i="5"/>
  <c r="AW379" i="5"/>
  <c r="AW390" i="5"/>
  <c r="AW412" i="5"/>
  <c r="AW426" i="5"/>
  <c r="AW318" i="5"/>
  <c r="AW349" i="5"/>
  <c r="AW366" i="5"/>
  <c r="AW394" i="5"/>
  <c r="AW406" i="5"/>
  <c r="AW264" i="5"/>
  <c r="AW343" i="5"/>
  <c r="AW376" i="5"/>
  <c r="AW387" i="5"/>
  <c r="AW401" i="5"/>
  <c r="AW409" i="5"/>
  <c r="AW385" i="5"/>
  <c r="AW440" i="5"/>
  <c r="AW461" i="5"/>
  <c r="AW476" i="5"/>
  <c r="AW482" i="5"/>
  <c r="AW500" i="5"/>
  <c r="AW512" i="5"/>
  <c r="AW288" i="5"/>
  <c r="AW418" i="5"/>
  <c r="AW441" i="5"/>
  <c r="AW451" i="5"/>
  <c r="AW466" i="5"/>
  <c r="AW487" i="5"/>
  <c r="AW494" i="5"/>
  <c r="AW508" i="5"/>
  <c r="AW518" i="5"/>
  <c r="AW335" i="5"/>
  <c r="AW393" i="5"/>
  <c r="AW417" i="5"/>
  <c r="AW425" i="5"/>
  <c r="AW442" i="5"/>
  <c r="AW458" i="5"/>
  <c r="AW483" i="5"/>
  <c r="AW496" i="5"/>
  <c r="AW527" i="5"/>
  <c r="AW538" i="5"/>
  <c r="AW547" i="5"/>
  <c r="AW279" i="5"/>
  <c r="AW423" i="5"/>
  <c r="AW532" i="5"/>
  <c r="AW556" i="5"/>
  <c r="AW516" i="5"/>
  <c r="AW535" i="5"/>
  <c r="AW551" i="5"/>
  <c r="AW383" i="5"/>
  <c r="AW475" i="5"/>
  <c r="AW504" i="5"/>
  <c r="AW555" i="5"/>
  <c r="AW497" i="5"/>
  <c r="AW543" i="5"/>
  <c r="AW432" i="5"/>
  <c r="AW336" i="5"/>
  <c r="AW354" i="5"/>
  <c r="AW374" i="5"/>
  <c r="AW395" i="5"/>
  <c r="AW415" i="5"/>
  <c r="AW300" i="5"/>
  <c r="AW362" i="5"/>
  <c r="AW381" i="5"/>
  <c r="AW391" i="5"/>
  <c r="AW403" i="5"/>
  <c r="AW410" i="5"/>
  <c r="AW428" i="5"/>
  <c r="AW444" i="5"/>
  <c r="AW465" i="5"/>
  <c r="AW477" i="5"/>
  <c r="AW484" i="5"/>
  <c r="AW505" i="5"/>
  <c r="AW519" i="5"/>
  <c r="AW361" i="5"/>
  <c r="AW431" i="5"/>
  <c r="AW443" i="5"/>
  <c r="AW454" i="5"/>
  <c r="AW469" i="5"/>
  <c r="AW488" i="5"/>
  <c r="AW499" i="5"/>
  <c r="AW509" i="5"/>
  <c r="AW520" i="5"/>
  <c r="AW339" i="5"/>
  <c r="AW402" i="5"/>
  <c r="AW421" i="5"/>
  <c r="AW433" i="5"/>
  <c r="AW445" i="5"/>
  <c r="AW460" i="5"/>
  <c r="AW485" i="5"/>
  <c r="AW501" i="5"/>
  <c r="AW533" i="5"/>
  <c r="AW540" i="5"/>
  <c r="AW552" i="5"/>
  <c r="AW285" i="5"/>
  <c r="AW452" i="5"/>
  <c r="AW549" i="5"/>
  <c r="AW369" i="5"/>
  <c r="AW522" i="5"/>
  <c r="AW539" i="5"/>
  <c r="AW554" i="5"/>
  <c r="AW447" i="5"/>
  <c r="AW478" i="5"/>
  <c r="AW515" i="5"/>
  <c r="AW557" i="5"/>
  <c r="AW507" i="5"/>
  <c r="AW545" i="5"/>
  <c r="AW439" i="5"/>
  <c r="AW342" i="5"/>
  <c r="AW358" i="5"/>
  <c r="AW378" i="5"/>
  <c r="AW398" i="5"/>
  <c r="AW420" i="5"/>
  <c r="AW303" i="5"/>
  <c r="AW368" i="5"/>
  <c r="AW382" i="5"/>
  <c r="AW396" i="5"/>
  <c r="AW405" i="5"/>
  <c r="AW338" i="5"/>
  <c r="AW429" i="5"/>
  <c r="AW446" i="5"/>
  <c r="AW467" i="5"/>
  <c r="AW479" i="5"/>
  <c r="AW492" i="5"/>
  <c r="AW506" i="5"/>
  <c r="AW523" i="5"/>
  <c r="AW367" i="5"/>
  <c r="AW436" i="5"/>
  <c r="AW449" i="5"/>
  <c r="AW455" i="5"/>
  <c r="AW473" i="5"/>
  <c r="AW489" i="5"/>
  <c r="AW502" i="5"/>
  <c r="AW510" i="5"/>
  <c r="AW521" i="5"/>
  <c r="AW351" i="5"/>
  <c r="AW411" i="5"/>
  <c r="AW422" i="5"/>
  <c r="AW435" i="5"/>
  <c r="AW448" i="5"/>
  <c r="AW464" i="5"/>
  <c r="AW490" i="5"/>
  <c r="AW517" i="5"/>
  <c r="AW534" i="5"/>
  <c r="AW542" i="5"/>
  <c r="AW558" i="5"/>
  <c r="AW291" i="5"/>
  <c r="AW459" i="5"/>
  <c r="AW550" i="5"/>
  <c r="AW462" i="5"/>
  <c r="AW528" i="5"/>
  <c r="AW541" i="5"/>
  <c r="AW548" i="5"/>
  <c r="AW457" i="5"/>
  <c r="AW486" i="5"/>
  <c r="AW525" i="5"/>
  <c r="AW360" i="5"/>
  <c r="AW514" i="5"/>
  <c r="AW553" i="5"/>
  <c r="AW388" i="5"/>
  <c r="AW372" i="5"/>
  <c r="AW352" i="5"/>
  <c r="AW480" i="5"/>
  <c r="AW373" i="5"/>
  <c r="AW481" i="5"/>
  <c r="AW266" i="5"/>
  <c r="AW437" i="5"/>
  <c r="AW526" i="5"/>
  <c r="AW404" i="5"/>
  <c r="AW530" i="5"/>
  <c r="AW498" i="5"/>
  <c r="AW19" i="5"/>
  <c r="AW274" i="5"/>
  <c r="AW400" i="5"/>
  <c r="AW386" i="5"/>
  <c r="AW430" i="5"/>
  <c r="AW495" i="5"/>
  <c r="AW438" i="5"/>
  <c r="AW493" i="5"/>
  <c r="AW375" i="5"/>
  <c r="AW456" i="5"/>
  <c r="AW536" i="5"/>
  <c r="AW524" i="5"/>
  <c r="AW546" i="5"/>
  <c r="AW531" i="5"/>
  <c r="AW348" i="5"/>
  <c r="AW259" i="5"/>
  <c r="AW397" i="5"/>
  <c r="AW453" i="5"/>
  <c r="AW511" i="5"/>
  <c r="AW450" i="5"/>
  <c r="AW503" i="5"/>
  <c r="AW414" i="5"/>
  <c r="AW472" i="5"/>
  <c r="AW544" i="5"/>
  <c r="AW559" i="5"/>
  <c r="AW560" i="5"/>
  <c r="AW474" i="5"/>
  <c r="AW470" i="5"/>
  <c r="AW424" i="5"/>
  <c r="AW471" i="5"/>
  <c r="AW364" i="5"/>
  <c r="AW537" i="5"/>
  <c r="AW491" i="5"/>
  <c r="AW529" i="5"/>
  <c r="AW323" i="5"/>
  <c r="AW463" i="5"/>
  <c r="AW261" i="5"/>
  <c r="AW407" i="5"/>
  <c r="AW513" i="5"/>
  <c r="AW468" i="5"/>
  <c r="V162" i="5"/>
  <c r="V508" i="5"/>
  <c r="V130" i="5"/>
  <c r="V56" i="5"/>
  <c r="U374" i="5"/>
  <c r="V235" i="5"/>
  <c r="V372" i="5"/>
  <c r="V475" i="5"/>
  <c r="U553" i="5"/>
  <c r="V384" i="5"/>
  <c r="U181" i="5"/>
  <c r="AJ12" i="5"/>
  <c r="AK12" i="5" s="1"/>
  <c r="V7" i="5"/>
  <c r="U7" i="5"/>
  <c r="BA227" i="5"/>
  <c r="BB169" i="5"/>
  <c r="BA103" i="5"/>
  <c r="BB103" i="5"/>
  <c r="BB8" i="5"/>
  <c r="BB309" i="5"/>
  <c r="BA309" i="5"/>
  <c r="BA242" i="5"/>
  <c r="BA134" i="5"/>
  <c r="BB134" i="5"/>
  <c r="BA89" i="5"/>
  <c r="BB284" i="5"/>
  <c r="BA125" i="5"/>
  <c r="U488" i="5"/>
  <c r="V488" i="5"/>
  <c r="U497" i="5"/>
  <c r="V497" i="5"/>
  <c r="V523" i="5"/>
  <c r="U523" i="5"/>
  <c r="U510" i="5"/>
  <c r="V510" i="5"/>
  <c r="V529" i="5"/>
  <c r="U529" i="5"/>
  <c r="V471" i="5"/>
  <c r="U471" i="5"/>
  <c r="V50" i="5"/>
  <c r="U50" i="5"/>
  <c r="V338" i="5"/>
  <c r="U338" i="5"/>
  <c r="V441" i="5"/>
  <c r="U441" i="5"/>
  <c r="U256" i="5"/>
  <c r="V256" i="5"/>
  <c r="U145" i="5"/>
  <c r="V145" i="5"/>
  <c r="U49" i="5"/>
  <c r="V49" i="5"/>
  <c r="U253" i="5"/>
  <c r="V253" i="5"/>
  <c r="U120" i="5"/>
  <c r="V120" i="5"/>
  <c r="U48" i="5"/>
  <c r="V48" i="5"/>
  <c r="U465" i="5"/>
  <c r="V465" i="5"/>
  <c r="U462" i="5"/>
  <c r="V462" i="5"/>
  <c r="V369" i="5"/>
  <c r="U369" i="5"/>
  <c r="V266" i="5"/>
  <c r="U266" i="5"/>
  <c r="U128" i="5"/>
  <c r="V128" i="5"/>
  <c r="U504" i="5"/>
  <c r="V504" i="5"/>
  <c r="U399" i="5"/>
  <c r="V399" i="5"/>
  <c r="V335" i="5"/>
  <c r="U335" i="5"/>
  <c r="U135" i="5"/>
  <c r="V135" i="5"/>
  <c r="V196" i="5"/>
  <c r="U196" i="5"/>
  <c r="U138" i="5"/>
  <c r="V138" i="5"/>
  <c r="V107" i="5"/>
  <c r="U107" i="5"/>
  <c r="U8" i="5"/>
  <c r="V8" i="5"/>
  <c r="V312" i="5"/>
  <c r="U318" i="5"/>
  <c r="BA332" i="5"/>
  <c r="BB332" i="5"/>
  <c r="BB283" i="5"/>
  <c r="BA283" i="5"/>
  <c r="BB326" i="5"/>
  <c r="BA274" i="5"/>
  <c r="BA219" i="5"/>
  <c r="BB219" i="5"/>
  <c r="BB221" i="5"/>
  <c r="BA221" i="5"/>
  <c r="BB197" i="5"/>
  <c r="BA197" i="5"/>
  <c r="BA172" i="5"/>
  <c r="BB172" i="5"/>
  <c r="BA132" i="5"/>
  <c r="BA81" i="5"/>
  <c r="BB80" i="5"/>
  <c r="BA80" i="5"/>
  <c r="BB70" i="5"/>
  <c r="BA70" i="5"/>
  <c r="BB68" i="5"/>
  <c r="BB43" i="5"/>
  <c r="AZ12" i="5"/>
  <c r="T12" i="5"/>
  <c r="AW12" i="5"/>
  <c r="AT12" i="5"/>
  <c r="BB295" i="5"/>
  <c r="BB188" i="5"/>
  <c r="BA188" i="5"/>
  <c r="BA247" i="5"/>
  <c r="BB247" i="5"/>
  <c r="BB237" i="5"/>
  <c r="BB226" i="5"/>
  <c r="BA226" i="5"/>
  <c r="BA230" i="5"/>
  <c r="BB230" i="5"/>
  <c r="BA180" i="5"/>
  <c r="BA163" i="5"/>
  <c r="BB163" i="5"/>
  <c r="BB154" i="5"/>
  <c r="BA154" i="5"/>
  <c r="BB86" i="5"/>
  <c r="BA84" i="5"/>
  <c r="BB84" i="5"/>
  <c r="BA78" i="5"/>
  <c r="BB78" i="5"/>
  <c r="BB30" i="5"/>
  <c r="BB369" i="5"/>
  <c r="BA369" i="5"/>
  <c r="BA346" i="5"/>
  <c r="BB346" i="5"/>
  <c r="BA232" i="5"/>
  <c r="BA262" i="5"/>
  <c r="BB262" i="5"/>
  <c r="BB285" i="5"/>
  <c r="BA285" i="5"/>
  <c r="BA238" i="5"/>
  <c r="BB243" i="5"/>
  <c r="BA243" i="5"/>
  <c r="BB130" i="5"/>
  <c r="BA130" i="5"/>
  <c r="BB175" i="5"/>
  <c r="BA113" i="5"/>
  <c r="BB113" i="5"/>
  <c r="BA71" i="5"/>
  <c r="BB71" i="5"/>
  <c r="BB48" i="5"/>
  <c r="BA48" i="5"/>
  <c r="BB29" i="5"/>
  <c r="AV7" i="5"/>
  <c r="AU7" i="5"/>
  <c r="U419" i="5"/>
  <c r="V419" i="5"/>
  <c r="V548" i="5"/>
  <c r="U548" i="5"/>
  <c r="U543" i="5"/>
  <c r="V543" i="5"/>
  <c r="V483" i="5"/>
  <c r="U483" i="5"/>
  <c r="U227" i="5"/>
  <c r="V227" i="5"/>
  <c r="U444" i="5"/>
  <c r="V444" i="5"/>
  <c r="U460" i="5"/>
  <c r="V460" i="5"/>
  <c r="U36" i="5"/>
  <c r="V36" i="5"/>
  <c r="V436" i="5"/>
  <c r="U436" i="5"/>
  <c r="V479" i="5"/>
  <c r="U479" i="5"/>
  <c r="U527" i="5"/>
  <c r="V527" i="5"/>
  <c r="V534" i="5"/>
  <c r="U534" i="5"/>
  <c r="U489" i="5"/>
  <c r="V489" i="5"/>
  <c r="U401" i="5"/>
  <c r="V401" i="5"/>
  <c r="U474" i="5"/>
  <c r="V474" i="5"/>
  <c r="V491" i="5"/>
  <c r="U491" i="5"/>
  <c r="U365" i="5"/>
  <c r="V365" i="5"/>
  <c r="U298" i="5"/>
  <c r="V298" i="5"/>
  <c r="U208" i="5"/>
  <c r="V208" i="5"/>
  <c r="V55" i="5"/>
  <c r="U55" i="5"/>
  <c r="V558" i="5"/>
  <c r="U558" i="5"/>
  <c r="U426" i="5"/>
  <c r="V426" i="5"/>
  <c r="U346" i="5"/>
  <c r="V346" i="5"/>
  <c r="U467" i="5"/>
  <c r="V467" i="5"/>
  <c r="U358" i="5"/>
  <c r="V358" i="5"/>
  <c r="V453" i="5"/>
  <c r="U453" i="5"/>
  <c r="U447" i="5"/>
  <c r="V447" i="5"/>
  <c r="V376" i="5"/>
  <c r="U376" i="5"/>
  <c r="V292" i="5"/>
  <c r="U292" i="5"/>
  <c r="U177" i="5"/>
  <c r="V177" i="5"/>
  <c r="U28" i="5"/>
  <c r="V28" i="5"/>
  <c r="U449" i="5"/>
  <c r="V449" i="5"/>
  <c r="U550" i="5"/>
  <c r="V550" i="5"/>
  <c r="U538" i="5"/>
  <c r="V538" i="5"/>
  <c r="U446" i="5"/>
  <c r="V446" i="5"/>
  <c r="U511" i="5"/>
  <c r="V511" i="5"/>
  <c r="U533" i="5"/>
  <c r="V533" i="5"/>
  <c r="U357" i="5"/>
  <c r="V357" i="5"/>
  <c r="U367" i="5"/>
  <c r="V367" i="5"/>
  <c r="U248" i="5"/>
  <c r="V248" i="5"/>
  <c r="U141" i="5"/>
  <c r="V141" i="5"/>
  <c r="U392" i="5"/>
  <c r="V392" i="5"/>
  <c r="V418" i="5"/>
  <c r="U418" i="5"/>
  <c r="U433" i="5"/>
  <c r="V433" i="5"/>
  <c r="U307" i="5"/>
  <c r="V307" i="5"/>
  <c r="U160" i="5"/>
  <c r="V160" i="5"/>
  <c r="U314" i="5"/>
  <c r="V314" i="5"/>
  <c r="U219" i="5"/>
  <c r="V219" i="5"/>
  <c r="U220" i="5"/>
  <c r="V220" i="5"/>
  <c r="U184" i="5"/>
  <c r="V184" i="5"/>
  <c r="V104" i="5"/>
  <c r="U104" i="5"/>
  <c r="U110" i="5"/>
  <c r="V110" i="5"/>
  <c r="U71" i="5"/>
  <c r="V71" i="5"/>
  <c r="U45" i="5"/>
  <c r="V45" i="5"/>
  <c r="U409" i="5"/>
  <c r="V409" i="5"/>
  <c r="U424" i="5"/>
  <c r="V424" i="5"/>
  <c r="U337" i="5"/>
  <c r="V337" i="5"/>
  <c r="V305" i="5"/>
  <c r="U305" i="5"/>
  <c r="U328" i="5"/>
  <c r="V328" i="5"/>
  <c r="V308" i="5"/>
  <c r="U308" i="5"/>
  <c r="U213" i="5"/>
  <c r="V213" i="5"/>
  <c r="U218" i="5"/>
  <c r="V218" i="5"/>
  <c r="U182" i="5"/>
  <c r="V182" i="5"/>
  <c r="U75" i="5"/>
  <c r="V75" i="5"/>
  <c r="U108" i="5"/>
  <c r="V108" i="5"/>
  <c r="U68" i="5"/>
  <c r="V68" i="5"/>
  <c r="U42" i="5"/>
  <c r="V42" i="5"/>
  <c r="U469" i="5"/>
  <c r="V469" i="5"/>
  <c r="V552" i="5"/>
  <c r="U552" i="5"/>
  <c r="U554" i="5"/>
  <c r="V554" i="5"/>
  <c r="V344" i="5"/>
  <c r="U344" i="5"/>
  <c r="V486" i="5"/>
  <c r="U486" i="5"/>
  <c r="U422" i="5"/>
  <c r="V422" i="5"/>
  <c r="V512" i="5"/>
  <c r="U512" i="5"/>
  <c r="V442" i="5"/>
  <c r="U442" i="5"/>
  <c r="V472" i="5"/>
  <c r="U472" i="5"/>
  <c r="U404" i="5"/>
  <c r="V404" i="5"/>
  <c r="V228" i="5"/>
  <c r="U228" i="5"/>
  <c r="U437" i="5"/>
  <c r="V437" i="5"/>
  <c r="U359" i="5"/>
  <c r="V359" i="5"/>
  <c r="U321" i="5"/>
  <c r="V321" i="5"/>
  <c r="U332" i="5"/>
  <c r="V332" i="5"/>
  <c r="V233" i="5"/>
  <c r="U233" i="5"/>
  <c r="V234" i="5"/>
  <c r="U234" i="5"/>
  <c r="V158" i="5"/>
  <c r="U158" i="5"/>
  <c r="V122" i="5"/>
  <c r="U122" i="5"/>
  <c r="V113" i="5"/>
  <c r="U113" i="5"/>
  <c r="V77" i="5"/>
  <c r="U77" i="5"/>
  <c r="V40" i="5"/>
  <c r="U40" i="5"/>
  <c r="V498" i="5"/>
  <c r="U498" i="5"/>
  <c r="V438" i="5"/>
  <c r="U438" i="5"/>
  <c r="U499" i="5"/>
  <c r="V499" i="5"/>
  <c r="U428" i="5"/>
  <c r="V428" i="5"/>
  <c r="U382" i="5"/>
  <c r="V382" i="5"/>
  <c r="V195" i="5"/>
  <c r="U195" i="5"/>
  <c r="V341" i="5"/>
  <c r="U341" i="5"/>
  <c r="V400" i="5"/>
  <c r="U400" i="5"/>
  <c r="U315" i="5"/>
  <c r="V315" i="5"/>
  <c r="U320" i="5"/>
  <c r="V320" i="5"/>
  <c r="V261" i="5"/>
  <c r="U261" i="5"/>
  <c r="U299" i="5"/>
  <c r="V299" i="5"/>
  <c r="U322" i="5"/>
  <c r="V322" i="5"/>
  <c r="U263" i="5"/>
  <c r="V263" i="5"/>
  <c r="V225" i="5"/>
  <c r="U225" i="5"/>
  <c r="V229" i="5"/>
  <c r="U229" i="5"/>
  <c r="V224" i="5"/>
  <c r="U224" i="5"/>
  <c r="V204" i="5"/>
  <c r="U204" i="5"/>
  <c r="V100" i="5"/>
  <c r="U100" i="5"/>
  <c r="U173" i="5"/>
  <c r="V173" i="5"/>
  <c r="V115" i="5"/>
  <c r="U115" i="5"/>
  <c r="V109" i="5"/>
  <c r="U109" i="5"/>
  <c r="V87" i="5"/>
  <c r="U87" i="5"/>
  <c r="V69" i="5"/>
  <c r="U69" i="5"/>
  <c r="V80" i="5"/>
  <c r="U80" i="5"/>
  <c r="V33" i="5"/>
  <c r="U33" i="5"/>
  <c r="V34" i="5"/>
  <c r="U34" i="5"/>
  <c r="U276" i="5"/>
  <c r="V276" i="5"/>
  <c r="U252" i="5"/>
  <c r="V252" i="5"/>
  <c r="U207" i="5"/>
  <c r="V207" i="5"/>
  <c r="U211" i="5"/>
  <c r="V211" i="5"/>
  <c r="U190" i="5"/>
  <c r="V190" i="5"/>
  <c r="V169" i="5"/>
  <c r="U169" i="5"/>
  <c r="V151" i="5"/>
  <c r="U151" i="5"/>
  <c r="U155" i="5"/>
  <c r="V155" i="5"/>
  <c r="U64" i="5"/>
  <c r="V64" i="5"/>
  <c r="BA344" i="5"/>
  <c r="BB344" i="5"/>
  <c r="BA256" i="5"/>
  <c r="BA118" i="5"/>
  <c r="BB118" i="5"/>
  <c r="BA111" i="5"/>
  <c r="BB111" i="5"/>
  <c r="BB53" i="5"/>
  <c r="BB38" i="5"/>
  <c r="BA38" i="5"/>
  <c r="BB351" i="5"/>
  <c r="BA351" i="5"/>
  <c r="BB269" i="5"/>
  <c r="BB191" i="5"/>
  <c r="BA191" i="5"/>
  <c r="BA136" i="5"/>
  <c r="BB136" i="5"/>
  <c r="BA119" i="5"/>
  <c r="BB94" i="5"/>
  <c r="BA94" i="5"/>
  <c r="BA52" i="5"/>
  <c r="BB52" i="5"/>
  <c r="BA206" i="5"/>
  <c r="BA251" i="5"/>
  <c r="BB251" i="5"/>
  <c r="BA223" i="5"/>
  <c r="BB223" i="5"/>
  <c r="BA174" i="5"/>
  <c r="BB141" i="5"/>
  <c r="BA141" i="5"/>
  <c r="BB114" i="5"/>
  <c r="BA114" i="5"/>
  <c r="BA51" i="5"/>
  <c r="U350" i="5"/>
  <c r="V350" i="5"/>
  <c r="V413" i="5"/>
  <c r="U413" i="5"/>
  <c r="U459" i="5"/>
  <c r="V459" i="5"/>
  <c r="U304" i="5"/>
  <c r="V304" i="5"/>
  <c r="U555" i="5"/>
  <c r="V555" i="5"/>
  <c r="V434" i="5"/>
  <c r="U434" i="5"/>
  <c r="V515" i="5"/>
  <c r="U515" i="5"/>
  <c r="U191" i="5"/>
  <c r="V191" i="5"/>
  <c r="U518" i="5"/>
  <c r="V518" i="5"/>
  <c r="U395" i="5"/>
  <c r="V395" i="5"/>
  <c r="V355" i="5"/>
  <c r="U355" i="5"/>
  <c r="V206" i="5"/>
  <c r="U206" i="5"/>
  <c r="U333" i="5"/>
  <c r="V333" i="5"/>
  <c r="V317" i="5"/>
  <c r="U317" i="5"/>
  <c r="U125" i="5"/>
  <c r="V125" i="5"/>
  <c r="V297" i="5"/>
  <c r="U297" i="5"/>
  <c r="U330" i="5"/>
  <c r="V330" i="5"/>
  <c r="V153" i="5"/>
  <c r="U153" i="5"/>
  <c r="V179" i="5"/>
  <c r="U179" i="5"/>
  <c r="U78" i="5"/>
  <c r="V78" i="5"/>
  <c r="U247" i="5"/>
  <c r="V247" i="5"/>
  <c r="V326" i="5"/>
  <c r="U326" i="5"/>
  <c r="U240" i="5"/>
  <c r="V240" i="5"/>
  <c r="V143" i="5"/>
  <c r="U143" i="5"/>
  <c r="V73" i="5"/>
  <c r="U73" i="5"/>
  <c r="U440" i="5"/>
  <c r="V440" i="5"/>
  <c r="U493" i="5"/>
  <c r="V493" i="5"/>
  <c r="V522" i="5"/>
  <c r="U522" i="5"/>
  <c r="V378" i="5"/>
  <c r="U378" i="5"/>
  <c r="V264" i="5"/>
  <c r="U264" i="5"/>
  <c r="V193" i="5"/>
  <c r="U193" i="5"/>
  <c r="V147" i="5"/>
  <c r="U147" i="5"/>
  <c r="V54" i="5"/>
  <c r="U54" i="5"/>
  <c r="V513" i="5"/>
  <c r="U513" i="5"/>
  <c r="U294" i="5"/>
  <c r="V294" i="5"/>
  <c r="U415" i="5"/>
  <c r="V415" i="5"/>
  <c r="U271" i="5"/>
  <c r="V271" i="5"/>
  <c r="V274" i="5"/>
  <c r="U274" i="5"/>
  <c r="V243" i="5"/>
  <c r="U243" i="5"/>
  <c r="U172" i="5"/>
  <c r="V172" i="5"/>
  <c r="V123" i="5"/>
  <c r="U123" i="5"/>
  <c r="U59" i="5"/>
  <c r="V59" i="5"/>
  <c r="U44" i="5"/>
  <c r="V44" i="5"/>
  <c r="U221" i="5"/>
  <c r="V221" i="5"/>
  <c r="U223" i="5"/>
  <c r="V223" i="5"/>
  <c r="V171" i="5"/>
  <c r="U171" i="5"/>
  <c r="V106" i="5"/>
  <c r="U106" i="5"/>
  <c r="U76" i="5"/>
  <c r="V76" i="5"/>
  <c r="U30" i="5"/>
  <c r="V30" i="5"/>
  <c r="AJ93" i="5"/>
  <c r="AJ49" i="5"/>
  <c r="AL49" i="5" s="1"/>
  <c r="AJ105" i="5"/>
  <c r="AK105" i="5" s="1"/>
  <c r="AJ75" i="5"/>
  <c r="AL75" i="5" s="1"/>
  <c r="AJ188" i="5"/>
  <c r="AK188" i="5" s="1"/>
  <c r="AJ146" i="5"/>
  <c r="AJ77" i="5"/>
  <c r="AJ169" i="5"/>
  <c r="AJ195" i="5"/>
  <c r="AL195" i="5" s="1"/>
  <c r="AJ156" i="5"/>
  <c r="AL156" i="5" s="1"/>
  <c r="AJ87" i="5"/>
  <c r="AJ24" i="5"/>
  <c r="AJ44" i="5"/>
  <c r="AK44" i="5" s="1"/>
  <c r="V201" i="5"/>
  <c r="V275" i="5"/>
  <c r="BA322" i="5"/>
  <c r="BB322" i="5"/>
  <c r="BA263" i="5"/>
  <c r="BB263" i="5"/>
  <c r="BA261" i="5"/>
  <c r="BB261" i="5"/>
  <c r="BB199" i="5"/>
  <c r="BA199" i="5"/>
  <c r="BB208" i="5"/>
  <c r="BA168" i="5"/>
  <c r="BB168" i="5"/>
  <c r="BA159" i="5"/>
  <c r="BB159" i="5"/>
  <c r="BA131" i="5"/>
  <c r="BB131" i="5"/>
  <c r="BA97" i="5"/>
  <c r="BB97" i="5"/>
  <c r="BA61" i="5"/>
  <c r="BA56" i="5"/>
  <c r="BB56" i="5"/>
  <c r="BA329" i="5"/>
  <c r="BB329" i="5"/>
  <c r="BB268" i="5"/>
  <c r="BA268" i="5"/>
  <c r="BB323" i="5"/>
  <c r="BB266" i="5"/>
  <c r="BA266" i="5"/>
  <c r="BB202" i="5"/>
  <c r="BA202" i="5"/>
  <c r="BB183" i="5"/>
  <c r="BA183" i="5"/>
  <c r="BB166" i="5"/>
  <c r="BA166" i="5"/>
  <c r="BB138" i="5"/>
  <c r="BA144" i="5"/>
  <c r="BB144" i="5"/>
  <c r="BA74" i="5"/>
  <c r="BB74" i="5"/>
  <c r="BB64" i="5"/>
  <c r="BA64" i="5"/>
  <c r="BA31" i="5"/>
  <c r="BB31" i="5"/>
  <c r="BB337" i="5"/>
  <c r="BA287" i="5"/>
  <c r="BB287" i="5"/>
  <c r="BA331" i="5"/>
  <c r="BB331" i="5"/>
  <c r="BB234" i="5"/>
  <c r="BA234" i="5"/>
  <c r="BA222" i="5"/>
  <c r="BB222" i="5"/>
  <c r="BA198" i="5"/>
  <c r="BA176" i="5"/>
  <c r="BB176" i="5"/>
  <c r="BA108" i="5"/>
  <c r="BB108" i="5"/>
  <c r="BA82" i="5"/>
  <c r="BB82" i="5"/>
  <c r="BB73" i="5"/>
  <c r="BA20" i="5"/>
  <c r="BB20" i="5"/>
  <c r="U503" i="5"/>
  <c r="V503" i="5"/>
  <c r="V525" i="5"/>
  <c r="U525" i="5"/>
  <c r="V494" i="5"/>
  <c r="U494" i="5"/>
  <c r="U74" i="5"/>
  <c r="V74" i="5"/>
  <c r="U477" i="5"/>
  <c r="V477" i="5"/>
  <c r="V547" i="5"/>
  <c r="U547" i="5"/>
  <c r="U521" i="5"/>
  <c r="V521" i="5"/>
  <c r="U327" i="5"/>
  <c r="V327" i="5"/>
  <c r="U397" i="5"/>
  <c r="V397" i="5"/>
  <c r="U450" i="5"/>
  <c r="V450" i="5"/>
  <c r="V352" i="5"/>
  <c r="U352" i="5"/>
  <c r="U360" i="5"/>
  <c r="V360" i="5"/>
  <c r="V391" i="5"/>
  <c r="U391" i="5"/>
  <c r="U323" i="5"/>
  <c r="V323" i="5"/>
  <c r="U140" i="5"/>
  <c r="V140" i="5"/>
  <c r="V27" i="5"/>
  <c r="U27" i="5"/>
  <c r="U528" i="5"/>
  <c r="V528" i="5"/>
  <c r="U541" i="5"/>
  <c r="V541" i="5"/>
  <c r="V556" i="5"/>
  <c r="U556" i="5"/>
  <c r="U452" i="5"/>
  <c r="V452" i="5"/>
  <c r="V517" i="5"/>
  <c r="U517" i="5"/>
  <c r="U537" i="5"/>
  <c r="V537" i="5"/>
  <c r="V370" i="5"/>
  <c r="U370" i="5"/>
  <c r="U393" i="5"/>
  <c r="V393" i="5"/>
  <c r="V265" i="5"/>
  <c r="U265" i="5"/>
  <c r="U112" i="5"/>
  <c r="V112" i="5"/>
  <c r="V551" i="5"/>
  <c r="U551" i="5"/>
  <c r="U540" i="5"/>
  <c r="V540" i="5"/>
  <c r="V416" i="5"/>
  <c r="U416" i="5"/>
  <c r="U485" i="5"/>
  <c r="V485" i="5"/>
  <c r="U507" i="5"/>
  <c r="V507" i="5"/>
  <c r="V388" i="5"/>
  <c r="U388" i="5"/>
  <c r="V343" i="5"/>
  <c r="U343" i="5"/>
  <c r="U166" i="5"/>
  <c r="V166" i="5"/>
  <c r="U25" i="5"/>
  <c r="V25" i="5"/>
  <c r="U373" i="5"/>
  <c r="V373" i="5"/>
  <c r="V389" i="5"/>
  <c r="U389" i="5"/>
  <c r="V410" i="5"/>
  <c r="U410" i="5"/>
  <c r="V309" i="5"/>
  <c r="U309" i="5"/>
  <c r="V296" i="5"/>
  <c r="U296" i="5"/>
  <c r="U278" i="5"/>
  <c r="V278" i="5"/>
  <c r="U168" i="5"/>
  <c r="V168" i="5"/>
  <c r="U202" i="5"/>
  <c r="V202" i="5"/>
  <c r="V111" i="5"/>
  <c r="U111" i="5"/>
  <c r="U129" i="5"/>
  <c r="V129" i="5"/>
  <c r="U72" i="5"/>
  <c r="V72" i="5"/>
  <c r="U65" i="5"/>
  <c r="V65" i="5"/>
  <c r="U21" i="5"/>
  <c r="V21" i="5"/>
  <c r="U385" i="5"/>
  <c r="V385" i="5"/>
  <c r="V405" i="5"/>
  <c r="U405" i="5"/>
  <c r="U286" i="5"/>
  <c r="V286" i="5"/>
  <c r="U311" i="5"/>
  <c r="V311" i="5"/>
  <c r="U277" i="5"/>
  <c r="V277" i="5"/>
  <c r="V157" i="5"/>
  <c r="U157" i="5"/>
  <c r="U200" i="5"/>
  <c r="V200" i="5"/>
  <c r="V86" i="5"/>
  <c r="U86" i="5"/>
  <c r="U124" i="5"/>
  <c r="V124" i="5"/>
  <c r="U60" i="5"/>
  <c r="V60" i="5"/>
  <c r="U62" i="5"/>
  <c r="V62" i="5"/>
  <c r="U46" i="5"/>
  <c r="V46" i="5"/>
  <c r="U559" i="5"/>
  <c r="V559" i="5"/>
  <c r="U524" i="5"/>
  <c r="V524" i="5"/>
  <c r="V545" i="5"/>
  <c r="U545" i="5"/>
  <c r="V557" i="5"/>
  <c r="U557" i="5"/>
  <c r="V470" i="5"/>
  <c r="U470" i="5"/>
  <c r="U398" i="5"/>
  <c r="V398" i="5"/>
  <c r="V500" i="5"/>
  <c r="U500" i="5"/>
  <c r="V339" i="5"/>
  <c r="U339" i="5"/>
  <c r="V448" i="5"/>
  <c r="U448" i="5"/>
  <c r="U383" i="5"/>
  <c r="V383" i="5"/>
  <c r="U421" i="5"/>
  <c r="V421" i="5"/>
  <c r="U329" i="5"/>
  <c r="V329" i="5"/>
  <c r="U325" i="5"/>
  <c r="V325" i="5"/>
  <c r="V295" i="5"/>
  <c r="U295" i="5"/>
  <c r="V192" i="5"/>
  <c r="U192" i="5"/>
  <c r="V209" i="5"/>
  <c r="U209" i="5"/>
  <c r="V163" i="5"/>
  <c r="U163" i="5"/>
  <c r="V148" i="5"/>
  <c r="U148" i="5"/>
  <c r="V90" i="5"/>
  <c r="U90" i="5"/>
  <c r="U58" i="5"/>
  <c r="V58" i="5"/>
  <c r="V31" i="5"/>
  <c r="U31" i="5"/>
  <c r="U480" i="5"/>
  <c r="V480" i="5"/>
  <c r="U347" i="5"/>
  <c r="V347" i="5"/>
  <c r="U478" i="5"/>
  <c r="V478" i="5"/>
  <c r="U324" i="5"/>
  <c r="V324" i="5"/>
  <c r="U363" i="5"/>
  <c r="V363" i="5"/>
  <c r="V407" i="5"/>
  <c r="U407" i="5"/>
  <c r="U214" i="5"/>
  <c r="V214" i="5"/>
  <c r="V381" i="5"/>
  <c r="U381" i="5"/>
  <c r="V283" i="5"/>
  <c r="U283" i="5"/>
  <c r="V303" i="5"/>
  <c r="U303" i="5"/>
  <c r="U246" i="5"/>
  <c r="V246" i="5"/>
  <c r="V284" i="5"/>
  <c r="U284" i="5"/>
  <c r="V306" i="5"/>
  <c r="U306" i="5"/>
  <c r="U254" i="5"/>
  <c r="V254" i="5"/>
  <c r="U210" i="5"/>
  <c r="V210" i="5"/>
  <c r="U212" i="5"/>
  <c r="V212" i="5"/>
  <c r="V215" i="5"/>
  <c r="U215" i="5"/>
  <c r="U194" i="5"/>
  <c r="V194" i="5"/>
  <c r="U170" i="5"/>
  <c r="V170" i="5"/>
  <c r="V149" i="5"/>
  <c r="U149" i="5"/>
  <c r="V156" i="5"/>
  <c r="U156" i="5"/>
  <c r="U84" i="5"/>
  <c r="V84" i="5"/>
  <c r="U101" i="5"/>
  <c r="V101" i="5"/>
  <c r="U94" i="5"/>
  <c r="V94" i="5"/>
  <c r="U66" i="5"/>
  <c r="V66" i="5"/>
  <c r="U70" i="5"/>
  <c r="V70" i="5"/>
  <c r="U39" i="5"/>
  <c r="V39" i="5"/>
  <c r="V250" i="5"/>
  <c r="U250" i="5"/>
  <c r="V176" i="5"/>
  <c r="U176" i="5"/>
  <c r="V174" i="5"/>
  <c r="U174" i="5"/>
  <c r="U150" i="5"/>
  <c r="V150" i="5"/>
  <c r="U118" i="5"/>
  <c r="V118" i="5"/>
  <c r="U131" i="5"/>
  <c r="V131" i="5"/>
  <c r="V83" i="5"/>
  <c r="U83" i="5"/>
  <c r="U67" i="5"/>
  <c r="V67" i="5"/>
  <c r="U41" i="5"/>
  <c r="V41" i="5"/>
  <c r="BA302" i="5"/>
  <c r="BB302" i="5"/>
  <c r="BA282" i="5"/>
  <c r="BB282" i="5"/>
  <c r="BA236" i="5"/>
  <c r="BA115" i="5"/>
  <c r="BB115" i="5"/>
  <c r="BA107" i="5"/>
  <c r="BB83" i="5"/>
  <c r="BA39" i="5"/>
  <c r="BB39" i="5"/>
  <c r="BA373" i="5"/>
  <c r="BB288" i="5"/>
  <c r="BA288" i="5"/>
  <c r="BB179" i="5"/>
  <c r="BB177" i="5"/>
  <c r="BB117" i="5"/>
  <c r="BA117" i="5"/>
  <c r="BA75" i="5"/>
  <c r="BA314" i="5"/>
  <c r="BB314" i="5"/>
  <c r="BA300" i="5"/>
  <c r="BA178" i="5"/>
  <c r="BB178" i="5"/>
  <c r="BB156" i="5"/>
  <c r="BA156" i="5"/>
  <c r="BB137" i="5"/>
  <c r="BB92" i="5"/>
  <c r="BA92" i="5"/>
  <c r="BA32" i="5"/>
  <c r="BB32" i="5"/>
  <c r="BB45" i="5"/>
  <c r="BA45" i="5"/>
  <c r="V531" i="5"/>
  <c r="U531" i="5"/>
  <c r="V310" i="5"/>
  <c r="U310" i="5"/>
  <c r="V154" i="5"/>
  <c r="U154" i="5"/>
  <c r="V432" i="5"/>
  <c r="U432" i="5"/>
  <c r="V546" i="5"/>
  <c r="U546" i="5"/>
  <c r="U501" i="5"/>
  <c r="V501" i="5"/>
  <c r="U408" i="5"/>
  <c r="V408" i="5"/>
  <c r="U88" i="5"/>
  <c r="V88" i="5"/>
  <c r="V476" i="5"/>
  <c r="U476" i="5"/>
  <c r="V487" i="5"/>
  <c r="U487" i="5"/>
  <c r="V481" i="5"/>
  <c r="U481" i="5"/>
  <c r="V281" i="5"/>
  <c r="U281" i="5"/>
  <c r="U549" i="5"/>
  <c r="V549" i="5"/>
  <c r="V463" i="5"/>
  <c r="U463" i="5"/>
  <c r="U431" i="5"/>
  <c r="V431" i="5"/>
  <c r="U258" i="5"/>
  <c r="V258" i="5"/>
  <c r="U414" i="5"/>
  <c r="V414" i="5"/>
  <c r="U366" i="5"/>
  <c r="V366" i="5"/>
  <c r="U244" i="5"/>
  <c r="V244" i="5"/>
  <c r="U144" i="5"/>
  <c r="V144" i="5"/>
  <c r="U132" i="5"/>
  <c r="V132" i="5"/>
  <c r="V272" i="5"/>
  <c r="U272" i="5"/>
  <c r="U237" i="5"/>
  <c r="V237" i="5"/>
  <c r="V175" i="5"/>
  <c r="U175" i="5"/>
  <c r="V127" i="5"/>
  <c r="U127" i="5"/>
  <c r="U502" i="5"/>
  <c r="V502" i="5"/>
  <c r="U406" i="5"/>
  <c r="V406" i="5"/>
  <c r="V439" i="5"/>
  <c r="U439" i="5"/>
  <c r="V505" i="5"/>
  <c r="U505" i="5"/>
  <c r="V336" i="5"/>
  <c r="U336" i="5"/>
  <c r="U349" i="5"/>
  <c r="V349" i="5"/>
  <c r="V249" i="5"/>
  <c r="U249" i="5"/>
  <c r="U189" i="5"/>
  <c r="V189" i="5"/>
  <c r="U81" i="5"/>
  <c r="V81" i="5"/>
  <c r="U456" i="5"/>
  <c r="V456" i="5"/>
  <c r="V443" i="5"/>
  <c r="U443" i="5"/>
  <c r="U375" i="5"/>
  <c r="V375" i="5"/>
  <c r="U345" i="5"/>
  <c r="V345" i="5"/>
  <c r="U316" i="5"/>
  <c r="V316" i="5"/>
  <c r="U236" i="5"/>
  <c r="V236" i="5"/>
  <c r="U245" i="5"/>
  <c r="V245" i="5"/>
  <c r="V187" i="5"/>
  <c r="U187" i="5"/>
  <c r="U126" i="5"/>
  <c r="V126" i="5"/>
  <c r="V61" i="5"/>
  <c r="U61" i="5"/>
  <c r="U47" i="5"/>
  <c r="V47" i="5"/>
  <c r="U260" i="5"/>
  <c r="V260" i="5"/>
  <c r="V79" i="5"/>
  <c r="U79" i="5"/>
  <c r="U114" i="5"/>
  <c r="V114" i="5"/>
  <c r="U98" i="5"/>
  <c r="V98" i="5"/>
  <c r="AJ28" i="5"/>
  <c r="AL28" i="5" s="1"/>
  <c r="AJ158" i="5"/>
  <c r="AL158" i="5" s="1"/>
  <c r="AJ27" i="5"/>
  <c r="AK27" i="5" s="1"/>
  <c r="AJ164" i="5"/>
  <c r="AL164" i="5" s="1"/>
  <c r="AJ40" i="5"/>
  <c r="AL40" i="5" s="1"/>
  <c r="AJ174" i="5"/>
  <c r="AJ125" i="5"/>
  <c r="AJ61" i="5"/>
  <c r="AJ153" i="5"/>
  <c r="AK153" i="5" s="1"/>
  <c r="AJ184" i="5"/>
  <c r="AJ143" i="5"/>
  <c r="AJ71" i="5"/>
  <c r="AJ165" i="5"/>
  <c r="AK165" i="5" s="1"/>
  <c r="AJ138" i="5"/>
  <c r="V412" i="5"/>
  <c r="V222" i="5"/>
  <c r="U37" i="5"/>
  <c r="U362" i="5"/>
  <c r="V22" i="5"/>
  <c r="BB312" i="5"/>
  <c r="BA312" i="5"/>
  <c r="BB249" i="5"/>
  <c r="BA249" i="5"/>
  <c r="BA278" i="5"/>
  <c r="BB278" i="5"/>
  <c r="BB296" i="5"/>
  <c r="BA296" i="5"/>
  <c r="BB220" i="5"/>
  <c r="BA220" i="5"/>
  <c r="BB161" i="5"/>
  <c r="BA161" i="5"/>
  <c r="BB194" i="5"/>
  <c r="BA194" i="5"/>
  <c r="BA171" i="5"/>
  <c r="BB171" i="5"/>
  <c r="BB152" i="5"/>
  <c r="BA152" i="5"/>
  <c r="BA116" i="5"/>
  <c r="BB116" i="5"/>
  <c r="BA127" i="5"/>
  <c r="BB127" i="5"/>
  <c r="BA123" i="5"/>
  <c r="BB123" i="5"/>
  <c r="BA110" i="5"/>
  <c r="BB110" i="5"/>
  <c r="BB91" i="5"/>
  <c r="BA91" i="5"/>
  <c r="BA23" i="5"/>
  <c r="BB23" i="5"/>
  <c r="BA24" i="5"/>
  <c r="BB24" i="5"/>
  <c r="BB50" i="5"/>
  <c r="BA50" i="5"/>
  <c r="BB40" i="5"/>
  <c r="BA40" i="5"/>
  <c r="BA393" i="5"/>
  <c r="BB393" i="5"/>
  <c r="BA218" i="5"/>
  <c r="BB218" i="5"/>
  <c r="BB315" i="5"/>
  <c r="BA315" i="5"/>
  <c r="BA255" i="5"/>
  <c r="BB255" i="5"/>
  <c r="BA290" i="5"/>
  <c r="BB290" i="5"/>
  <c r="BA303" i="5"/>
  <c r="BB303" i="5"/>
  <c r="BA246" i="5"/>
  <c r="BB246" i="5"/>
  <c r="BA184" i="5"/>
  <c r="BB184" i="5"/>
  <c r="BA196" i="5"/>
  <c r="BB196" i="5"/>
  <c r="BA190" i="5"/>
  <c r="BB190" i="5"/>
  <c r="BB158" i="5"/>
  <c r="BA158" i="5"/>
  <c r="BB150" i="5"/>
  <c r="BA150" i="5"/>
  <c r="BA139" i="5"/>
  <c r="BB139" i="5"/>
  <c r="BB126" i="5"/>
  <c r="BA126" i="5"/>
  <c r="BB121" i="5"/>
  <c r="BA121" i="5"/>
  <c r="BA95" i="5"/>
  <c r="BB95" i="5"/>
  <c r="BB59" i="5"/>
  <c r="BA59" i="5"/>
  <c r="BB55" i="5"/>
  <c r="BA55" i="5"/>
  <c r="BA35" i="5"/>
  <c r="BB35" i="5"/>
  <c r="BB22" i="5"/>
  <c r="BA22" i="5"/>
  <c r="BA299" i="5"/>
  <c r="BB299" i="5"/>
  <c r="BB324" i="5"/>
  <c r="BA324" i="5"/>
  <c r="BB265" i="5"/>
  <c r="BA265" i="5"/>
  <c r="BA305" i="5"/>
  <c r="BB305" i="5"/>
  <c r="BB318" i="5"/>
  <c r="BA318" i="5"/>
  <c r="BB264" i="5"/>
  <c r="BA264" i="5"/>
  <c r="BB200" i="5"/>
  <c r="BA200" i="5"/>
  <c r="BB212" i="5"/>
  <c r="BA212" i="5"/>
  <c r="BB211" i="5"/>
  <c r="BA211" i="5"/>
  <c r="BA173" i="5"/>
  <c r="BB173" i="5"/>
  <c r="BA164" i="5"/>
  <c r="BB164" i="5"/>
  <c r="BA148" i="5"/>
  <c r="BB148" i="5"/>
  <c r="BB135" i="5"/>
  <c r="BA135" i="5"/>
  <c r="BB140" i="5"/>
  <c r="BA140" i="5"/>
  <c r="BB98" i="5"/>
  <c r="BA98" i="5"/>
  <c r="BA69" i="5"/>
  <c r="BB69" i="5"/>
  <c r="BA66" i="5"/>
  <c r="BB66" i="5"/>
  <c r="BB60" i="5"/>
  <c r="BA60" i="5"/>
  <c r="BA27" i="5"/>
  <c r="BB27" i="5"/>
  <c r="V435" i="5"/>
  <c r="U435" i="5"/>
  <c r="V230" i="5"/>
  <c r="U230" i="5"/>
  <c r="U93" i="5"/>
  <c r="V93" i="5"/>
  <c r="U492" i="5"/>
  <c r="V492" i="5"/>
  <c r="V379" i="5"/>
  <c r="U379" i="5"/>
  <c r="U423" i="5"/>
  <c r="V423" i="5"/>
  <c r="V226" i="5"/>
  <c r="U226" i="5"/>
  <c r="U394" i="5"/>
  <c r="V394" i="5"/>
  <c r="V427" i="5"/>
  <c r="U427" i="5"/>
  <c r="U119" i="5"/>
  <c r="V119" i="5"/>
  <c r="U530" i="5"/>
  <c r="V530" i="5"/>
  <c r="U544" i="5"/>
  <c r="V544" i="5"/>
  <c r="U560" i="5"/>
  <c r="V560" i="5"/>
  <c r="U455" i="5"/>
  <c r="V455" i="5"/>
  <c r="V519" i="5"/>
  <c r="U519" i="5"/>
  <c r="U351" i="5"/>
  <c r="V351" i="5"/>
  <c r="U420" i="5"/>
  <c r="V420" i="5"/>
  <c r="V289" i="5"/>
  <c r="U289" i="5"/>
  <c r="U142" i="5"/>
  <c r="V142" i="5"/>
  <c r="U520" i="5"/>
  <c r="V520" i="5"/>
  <c r="V542" i="5"/>
  <c r="U542" i="5"/>
  <c r="U506" i="5"/>
  <c r="V506" i="5"/>
  <c r="U425" i="5"/>
  <c r="V425" i="5"/>
  <c r="V496" i="5"/>
  <c r="U496" i="5"/>
  <c r="U402" i="5"/>
  <c r="V402" i="5"/>
  <c r="V267" i="5"/>
  <c r="U267" i="5"/>
  <c r="V232" i="5"/>
  <c r="U232" i="5"/>
  <c r="V95" i="5"/>
  <c r="U95" i="5"/>
  <c r="V445" i="5"/>
  <c r="U445" i="5"/>
  <c r="V514" i="5"/>
  <c r="U514" i="5"/>
  <c r="V482" i="5"/>
  <c r="U482" i="5"/>
  <c r="V377" i="5"/>
  <c r="U377" i="5"/>
  <c r="U466" i="5"/>
  <c r="V466" i="5"/>
  <c r="U319" i="5"/>
  <c r="V319" i="5"/>
  <c r="U259" i="5"/>
  <c r="V259" i="5"/>
  <c r="V186" i="5"/>
  <c r="U186" i="5"/>
  <c r="U53" i="5"/>
  <c r="V53" i="5"/>
  <c r="U353" i="5"/>
  <c r="V353" i="5"/>
  <c r="V390" i="5"/>
  <c r="U390" i="5"/>
  <c r="U262" i="5"/>
  <c r="V262" i="5"/>
  <c r="V269" i="5"/>
  <c r="U269" i="5"/>
  <c r="V291" i="5"/>
  <c r="U291" i="5"/>
  <c r="V257" i="5"/>
  <c r="U257" i="5"/>
  <c r="U217" i="5"/>
  <c r="V217" i="5"/>
  <c r="U198" i="5"/>
  <c r="V198" i="5"/>
  <c r="U167" i="5"/>
  <c r="V167" i="5"/>
  <c r="U103" i="5"/>
  <c r="V103" i="5"/>
  <c r="U97" i="5"/>
  <c r="V97" i="5"/>
  <c r="U23" i="5"/>
  <c r="V23" i="5"/>
  <c r="U340" i="5"/>
  <c r="V340" i="5"/>
  <c r="U371" i="5"/>
  <c r="V371" i="5"/>
  <c r="U387" i="5"/>
  <c r="V387" i="5"/>
  <c r="V354" i="5"/>
  <c r="U354" i="5"/>
  <c r="V268" i="5"/>
  <c r="U268" i="5"/>
  <c r="V288" i="5"/>
  <c r="U288" i="5"/>
  <c r="U255" i="5"/>
  <c r="V255" i="5"/>
  <c r="U216" i="5"/>
  <c r="V216" i="5"/>
  <c r="U197" i="5"/>
  <c r="V197" i="5"/>
  <c r="V165" i="5"/>
  <c r="U165" i="5"/>
  <c r="U99" i="5"/>
  <c r="V99" i="5"/>
  <c r="U96" i="5"/>
  <c r="V96" i="5"/>
  <c r="U20" i="5"/>
  <c r="V20" i="5"/>
  <c r="U19" i="5"/>
  <c r="V19" i="5"/>
  <c r="V535" i="5"/>
  <c r="U535" i="5"/>
  <c r="U490" i="5"/>
  <c r="V490" i="5"/>
  <c r="U536" i="5"/>
  <c r="V536" i="5"/>
  <c r="U526" i="5"/>
  <c r="V526" i="5"/>
  <c r="V457" i="5"/>
  <c r="U457" i="5"/>
  <c r="V368" i="5"/>
  <c r="U368" i="5"/>
  <c r="U516" i="5"/>
  <c r="V516" i="5"/>
  <c r="V430" i="5"/>
  <c r="U430" i="5"/>
  <c r="U361" i="5"/>
  <c r="V361" i="5"/>
  <c r="V380" i="5"/>
  <c r="U380" i="5"/>
  <c r="V403" i="5"/>
  <c r="U403" i="5"/>
  <c r="U280" i="5"/>
  <c r="V280" i="5"/>
  <c r="V285" i="5"/>
  <c r="U285" i="5"/>
  <c r="V302" i="5"/>
  <c r="U302" i="5"/>
  <c r="V270" i="5"/>
  <c r="U270" i="5"/>
  <c r="V238" i="5"/>
  <c r="U238" i="5"/>
  <c r="V164" i="5"/>
  <c r="U164" i="5"/>
  <c r="V178" i="5"/>
  <c r="U178" i="5"/>
  <c r="V116" i="5"/>
  <c r="U116" i="5"/>
  <c r="V102" i="5"/>
  <c r="U102" i="5"/>
  <c r="V51" i="5"/>
  <c r="U51" i="5"/>
  <c r="V29" i="5"/>
  <c r="U29" i="5"/>
  <c r="V468" i="5"/>
  <c r="U468" i="5"/>
  <c r="V532" i="5"/>
  <c r="U532" i="5"/>
  <c r="V458" i="5"/>
  <c r="U458" i="5"/>
  <c r="V411" i="5"/>
  <c r="U411" i="5"/>
  <c r="U348" i="5"/>
  <c r="V348" i="5"/>
  <c r="U386" i="5"/>
  <c r="V386" i="5"/>
  <c r="U429" i="5"/>
  <c r="V429" i="5"/>
  <c r="U364" i="5"/>
  <c r="V364" i="5"/>
  <c r="U356" i="5"/>
  <c r="V356" i="5"/>
  <c r="U293" i="5"/>
  <c r="V293" i="5"/>
  <c r="V331" i="5"/>
  <c r="U331" i="5"/>
  <c r="V251" i="5"/>
  <c r="U251" i="5"/>
  <c r="U282" i="5"/>
  <c r="V282" i="5"/>
  <c r="V241" i="5"/>
  <c r="U241" i="5"/>
  <c r="V180" i="5"/>
  <c r="U180" i="5"/>
  <c r="U159" i="5"/>
  <c r="V159" i="5"/>
  <c r="V205" i="5"/>
  <c r="U205" i="5"/>
  <c r="U185" i="5"/>
  <c r="V185" i="5"/>
  <c r="V133" i="5"/>
  <c r="U133" i="5"/>
  <c r="V152" i="5"/>
  <c r="U152" i="5"/>
  <c r="U137" i="5"/>
  <c r="V137" i="5"/>
  <c r="V139" i="5"/>
  <c r="U139" i="5"/>
  <c r="V85" i="5"/>
  <c r="U85" i="5"/>
  <c r="V92" i="5"/>
  <c r="U92" i="5"/>
  <c r="U35" i="5"/>
  <c r="V35" i="5"/>
  <c r="V52" i="5"/>
  <c r="U52" i="5"/>
  <c r="U26" i="5"/>
  <c r="V26" i="5"/>
  <c r="V334" i="5"/>
  <c r="U334" i="5"/>
  <c r="V273" i="5"/>
  <c r="U273" i="5"/>
  <c r="V239" i="5"/>
  <c r="U239" i="5"/>
  <c r="U188" i="5"/>
  <c r="V188" i="5"/>
  <c r="V161" i="5"/>
  <c r="U161" i="5"/>
  <c r="U117" i="5"/>
  <c r="V117" i="5"/>
  <c r="U121" i="5"/>
  <c r="V121" i="5"/>
  <c r="U105" i="5"/>
  <c r="V105" i="5"/>
  <c r="U57" i="5"/>
  <c r="V57" i="5"/>
  <c r="V43" i="5"/>
  <c r="U43" i="5"/>
  <c r="V38" i="5"/>
  <c r="U38" i="5"/>
  <c r="AJ33" i="5"/>
  <c r="AJ141" i="5"/>
  <c r="AJ29" i="5"/>
  <c r="AJ64" i="5"/>
  <c r="AJ97" i="5"/>
  <c r="AJ129" i="5"/>
  <c r="AJ160" i="5"/>
  <c r="AJ176" i="5"/>
  <c r="AJ62" i="5"/>
  <c r="AJ185" i="5"/>
  <c r="AJ203" i="5"/>
  <c r="AJ219" i="5"/>
  <c r="AJ233" i="5"/>
  <c r="AJ255" i="5"/>
  <c r="AJ270" i="5"/>
  <c r="AJ286" i="5"/>
  <c r="AJ302" i="5"/>
  <c r="AJ319" i="5"/>
  <c r="AJ55" i="5"/>
  <c r="AJ107" i="5"/>
  <c r="AJ139" i="5"/>
  <c r="AJ186" i="5"/>
  <c r="AJ202" i="5"/>
  <c r="AJ218" i="5"/>
  <c r="AJ235" i="5"/>
  <c r="AJ20" i="5"/>
  <c r="AJ67" i="5"/>
  <c r="AJ193" i="5"/>
  <c r="AJ212" i="5"/>
  <c r="AJ231" i="5"/>
  <c r="AJ244" i="5"/>
  <c r="AJ252" i="5"/>
  <c r="AJ260" i="5"/>
  <c r="AJ276" i="5"/>
  <c r="AJ292" i="5"/>
  <c r="AJ308" i="5"/>
  <c r="AJ324" i="5"/>
  <c r="AJ194" i="5"/>
  <c r="AJ264" i="5"/>
  <c r="AJ296" i="5"/>
  <c r="AJ321" i="5"/>
  <c r="AJ339" i="5"/>
  <c r="AJ355" i="5"/>
  <c r="AJ371" i="5"/>
  <c r="AJ383" i="5"/>
  <c r="AJ396" i="5"/>
  <c r="AJ462" i="5"/>
  <c r="AJ478" i="5"/>
  <c r="AJ494" i="5"/>
  <c r="AJ509" i="5"/>
  <c r="AJ519" i="5"/>
  <c r="AJ529" i="5"/>
  <c r="AJ543" i="5"/>
  <c r="AJ559" i="5"/>
  <c r="AJ127" i="5"/>
  <c r="AJ221" i="5"/>
  <c r="AJ269" i="5"/>
  <c r="AJ301" i="5"/>
  <c r="AJ318" i="5"/>
  <c r="AJ333" i="5"/>
  <c r="AJ349" i="5"/>
  <c r="AJ365" i="5"/>
  <c r="AJ385" i="5"/>
  <c r="AJ401" i="5"/>
  <c r="AJ417" i="5"/>
  <c r="AJ433" i="5"/>
  <c r="AJ253" i="5"/>
  <c r="AJ271" i="5"/>
  <c r="AJ303" i="5"/>
  <c r="AJ389" i="5"/>
  <c r="AJ403" i="5"/>
  <c r="AJ419" i="5"/>
  <c r="AJ435" i="5"/>
  <c r="AJ451" i="5"/>
  <c r="AJ467" i="5"/>
  <c r="AJ483" i="5"/>
  <c r="AJ499" i="5"/>
  <c r="AJ514" i="5"/>
  <c r="AJ530" i="5"/>
  <c r="AJ540" i="5"/>
  <c r="AJ548" i="5"/>
  <c r="AJ209" i="5"/>
  <c r="AJ344" i="5"/>
  <c r="AJ376" i="5"/>
  <c r="AJ59" i="5"/>
  <c r="AJ157" i="5"/>
  <c r="AJ34" i="5"/>
  <c r="AJ66" i="5"/>
  <c r="AJ101" i="5"/>
  <c r="AJ133" i="5"/>
  <c r="AJ162" i="5"/>
  <c r="AJ180" i="5"/>
  <c r="AJ89" i="5"/>
  <c r="AJ189" i="5"/>
  <c r="AJ207" i="5"/>
  <c r="AJ223" i="5"/>
  <c r="AJ239" i="5"/>
  <c r="AJ259" i="5"/>
  <c r="AJ275" i="5"/>
  <c r="AJ291" i="5"/>
  <c r="AJ307" i="5"/>
  <c r="AJ326" i="5"/>
  <c r="AJ73" i="5"/>
  <c r="AJ115" i="5"/>
  <c r="AJ148" i="5"/>
  <c r="AJ190" i="5"/>
  <c r="AJ206" i="5"/>
  <c r="AJ222" i="5"/>
  <c r="AJ238" i="5"/>
  <c r="AJ30" i="5"/>
  <c r="AJ76" i="5"/>
  <c r="AJ200" i="5"/>
  <c r="AJ216" i="5"/>
  <c r="AJ234" i="5"/>
  <c r="AJ246" i="5"/>
  <c r="AJ254" i="5"/>
  <c r="AJ262" i="5"/>
  <c r="AJ278" i="5"/>
  <c r="AJ294" i="5"/>
  <c r="AJ312" i="5"/>
  <c r="AJ119" i="5"/>
  <c r="AJ227" i="5"/>
  <c r="AJ277" i="5"/>
  <c r="AJ309" i="5"/>
  <c r="AJ325" i="5"/>
  <c r="AJ343" i="5"/>
  <c r="AJ359" i="5"/>
  <c r="AJ375" i="5"/>
  <c r="AJ388" i="5"/>
  <c r="AJ398" i="5"/>
  <c r="AJ464" i="5"/>
  <c r="AJ480" i="5"/>
  <c r="AJ496" i="5"/>
  <c r="AJ511" i="5"/>
  <c r="AJ523" i="5"/>
  <c r="AJ533" i="5"/>
  <c r="AJ547" i="5"/>
  <c r="AJ23" i="5"/>
  <c r="AJ196" i="5"/>
  <c r="AJ230" i="5"/>
  <c r="AJ274" i="5"/>
  <c r="AJ306" i="5"/>
  <c r="B76" i="5"/>
  <c r="AJ91" i="5"/>
  <c r="AJ173" i="5"/>
  <c r="AJ50" i="5"/>
  <c r="AJ82" i="5"/>
  <c r="AJ117" i="5"/>
  <c r="AJ154" i="5"/>
  <c r="AJ170" i="5"/>
  <c r="AJ52" i="5"/>
  <c r="AJ181" i="5"/>
  <c r="AJ199" i="5"/>
  <c r="AJ215" i="5"/>
  <c r="AJ228" i="5"/>
  <c r="AJ251" i="5"/>
  <c r="AJ268" i="5"/>
  <c r="AJ284" i="5"/>
  <c r="AJ300" i="5"/>
  <c r="AJ315" i="5"/>
  <c r="AJ46" i="5"/>
  <c r="AJ99" i="5"/>
  <c r="AJ131" i="5"/>
  <c r="AJ182" i="5"/>
  <c r="AJ198" i="5"/>
  <c r="AJ214" i="5"/>
  <c r="AJ229" i="5"/>
  <c r="AJ242" i="5"/>
  <c r="AJ57" i="5"/>
  <c r="AJ178" i="5"/>
  <c r="AJ208" i="5"/>
  <c r="AJ225" i="5"/>
  <c r="AJ241" i="5"/>
  <c r="AJ250" i="5"/>
  <c r="AJ258" i="5"/>
  <c r="AJ273" i="5"/>
  <c r="AJ289" i="5"/>
  <c r="AJ305" i="5"/>
  <c r="AJ320" i="5"/>
  <c r="AJ179" i="5"/>
  <c r="AJ247" i="5"/>
  <c r="AJ287" i="5"/>
  <c r="AJ317" i="5"/>
  <c r="AJ335" i="5"/>
  <c r="AJ351" i="5"/>
  <c r="AJ367" i="5"/>
  <c r="AJ379" i="5"/>
  <c r="AJ394" i="5"/>
  <c r="AJ459" i="5"/>
  <c r="AJ475" i="5"/>
  <c r="AJ491" i="5"/>
  <c r="AJ507" i="5"/>
  <c r="AJ517" i="5"/>
  <c r="AJ527" i="5"/>
  <c r="AJ539" i="5"/>
  <c r="AJ555" i="5"/>
  <c r="AJ95" i="5"/>
  <c r="AJ213" i="5"/>
  <c r="AJ249" i="5"/>
  <c r="AJ288" i="5"/>
  <c r="AJ314" i="5"/>
  <c r="AJ331" i="5"/>
  <c r="AJ345" i="5"/>
  <c r="AJ361" i="5"/>
  <c r="AJ381" i="5"/>
  <c r="AJ395" i="5"/>
  <c r="AJ413" i="5"/>
  <c r="AJ429" i="5"/>
  <c r="AJ232" i="5"/>
  <c r="AJ266" i="5"/>
  <c r="AJ298" i="5"/>
  <c r="AJ378" i="5"/>
  <c r="AJ399" i="5"/>
  <c r="AJ415" i="5"/>
  <c r="AJ431" i="5"/>
  <c r="AJ447" i="5"/>
  <c r="AJ461" i="5"/>
  <c r="AJ477" i="5"/>
  <c r="AJ493" i="5"/>
  <c r="AJ508" i="5"/>
  <c r="AJ524" i="5"/>
  <c r="AJ538" i="5"/>
  <c r="AJ546" i="5"/>
  <c r="AJ144" i="5"/>
  <c r="AJ336" i="5"/>
  <c r="AJ368" i="5"/>
  <c r="AJ408" i="5"/>
  <c r="AJ161" i="5"/>
  <c r="AJ150" i="5"/>
  <c r="AJ197" i="5"/>
  <c r="AJ265" i="5"/>
  <c r="AJ36" i="5"/>
  <c r="AJ192" i="5"/>
  <c r="AJ39" i="5"/>
  <c r="AJ236" i="5"/>
  <c r="AJ283" i="5"/>
  <c r="AJ237" i="5"/>
  <c r="AJ347" i="5"/>
  <c r="AJ453" i="5"/>
  <c r="AJ513" i="5"/>
  <c r="AJ60" i="5"/>
  <c r="AJ310" i="5"/>
  <c r="AJ341" i="5"/>
  <c r="AJ373" i="5"/>
  <c r="AJ409" i="5"/>
  <c r="AJ135" i="5"/>
  <c r="AJ293" i="5"/>
  <c r="AJ393" i="5"/>
  <c r="AJ427" i="5"/>
  <c r="AJ456" i="5"/>
  <c r="AJ488" i="5"/>
  <c r="AJ520" i="5"/>
  <c r="AJ544" i="5"/>
  <c r="AJ327" i="5"/>
  <c r="AJ400" i="5"/>
  <c r="AJ437" i="5"/>
  <c r="AJ458" i="5"/>
  <c r="AJ490" i="5"/>
  <c r="AJ560" i="5"/>
  <c r="AJ500" i="5"/>
  <c r="AJ541" i="5"/>
  <c r="AJ406" i="5"/>
  <c r="AJ466" i="5"/>
  <c r="AJ263" i="5"/>
  <c r="AJ354" i="5"/>
  <c r="AJ402" i="5"/>
  <c r="AJ434" i="5"/>
  <c r="AJ450" i="5"/>
  <c r="AJ528" i="5"/>
  <c r="AJ436" i="5"/>
  <c r="AJ78" i="5"/>
  <c r="AJ348" i="5"/>
  <c r="AJ380" i="5"/>
  <c r="AJ428" i="5"/>
  <c r="AJ474" i="5"/>
  <c r="AJ506" i="5"/>
  <c r="AJ526" i="5"/>
  <c r="AJ111" i="5"/>
  <c r="AJ334" i="5"/>
  <c r="AJ366" i="5"/>
  <c r="AJ444" i="5"/>
  <c r="AJ554" i="5"/>
  <c r="AJ175" i="5"/>
  <c r="AJ136" i="5"/>
  <c r="AJ31" i="5"/>
  <c r="AJ86" i="5"/>
  <c r="AJ22" i="5"/>
  <c r="AJ132" i="5"/>
  <c r="AJ124" i="5"/>
  <c r="AJ85" i="5"/>
  <c r="AJ163" i="5"/>
  <c r="AJ130" i="5"/>
  <c r="AJ191" i="5"/>
  <c r="AJ110" i="5"/>
  <c r="AJ42" i="5"/>
  <c r="AJ100" i="5"/>
  <c r="AJ79" i="5"/>
  <c r="AJ32" i="5"/>
  <c r="AJ53" i="5"/>
  <c r="AJ45" i="5"/>
  <c r="AJ168" i="5"/>
  <c r="AJ211" i="5"/>
  <c r="AJ281" i="5"/>
  <c r="AJ83" i="5"/>
  <c r="AJ210" i="5"/>
  <c r="AJ142" i="5"/>
  <c r="AJ248" i="5"/>
  <c r="AJ299" i="5"/>
  <c r="AJ282" i="5"/>
  <c r="AJ363" i="5"/>
  <c r="AJ469" i="5"/>
  <c r="AJ525" i="5"/>
  <c r="AJ205" i="5"/>
  <c r="AJ322" i="5"/>
  <c r="AJ353" i="5"/>
  <c r="AJ387" i="5"/>
  <c r="AJ421" i="5"/>
  <c r="AJ257" i="5"/>
  <c r="AJ323" i="5"/>
  <c r="AJ407" i="5"/>
  <c r="AJ439" i="5"/>
  <c r="AJ470" i="5"/>
  <c r="AJ502" i="5"/>
  <c r="AJ532" i="5"/>
  <c r="AJ550" i="5"/>
  <c r="AJ352" i="5"/>
  <c r="AJ416" i="5"/>
  <c r="AJ441" i="5"/>
  <c r="AJ471" i="5"/>
  <c r="AJ503" i="5"/>
  <c r="AJ463" i="5"/>
  <c r="AJ512" i="5"/>
  <c r="AJ549" i="5"/>
  <c r="AJ422" i="5"/>
  <c r="AJ479" i="5"/>
  <c r="AJ329" i="5"/>
  <c r="AJ362" i="5"/>
  <c r="AJ410" i="5"/>
  <c r="AJ438" i="5"/>
  <c r="AJ468" i="5"/>
  <c r="AJ545" i="5"/>
  <c r="AJ452" i="5"/>
  <c r="AJ285" i="5"/>
  <c r="AJ356" i="5"/>
  <c r="AJ404" i="5"/>
  <c r="AJ455" i="5"/>
  <c r="AJ487" i="5"/>
  <c r="AJ510" i="5"/>
  <c r="AJ534" i="5"/>
  <c r="AJ201" i="5"/>
  <c r="AJ342" i="5"/>
  <c r="AJ397" i="5"/>
  <c r="AJ457" i="5"/>
  <c r="AJ120" i="5"/>
  <c r="AJ81" i="5"/>
  <c r="AJ187" i="5"/>
  <c r="AJ70" i="5"/>
  <c r="AJ159" i="5"/>
  <c r="AJ116" i="5"/>
  <c r="AJ104" i="5"/>
  <c r="AJ106" i="5"/>
  <c r="AJ171" i="5"/>
  <c r="AJ134" i="5"/>
  <c r="AJ98" i="5"/>
  <c r="AJ80" i="5"/>
  <c r="AJ25" i="5"/>
  <c r="AJ226" i="5"/>
  <c r="AJ297" i="5"/>
  <c r="AJ123" i="5"/>
  <c r="AJ224" i="5"/>
  <c r="AJ204" i="5"/>
  <c r="AJ256" i="5"/>
  <c r="AJ316" i="5"/>
  <c r="AJ313" i="5"/>
  <c r="AJ377" i="5"/>
  <c r="AJ485" i="5"/>
  <c r="AJ535" i="5"/>
  <c r="AJ245" i="5"/>
  <c r="AJ328" i="5"/>
  <c r="AJ357" i="5"/>
  <c r="AJ392" i="5"/>
  <c r="AJ425" i="5"/>
  <c r="AJ261" i="5"/>
  <c r="AJ332" i="5"/>
  <c r="AJ411" i="5"/>
  <c r="AJ443" i="5"/>
  <c r="AJ472" i="5"/>
  <c r="AJ504" i="5"/>
  <c r="AJ536" i="5"/>
  <c r="AJ552" i="5"/>
  <c r="AJ360" i="5"/>
  <c r="AJ424" i="5"/>
  <c r="AJ445" i="5"/>
  <c r="AJ476" i="5"/>
  <c r="AJ515" i="5"/>
  <c r="AJ473" i="5"/>
  <c r="AJ521" i="5"/>
  <c r="AJ553" i="5"/>
  <c r="AJ440" i="5"/>
  <c r="AJ41" i="5"/>
  <c r="AJ338" i="5"/>
  <c r="AJ370" i="5"/>
  <c r="AJ418" i="5"/>
  <c r="AJ442" i="5"/>
  <c r="AJ482" i="5"/>
  <c r="AJ558" i="5"/>
  <c r="AJ489" i="5"/>
  <c r="AJ304" i="5"/>
  <c r="AJ364" i="5"/>
  <c r="AJ412" i="5"/>
  <c r="AJ460" i="5"/>
  <c r="AJ492" i="5"/>
  <c r="AJ518" i="5"/>
  <c r="AJ556" i="5"/>
  <c r="AJ272" i="5"/>
  <c r="AJ350" i="5"/>
  <c r="AJ414" i="5"/>
  <c r="AJ484" i="5"/>
  <c r="AJ65" i="5"/>
  <c r="AJ128" i="5"/>
  <c r="AJ54" i="5"/>
  <c r="AJ112" i="5"/>
  <c r="AJ149" i="5"/>
  <c r="AJ108" i="5"/>
  <c r="AJ8" i="5"/>
  <c r="AJ140" i="5"/>
  <c r="AJ122" i="5"/>
  <c r="AJ90" i="5"/>
  <c r="AJ126" i="5"/>
  <c r="AJ102" i="5"/>
  <c r="AJ74" i="5"/>
  <c r="AJ51" i="5"/>
  <c r="AJ35" i="5"/>
  <c r="AJ92" i="5"/>
  <c r="AJ26" i="5"/>
  <c r="AJ72" i="5"/>
  <c r="AJ113" i="5"/>
  <c r="AJ177" i="5"/>
  <c r="AJ152" i="5"/>
  <c r="AJ551" i="5"/>
  <c r="AJ405" i="5"/>
  <c r="AJ423" i="5"/>
  <c r="AJ542" i="5"/>
  <c r="AJ449" i="5"/>
  <c r="AJ537" i="5"/>
  <c r="AJ346" i="5"/>
  <c r="AJ505" i="5"/>
  <c r="AJ372" i="5"/>
  <c r="AJ522" i="5"/>
  <c r="AJ430" i="5"/>
  <c r="AJ151" i="5"/>
  <c r="AJ167" i="5"/>
  <c r="AJ118" i="5"/>
  <c r="AJ37" i="5"/>
  <c r="AJ137" i="5"/>
  <c r="AJ240" i="5"/>
  <c r="AJ330" i="5"/>
  <c r="AJ279" i="5"/>
  <c r="AJ103" i="5"/>
  <c r="AJ454" i="5"/>
  <c r="AJ295" i="5"/>
  <c r="AJ481" i="5"/>
  <c r="AJ374" i="5"/>
  <c r="AJ386" i="5"/>
  <c r="AJ382" i="5"/>
  <c r="AJ420" i="5"/>
  <c r="AJ19" i="5"/>
  <c r="AJ498" i="5"/>
  <c r="AJ47" i="5"/>
  <c r="AJ114" i="5"/>
  <c r="AJ69" i="5"/>
  <c r="AJ58" i="5"/>
  <c r="AJ96" i="5"/>
  <c r="AJ21" i="5"/>
  <c r="AJ243" i="5"/>
  <c r="AJ220" i="5"/>
  <c r="AJ390" i="5"/>
  <c r="AJ337" i="5"/>
  <c r="AJ280" i="5"/>
  <c r="AJ486" i="5"/>
  <c r="AJ384" i="5"/>
  <c r="AJ531" i="5"/>
  <c r="AJ448" i="5"/>
  <c r="AJ426" i="5"/>
  <c r="AJ557" i="5"/>
  <c r="AJ465" i="5"/>
  <c r="AJ290" i="5"/>
  <c r="AJ145" i="5"/>
  <c r="AJ94" i="5"/>
  <c r="AJ63" i="5"/>
  <c r="AJ88" i="5"/>
  <c r="AJ311" i="5"/>
  <c r="AJ391" i="5"/>
  <c r="AJ217" i="5"/>
  <c r="AJ358" i="5"/>
  <c r="AJ183" i="5"/>
  <c r="AJ48" i="5"/>
  <c r="AJ267" i="5"/>
  <c r="AJ516" i="5"/>
  <c r="AJ446" i="5"/>
  <c r="AJ155" i="5"/>
  <c r="AJ501" i="5"/>
  <c r="AJ432" i="5"/>
  <c r="AJ340" i="5"/>
  <c r="AJ369" i="5"/>
  <c r="AJ495" i="5"/>
  <c r="AJ38" i="5"/>
  <c r="AJ497" i="5"/>
  <c r="AJ68" i="5"/>
  <c r="B25" i="2"/>
  <c r="H17" i="1"/>
  <c r="AK77" i="5"/>
  <c r="AL77" i="5"/>
  <c r="AL24" i="5"/>
  <c r="AK24" i="5"/>
  <c r="AK184" i="5"/>
  <c r="AL184" i="5"/>
  <c r="AK158" i="5"/>
  <c r="AL27" i="5"/>
  <c r="AK164" i="5"/>
  <c r="AL105" i="5"/>
  <c r="AK75" i="5"/>
  <c r="AX7" i="5"/>
  <c r="AY7" i="5"/>
  <c r="AK195" i="5"/>
  <c r="AL44" i="5"/>
  <c r="AL188" i="5"/>
  <c r="AK169" i="5"/>
  <c r="AL169" i="5"/>
  <c r="AL87" i="5"/>
  <c r="AK87" i="5"/>
  <c r="AL174" i="5"/>
  <c r="AK174" i="5"/>
  <c r="AL143" i="5"/>
  <c r="AK143" i="5"/>
  <c r="AK125" i="5"/>
  <c r="AL125" i="5"/>
  <c r="AK138" i="5"/>
  <c r="AL138" i="5"/>
  <c r="AK166" i="5"/>
  <c r="AL166" i="5"/>
  <c r="AK109" i="5"/>
  <c r="AK43" i="5"/>
  <c r="AL43" i="5"/>
  <c r="AL84" i="5"/>
  <c r="AK84" i="5"/>
  <c r="AK121" i="5"/>
  <c r="AK56" i="5"/>
  <c r="AL56" i="5"/>
  <c r="AL147" i="5"/>
  <c r="AK147" i="5"/>
  <c r="AK7" i="5"/>
  <c r="AL7" i="5"/>
  <c r="BA7" i="5"/>
  <c r="BB7" i="5"/>
  <c r="BA352" i="5" l="1"/>
  <c r="AU88" i="5"/>
  <c r="BB240" i="5"/>
  <c r="AV71" i="5"/>
  <c r="BA44" i="5"/>
  <c r="AV36" i="5"/>
  <c r="AV163" i="5"/>
  <c r="BB160" i="5"/>
  <c r="AV44" i="5"/>
  <c r="BB26" i="5"/>
  <c r="AV61" i="5"/>
  <c r="AU61" i="5"/>
  <c r="AU314" i="5"/>
  <c r="AV157" i="5"/>
  <c r="AV276" i="5"/>
  <c r="AU154" i="5"/>
  <c r="BA112" i="5"/>
  <c r="AL172" i="5"/>
  <c r="AU255" i="5"/>
  <c r="AV33" i="5"/>
  <c r="AU33" i="5"/>
  <c r="AV49" i="5"/>
  <c r="AU49" i="5"/>
  <c r="AU560" i="5"/>
  <c r="AV560" i="5"/>
  <c r="AV475" i="5"/>
  <c r="AU475" i="5"/>
  <c r="AV431" i="5"/>
  <c r="AU431" i="5"/>
  <c r="AV119" i="5"/>
  <c r="AU119" i="5"/>
  <c r="AV455" i="5"/>
  <c r="AU455" i="5"/>
  <c r="AU19" i="5"/>
  <c r="AV19" i="5"/>
  <c r="AV546" i="5"/>
  <c r="AU546" i="5"/>
  <c r="AV266" i="5"/>
  <c r="AU266" i="5"/>
  <c r="AU552" i="5"/>
  <c r="AV552" i="5"/>
  <c r="AU256" i="5"/>
  <c r="AV256" i="5"/>
  <c r="AV389" i="5"/>
  <c r="AU389" i="5"/>
  <c r="AU35" i="5"/>
  <c r="AV35" i="5"/>
  <c r="AV482" i="5"/>
  <c r="AU482" i="5"/>
  <c r="AU354" i="5"/>
  <c r="AV354" i="5"/>
  <c r="AV521" i="5"/>
  <c r="AU521" i="5"/>
  <c r="AU454" i="5"/>
  <c r="AV454" i="5"/>
  <c r="AU545" i="5"/>
  <c r="AV545" i="5"/>
  <c r="AV528" i="5"/>
  <c r="AU528" i="5"/>
  <c r="AV498" i="5"/>
  <c r="AU498" i="5"/>
  <c r="AV464" i="5"/>
  <c r="AU464" i="5"/>
  <c r="AU414" i="5"/>
  <c r="AV414" i="5"/>
  <c r="AV374" i="5"/>
  <c r="AU374" i="5"/>
  <c r="AV236" i="5"/>
  <c r="AU236" i="5"/>
  <c r="AV108" i="5"/>
  <c r="AU108" i="5"/>
  <c r="AV446" i="5"/>
  <c r="AU446" i="5"/>
  <c r="AU413" i="5"/>
  <c r="AV413" i="5"/>
  <c r="AU484" i="5"/>
  <c r="AV484" i="5"/>
  <c r="AU463" i="5"/>
  <c r="AV463" i="5"/>
  <c r="AU457" i="5"/>
  <c r="AV457" i="5"/>
  <c r="AU422" i="5"/>
  <c r="AV422" i="5"/>
  <c r="AV409" i="5"/>
  <c r="AU409" i="5"/>
  <c r="AV323" i="5"/>
  <c r="AU323" i="5"/>
  <c r="AV206" i="5"/>
  <c r="AU206" i="5"/>
  <c r="AU68" i="5"/>
  <c r="AV68" i="5"/>
  <c r="AU537" i="5"/>
  <c r="AV537" i="5"/>
  <c r="AU358" i="5"/>
  <c r="AV358" i="5"/>
  <c r="AV554" i="5"/>
  <c r="AU554" i="5"/>
  <c r="AV549" i="5"/>
  <c r="AU549" i="5"/>
  <c r="AV517" i="5"/>
  <c r="AU517" i="5"/>
  <c r="AV481" i="5"/>
  <c r="AU481" i="5"/>
  <c r="AU298" i="5"/>
  <c r="AV298" i="5"/>
  <c r="AV292" i="5"/>
  <c r="AU292" i="5"/>
  <c r="AV171" i="5"/>
  <c r="AU171" i="5"/>
  <c r="AU509" i="5"/>
  <c r="AV509" i="5"/>
  <c r="AV550" i="5"/>
  <c r="AU550" i="5"/>
  <c r="AU478" i="5"/>
  <c r="AV478" i="5"/>
  <c r="AU272" i="5"/>
  <c r="AV272" i="5"/>
  <c r="AU456" i="5"/>
  <c r="AV456" i="5"/>
  <c r="AU518" i="5"/>
  <c r="AV518" i="5"/>
  <c r="AU445" i="5"/>
  <c r="AV445" i="5"/>
  <c r="AV168" i="5"/>
  <c r="AU168" i="5"/>
  <c r="AU352" i="5"/>
  <c r="AV352" i="5"/>
  <c r="AV376" i="5"/>
  <c r="AU376" i="5"/>
  <c r="AU180" i="5"/>
  <c r="AV180" i="5"/>
  <c r="AV388" i="5"/>
  <c r="AU388" i="5"/>
  <c r="AU349" i="5"/>
  <c r="AV349" i="5"/>
  <c r="AU269" i="5"/>
  <c r="AV269" i="5"/>
  <c r="AU258" i="5"/>
  <c r="AV258" i="5"/>
  <c r="AU252" i="5"/>
  <c r="AV252" i="5"/>
  <c r="AV192" i="5"/>
  <c r="AU192" i="5"/>
  <c r="AV140" i="5"/>
  <c r="AU140" i="5"/>
  <c r="AU116" i="5"/>
  <c r="AV116" i="5"/>
  <c r="AU127" i="5"/>
  <c r="AV127" i="5"/>
  <c r="AU72" i="5"/>
  <c r="AV72" i="5"/>
  <c r="AV384" i="5"/>
  <c r="AU384" i="5"/>
  <c r="AU488" i="5"/>
  <c r="AV488" i="5"/>
  <c r="AV350" i="5"/>
  <c r="AU350" i="5"/>
  <c r="AV383" i="5"/>
  <c r="AU383" i="5"/>
  <c r="AV405" i="5"/>
  <c r="AU405" i="5"/>
  <c r="AV326" i="5"/>
  <c r="AU326" i="5"/>
  <c r="AV406" i="5"/>
  <c r="AU406" i="5"/>
  <c r="AU290" i="5"/>
  <c r="AV290" i="5"/>
  <c r="AV313" i="5"/>
  <c r="AU313" i="5"/>
  <c r="AV308" i="5"/>
  <c r="AU308" i="5"/>
  <c r="AU293" i="5"/>
  <c r="AV293" i="5"/>
  <c r="AU188" i="5"/>
  <c r="AV188" i="5"/>
  <c r="AV197" i="5"/>
  <c r="AU197" i="5"/>
  <c r="AV179" i="5"/>
  <c r="AU179" i="5"/>
  <c r="AV151" i="5"/>
  <c r="AU151" i="5"/>
  <c r="AV98" i="5"/>
  <c r="AU98" i="5"/>
  <c r="AU60" i="5"/>
  <c r="AV60" i="5"/>
  <c r="AU380" i="5"/>
  <c r="AV380" i="5"/>
  <c r="AV507" i="5"/>
  <c r="AU507" i="5"/>
  <c r="AV439" i="5"/>
  <c r="AU439" i="5"/>
  <c r="AU483" i="5"/>
  <c r="AV483" i="5"/>
  <c r="AV370" i="5"/>
  <c r="AU370" i="5"/>
  <c r="AU487" i="5"/>
  <c r="AV487" i="5"/>
  <c r="AV346" i="5"/>
  <c r="AU346" i="5"/>
  <c r="AU375" i="5"/>
  <c r="AV375" i="5"/>
  <c r="AV396" i="5"/>
  <c r="AU396" i="5"/>
  <c r="AV321" i="5"/>
  <c r="AU321" i="5"/>
  <c r="AV403" i="5"/>
  <c r="AU403" i="5"/>
  <c r="AU284" i="5"/>
  <c r="AV284" i="5"/>
  <c r="AV303" i="5"/>
  <c r="AU303" i="5"/>
  <c r="AU304" i="5"/>
  <c r="AV304" i="5"/>
  <c r="AV287" i="5"/>
  <c r="AU287" i="5"/>
  <c r="AV166" i="5"/>
  <c r="AU166" i="5"/>
  <c r="AU194" i="5"/>
  <c r="AV194" i="5"/>
  <c r="AV178" i="5"/>
  <c r="AU178" i="5"/>
  <c r="AV148" i="5"/>
  <c r="AU148" i="5"/>
  <c r="AV97" i="5"/>
  <c r="AU97" i="5"/>
  <c r="AU57" i="5"/>
  <c r="AV57" i="5"/>
  <c r="AV155" i="5"/>
  <c r="AU155" i="5"/>
  <c r="AU226" i="5"/>
  <c r="AV226" i="5"/>
  <c r="AU132" i="5"/>
  <c r="AV132" i="5"/>
  <c r="AV519" i="5"/>
  <c r="AU519" i="5"/>
  <c r="AU544" i="5"/>
  <c r="AV544" i="5"/>
  <c r="AV536" i="5"/>
  <c r="AU536" i="5"/>
  <c r="AV531" i="5"/>
  <c r="AU531" i="5"/>
  <c r="AV433" i="5"/>
  <c r="AU433" i="5"/>
  <c r="AU137" i="5"/>
  <c r="AV137" i="5"/>
  <c r="AU432" i="5"/>
  <c r="AV432" i="5"/>
  <c r="AV520" i="5"/>
  <c r="AU520" i="5"/>
  <c r="AU458" i="5"/>
  <c r="AV458" i="5"/>
  <c r="AU330" i="5"/>
  <c r="AV330" i="5"/>
  <c r="AU107" i="5"/>
  <c r="AV107" i="5"/>
  <c r="AV395" i="5"/>
  <c r="AU395" i="5"/>
  <c r="AV392" i="5"/>
  <c r="AU392" i="5"/>
  <c r="AU357" i="5"/>
  <c r="AV357" i="5"/>
  <c r="AV300" i="5"/>
  <c r="AU300" i="5"/>
  <c r="AU50" i="5"/>
  <c r="AV50" i="5"/>
  <c r="AV504" i="5"/>
  <c r="AU504" i="5"/>
  <c r="AV472" i="5"/>
  <c r="AU472" i="5"/>
  <c r="AV469" i="5"/>
  <c r="AU469" i="5"/>
  <c r="AV369" i="5"/>
  <c r="AU369" i="5"/>
  <c r="AV268" i="5"/>
  <c r="AU268" i="5"/>
  <c r="AU174" i="5"/>
  <c r="AV174" i="5"/>
  <c r="AU289" i="5"/>
  <c r="AV289" i="5"/>
  <c r="AU232" i="5"/>
  <c r="AV232" i="5"/>
  <c r="AV158" i="5"/>
  <c r="AU158" i="5"/>
  <c r="AV94" i="5"/>
  <c r="AU94" i="5"/>
  <c r="AU499" i="5"/>
  <c r="AV499" i="5"/>
  <c r="AV404" i="5"/>
  <c r="AU404" i="5"/>
  <c r="AV355" i="5"/>
  <c r="AU355" i="5"/>
  <c r="AV364" i="5"/>
  <c r="AU364" i="5"/>
  <c r="AU196" i="5"/>
  <c r="AV196" i="5"/>
  <c r="AV225" i="5"/>
  <c r="AU225" i="5"/>
  <c r="AU161" i="5"/>
  <c r="AV161" i="5"/>
  <c r="AV85" i="5"/>
  <c r="AU85" i="5"/>
  <c r="AU473" i="5"/>
  <c r="AV473" i="5"/>
  <c r="AU459" i="5"/>
  <c r="AV459" i="5"/>
  <c r="AU425" i="5"/>
  <c r="AV425" i="5"/>
  <c r="AV412" i="5"/>
  <c r="AU412" i="5"/>
  <c r="AV410" i="5"/>
  <c r="AU410" i="5"/>
  <c r="AV421" i="5"/>
  <c r="AU421" i="5"/>
  <c r="AV117" i="5"/>
  <c r="AU117" i="5"/>
  <c r="AV315" i="5"/>
  <c r="AU315" i="5"/>
  <c r="AU193" i="5"/>
  <c r="AV193" i="5"/>
  <c r="AU82" i="5"/>
  <c r="AV82" i="5"/>
  <c r="AV423" i="5"/>
  <c r="AU423" i="5"/>
  <c r="AV529" i="5"/>
  <c r="AU529" i="5"/>
  <c r="AU515" i="5"/>
  <c r="AV515" i="5"/>
  <c r="AV123" i="5"/>
  <c r="AU123" i="5"/>
  <c r="AV535" i="5"/>
  <c r="AU535" i="5"/>
  <c r="AU394" i="5"/>
  <c r="AV394" i="5"/>
  <c r="AV204" i="5"/>
  <c r="AU204" i="5"/>
  <c r="AV470" i="5"/>
  <c r="AU470" i="5"/>
  <c r="AU471" i="5"/>
  <c r="AV471" i="5"/>
  <c r="AV207" i="5"/>
  <c r="AU207" i="5"/>
  <c r="AU449" i="5"/>
  <c r="AV449" i="5"/>
  <c r="AV426" i="5"/>
  <c r="AU426" i="5"/>
  <c r="AV495" i="5"/>
  <c r="AU495" i="5"/>
  <c r="AV476" i="5"/>
  <c r="AU476" i="5"/>
  <c r="AV462" i="5"/>
  <c r="AU462" i="5"/>
  <c r="AV434" i="5"/>
  <c r="AU434" i="5"/>
  <c r="AV339" i="5"/>
  <c r="AU339" i="5"/>
  <c r="AV343" i="5"/>
  <c r="AU343" i="5"/>
  <c r="AV227" i="5"/>
  <c r="AU227" i="5"/>
  <c r="AU80" i="5"/>
  <c r="AV80" i="5"/>
  <c r="AU556" i="5"/>
  <c r="AV556" i="5"/>
  <c r="AU365" i="5"/>
  <c r="AV365" i="5"/>
  <c r="AV441" i="5"/>
  <c r="AU441" i="5"/>
  <c r="AU551" i="5"/>
  <c r="AV551" i="5"/>
  <c r="AV302" i="5"/>
  <c r="AU302" i="5"/>
  <c r="AU493" i="5"/>
  <c r="AV493" i="5"/>
  <c r="AU333" i="5"/>
  <c r="AV333" i="5"/>
  <c r="AU325" i="5"/>
  <c r="AV325" i="5"/>
  <c r="AU125" i="5"/>
  <c r="AV125" i="5"/>
  <c r="AU534" i="5"/>
  <c r="AV534" i="5"/>
  <c r="AU467" i="5"/>
  <c r="AV467" i="5"/>
  <c r="AV555" i="5"/>
  <c r="AU555" i="5"/>
  <c r="AV539" i="5"/>
  <c r="AU539" i="5"/>
  <c r="AV512" i="5"/>
  <c r="AU512" i="5"/>
  <c r="AV485" i="5"/>
  <c r="AU485" i="5"/>
  <c r="AU344" i="5"/>
  <c r="AV344" i="5"/>
  <c r="AU401" i="5"/>
  <c r="AV401" i="5"/>
  <c r="AV277" i="5"/>
  <c r="AU277" i="5"/>
  <c r="AU124" i="5"/>
  <c r="AV124" i="5"/>
  <c r="AV479" i="5"/>
  <c r="AU479" i="5"/>
  <c r="AU543" i="5"/>
  <c r="AV543" i="5"/>
  <c r="AV468" i="5"/>
  <c r="AU468" i="5"/>
  <c r="AV501" i="5"/>
  <c r="AU501" i="5"/>
  <c r="AV435" i="5"/>
  <c r="AU435" i="5"/>
  <c r="AV502" i="5"/>
  <c r="AU502" i="5"/>
  <c r="AV427" i="5"/>
  <c r="AU427" i="5"/>
  <c r="AV411" i="5"/>
  <c r="AU411" i="5"/>
  <c r="AV317" i="5"/>
  <c r="AU317" i="5"/>
  <c r="AU362" i="5"/>
  <c r="AV362" i="5"/>
  <c r="AV429" i="5"/>
  <c r="AU429" i="5"/>
  <c r="AV366" i="5"/>
  <c r="AU366" i="5"/>
  <c r="AV342" i="5"/>
  <c r="AU342" i="5"/>
  <c r="AU244" i="5"/>
  <c r="AV244" i="5"/>
  <c r="AV332" i="5"/>
  <c r="AU332" i="5"/>
  <c r="AU235" i="5"/>
  <c r="AV235" i="5"/>
  <c r="AV223" i="5"/>
  <c r="AU223" i="5"/>
  <c r="AU169" i="5"/>
  <c r="AV169" i="5"/>
  <c r="AV134" i="5"/>
  <c r="AU134" i="5"/>
  <c r="AV101" i="5"/>
  <c r="AU101" i="5"/>
  <c r="AV26" i="5"/>
  <c r="AU26" i="5"/>
  <c r="AV294" i="5"/>
  <c r="AU294" i="5"/>
  <c r="AV466" i="5"/>
  <c r="AU466" i="5"/>
  <c r="AU305" i="5"/>
  <c r="AV305" i="5"/>
  <c r="AV361" i="5"/>
  <c r="AU361" i="5"/>
  <c r="AV387" i="5"/>
  <c r="AU387" i="5"/>
  <c r="AU267" i="5"/>
  <c r="AV267" i="5"/>
  <c r="AV398" i="5"/>
  <c r="AU398" i="5"/>
  <c r="AV359" i="5"/>
  <c r="AU359" i="5"/>
  <c r="AU288" i="5"/>
  <c r="AV288" i="5"/>
  <c r="AU279" i="5"/>
  <c r="AV279" i="5"/>
  <c r="AU263" i="5"/>
  <c r="AV263" i="5"/>
  <c r="AU220" i="5"/>
  <c r="AV220" i="5"/>
  <c r="AU167" i="5"/>
  <c r="AV167" i="5"/>
  <c r="AV147" i="5"/>
  <c r="AU147" i="5"/>
  <c r="AV145" i="5"/>
  <c r="AU145" i="5"/>
  <c r="AU86" i="5"/>
  <c r="AV86" i="5"/>
  <c r="AU40" i="5"/>
  <c r="AV40" i="5"/>
  <c r="AV553" i="5"/>
  <c r="AU553" i="5"/>
  <c r="AV486" i="5"/>
  <c r="AU486" i="5"/>
  <c r="AV337" i="5"/>
  <c r="AU337" i="5"/>
  <c r="AV460" i="5"/>
  <c r="AU460" i="5"/>
  <c r="AU530" i="5"/>
  <c r="AV530" i="5"/>
  <c r="AU451" i="5"/>
  <c r="AV451" i="5"/>
  <c r="AV275" i="5"/>
  <c r="AU275" i="5"/>
  <c r="AU360" i="5"/>
  <c r="AV360" i="5"/>
  <c r="AU386" i="5"/>
  <c r="AV386" i="5"/>
  <c r="AV262" i="5"/>
  <c r="AU262" i="5"/>
  <c r="AU397" i="5"/>
  <c r="AV397" i="5"/>
  <c r="AU356" i="5"/>
  <c r="AV356" i="5"/>
  <c r="AV285" i="5"/>
  <c r="AU285" i="5"/>
  <c r="AV278" i="5"/>
  <c r="AU278" i="5"/>
  <c r="AU260" i="5"/>
  <c r="AV260" i="5"/>
  <c r="AV216" i="5"/>
  <c r="AU216" i="5"/>
  <c r="AU162" i="5"/>
  <c r="AV162" i="5"/>
  <c r="AU144" i="5"/>
  <c r="AV144" i="5"/>
  <c r="AV143" i="5"/>
  <c r="AU143" i="5"/>
  <c r="AU81" i="5"/>
  <c r="AV81" i="5"/>
  <c r="AU45" i="5"/>
  <c r="AV45" i="5"/>
  <c r="AV547" i="5"/>
  <c r="AU547" i="5"/>
  <c r="AV461" i="5"/>
  <c r="AU461" i="5"/>
  <c r="AU281" i="5"/>
  <c r="AV281" i="5"/>
  <c r="AU353" i="5"/>
  <c r="AV353" i="5"/>
  <c r="AV523" i="5"/>
  <c r="AU523" i="5"/>
  <c r="AV542" i="5"/>
  <c r="AU542" i="5"/>
  <c r="AV497" i="5"/>
  <c r="AU497" i="5"/>
  <c r="AU203" i="5"/>
  <c r="AV203" i="5"/>
  <c r="AU503" i="5"/>
  <c r="AV503" i="5"/>
  <c r="AU533" i="5"/>
  <c r="AV533" i="5"/>
  <c r="AV480" i="5"/>
  <c r="AU480" i="5"/>
  <c r="AU390" i="5"/>
  <c r="AV390" i="5"/>
  <c r="AU213" i="5"/>
  <c r="AV213" i="5"/>
  <c r="AV440" i="5"/>
  <c r="AU440" i="5"/>
  <c r="AV465" i="5"/>
  <c r="AU465" i="5"/>
  <c r="AU452" i="5"/>
  <c r="AV452" i="5"/>
  <c r="AV393" i="5"/>
  <c r="AU393" i="5"/>
  <c r="AU186" i="5"/>
  <c r="AV186" i="5"/>
  <c r="AV559" i="5"/>
  <c r="AU559" i="5"/>
  <c r="AU399" i="5"/>
  <c r="AV399" i="5"/>
  <c r="AV331" i="5"/>
  <c r="AU331" i="5"/>
  <c r="AU334" i="5"/>
  <c r="AV334" i="5"/>
  <c r="AU391" i="5"/>
  <c r="AV391" i="5"/>
  <c r="AV400" i="5"/>
  <c r="AU400" i="5"/>
  <c r="AV296" i="5"/>
  <c r="AU296" i="5"/>
  <c r="AU274" i="5"/>
  <c r="AV274" i="5"/>
  <c r="AV185" i="5"/>
  <c r="AU185" i="5"/>
  <c r="AV104" i="5"/>
  <c r="AU104" i="5"/>
  <c r="AU48" i="5"/>
  <c r="AV48" i="5"/>
  <c r="AV419" i="5"/>
  <c r="AU419" i="5"/>
  <c r="AU202" i="5"/>
  <c r="AV202" i="5"/>
  <c r="AV424" i="5"/>
  <c r="AU424" i="5"/>
  <c r="AV338" i="5"/>
  <c r="AU338" i="5"/>
  <c r="AV320" i="5"/>
  <c r="AU320" i="5"/>
  <c r="AU208" i="5"/>
  <c r="AV208" i="5"/>
  <c r="AV120" i="5"/>
  <c r="AU120" i="5"/>
  <c r="AV59" i="5"/>
  <c r="AU59" i="5"/>
  <c r="AV525" i="5"/>
  <c r="AU525" i="5"/>
  <c r="AV496" i="5"/>
  <c r="AU496" i="5"/>
  <c r="AV494" i="5"/>
  <c r="AU494" i="5"/>
  <c r="AV402" i="5"/>
  <c r="AU402" i="5"/>
  <c r="AV340" i="5"/>
  <c r="AU340" i="5"/>
  <c r="AV341" i="5"/>
  <c r="AU341" i="5"/>
  <c r="AV336" i="5"/>
  <c r="AU336" i="5"/>
  <c r="AU222" i="5"/>
  <c r="AV222" i="5"/>
  <c r="AU149" i="5"/>
  <c r="AV149" i="5"/>
  <c r="AV58" i="5"/>
  <c r="AU58" i="5"/>
  <c r="AU381" i="5"/>
  <c r="AV381" i="5"/>
  <c r="AV540" i="5"/>
  <c r="AU540" i="5"/>
  <c r="AV450" i="5"/>
  <c r="AU450" i="5"/>
  <c r="AV527" i="5"/>
  <c r="AU527" i="5"/>
  <c r="AV505" i="5"/>
  <c r="AU505" i="5"/>
  <c r="AV254" i="5"/>
  <c r="AU254" i="5"/>
  <c r="AV522" i="5"/>
  <c r="AU522" i="5"/>
  <c r="AV428" i="5"/>
  <c r="AU428" i="5"/>
  <c r="AV442" i="5"/>
  <c r="AU442" i="5"/>
  <c r="AV76" i="5"/>
  <c r="AU76" i="5"/>
  <c r="AU558" i="5"/>
  <c r="AV558" i="5"/>
  <c r="AU377" i="5"/>
  <c r="AV377" i="5"/>
  <c r="AV444" i="5"/>
  <c r="AU444" i="5"/>
  <c r="AU557" i="5"/>
  <c r="AV557" i="5"/>
  <c r="AV363" i="5"/>
  <c r="AU363" i="5"/>
  <c r="AU508" i="5"/>
  <c r="AV508" i="5"/>
  <c r="AV367" i="5"/>
  <c r="AU367" i="5"/>
  <c r="AV253" i="5"/>
  <c r="AU253" i="5"/>
  <c r="AU170" i="5"/>
  <c r="AV170" i="5"/>
  <c r="AU538" i="5"/>
  <c r="AV538" i="5"/>
  <c r="AU511" i="5"/>
  <c r="AV511" i="5"/>
  <c r="AV532" i="5"/>
  <c r="AU532" i="5"/>
  <c r="AU541" i="5"/>
  <c r="AV541" i="5"/>
  <c r="AV524" i="5"/>
  <c r="AU524" i="5"/>
  <c r="AV491" i="5"/>
  <c r="AU491" i="5"/>
  <c r="AU379" i="5"/>
  <c r="AV379" i="5"/>
  <c r="AU420" i="5"/>
  <c r="AV420" i="5"/>
  <c r="AU309" i="5"/>
  <c r="AV309" i="5"/>
  <c r="AV106" i="5"/>
  <c r="AU106" i="5"/>
  <c r="AU500" i="5"/>
  <c r="AV500" i="5"/>
  <c r="AV430" i="5"/>
  <c r="AU430" i="5"/>
  <c r="AU526" i="5"/>
  <c r="AV526" i="5"/>
  <c r="AU506" i="5"/>
  <c r="AV506" i="5"/>
  <c r="AV477" i="5"/>
  <c r="AU477" i="5"/>
  <c r="AV448" i="5"/>
  <c r="AU448" i="5"/>
  <c r="AV373" i="5"/>
  <c r="AU373" i="5"/>
  <c r="AV231" i="5"/>
  <c r="AU231" i="5"/>
  <c r="AU242" i="5"/>
  <c r="AV242" i="5"/>
  <c r="AU74" i="5"/>
  <c r="AV74" i="5"/>
  <c r="AU416" i="5"/>
  <c r="AV416" i="5"/>
  <c r="AU514" i="5"/>
  <c r="AV514" i="5"/>
  <c r="AU453" i="5"/>
  <c r="AV453" i="5"/>
  <c r="AU490" i="5"/>
  <c r="AV490" i="5"/>
  <c r="AU408" i="5"/>
  <c r="AV408" i="5"/>
  <c r="AU489" i="5"/>
  <c r="AV489" i="5"/>
  <c r="AU371" i="5"/>
  <c r="AV371" i="5"/>
  <c r="AU385" i="5"/>
  <c r="AV385" i="5"/>
  <c r="AU407" i="5"/>
  <c r="AV407" i="5"/>
  <c r="AV329" i="5"/>
  <c r="AU329" i="5"/>
  <c r="AV415" i="5"/>
  <c r="AU415" i="5"/>
  <c r="AV310" i="5"/>
  <c r="AU310" i="5"/>
  <c r="AU318" i="5"/>
  <c r="AV318" i="5"/>
  <c r="AV319" i="5"/>
  <c r="AU319" i="5"/>
  <c r="AU306" i="5"/>
  <c r="AV306" i="5"/>
  <c r="AU212" i="5"/>
  <c r="AV212" i="5"/>
  <c r="AV201" i="5"/>
  <c r="AU201" i="5"/>
  <c r="AV112" i="5"/>
  <c r="AU112" i="5"/>
  <c r="AU99" i="5"/>
  <c r="AV99" i="5"/>
  <c r="AV105" i="5"/>
  <c r="AU105" i="5"/>
  <c r="AU67" i="5"/>
  <c r="AV67" i="5"/>
  <c r="AV513" i="5"/>
  <c r="AU513" i="5"/>
  <c r="AV443" i="5"/>
  <c r="AU443" i="5"/>
  <c r="AV418" i="5"/>
  <c r="AU418" i="5"/>
  <c r="AV351" i="5"/>
  <c r="AU351" i="5"/>
  <c r="AV372" i="5"/>
  <c r="AU372" i="5"/>
  <c r="AV437" i="5"/>
  <c r="AU437" i="5"/>
  <c r="AV382" i="5"/>
  <c r="AU382" i="5"/>
  <c r="AV348" i="5"/>
  <c r="AU348" i="5"/>
  <c r="AV264" i="5"/>
  <c r="AU264" i="5"/>
  <c r="AU241" i="5"/>
  <c r="AV241" i="5"/>
  <c r="AV228" i="5"/>
  <c r="AU228" i="5"/>
  <c r="AU247" i="5"/>
  <c r="AV247" i="5"/>
  <c r="AV95" i="5"/>
  <c r="AU95" i="5"/>
  <c r="AU152" i="5"/>
  <c r="AV152" i="5"/>
  <c r="AU114" i="5"/>
  <c r="AV114" i="5"/>
  <c r="AU73" i="5"/>
  <c r="AV73" i="5"/>
  <c r="AU492" i="5"/>
  <c r="AV492" i="5"/>
  <c r="AV548" i="5"/>
  <c r="AU548" i="5"/>
  <c r="AV474" i="5"/>
  <c r="AU474" i="5"/>
  <c r="AV516" i="5"/>
  <c r="AU516" i="5"/>
  <c r="AV447" i="5"/>
  <c r="AU447" i="5"/>
  <c r="AV510" i="5"/>
  <c r="AU510" i="5"/>
  <c r="AV438" i="5"/>
  <c r="AU438" i="5"/>
  <c r="AV417" i="5"/>
  <c r="AU417" i="5"/>
  <c r="AV347" i="5"/>
  <c r="AU347" i="5"/>
  <c r="AU368" i="5"/>
  <c r="AV368" i="5"/>
  <c r="AV436" i="5"/>
  <c r="AU436" i="5"/>
  <c r="AV378" i="5"/>
  <c r="AU378" i="5"/>
  <c r="AV345" i="5"/>
  <c r="AU345" i="5"/>
  <c r="AV261" i="5"/>
  <c r="AU261" i="5"/>
  <c r="AV219" i="5"/>
  <c r="AU219" i="5"/>
  <c r="AV214" i="5"/>
  <c r="AU214" i="5"/>
  <c r="AU245" i="5"/>
  <c r="AV245" i="5"/>
  <c r="AU184" i="5"/>
  <c r="AV184" i="5"/>
  <c r="AU146" i="5"/>
  <c r="AV146" i="5"/>
  <c r="AU113" i="5"/>
  <c r="AV113" i="5"/>
  <c r="AU70" i="5"/>
  <c r="AV70" i="5"/>
  <c r="AU27" i="5"/>
  <c r="AV27" i="5"/>
  <c r="BA85" i="5"/>
  <c r="BB276" i="5"/>
  <c r="BA54" i="5"/>
  <c r="BA213" i="5"/>
  <c r="BB316" i="5"/>
  <c r="BB133" i="5"/>
  <c r="BB313" i="5"/>
  <c r="BB105" i="5"/>
  <c r="BA88" i="5"/>
  <c r="BB231" i="5"/>
  <c r="BA235" i="5"/>
  <c r="BB109" i="5"/>
  <c r="BB21" i="5"/>
  <c r="BB201" i="5"/>
  <c r="BA339" i="5"/>
  <c r="BB195" i="5"/>
  <c r="BB34" i="5"/>
  <c r="BB241" i="5"/>
  <c r="BB72" i="5"/>
  <c r="BA149" i="5"/>
  <c r="BB225" i="5"/>
  <c r="BB207" i="5"/>
  <c r="BB338" i="5"/>
  <c r="BA76" i="5"/>
  <c r="BB101" i="5"/>
  <c r="BA214" i="5"/>
  <c r="BA317" i="5"/>
  <c r="BA411" i="5"/>
  <c r="BA65" i="5"/>
  <c r="BB145" i="5"/>
  <c r="BB210" i="5"/>
  <c r="BB298" i="5"/>
  <c r="BA41" i="5"/>
  <c r="BA122" i="5"/>
  <c r="BB189" i="5"/>
  <c r="BB306" i="5"/>
  <c r="BB100" i="5"/>
  <c r="BA279" i="5"/>
  <c r="BB147" i="5"/>
  <c r="BA157" i="5"/>
  <c r="BA47" i="5"/>
  <c r="AK71" i="5"/>
  <c r="AL71" i="5"/>
  <c r="AL61" i="5"/>
  <c r="AK61" i="5"/>
  <c r="AK40" i="5"/>
  <c r="AL146" i="5"/>
  <c r="AK146" i="5"/>
  <c r="AK93" i="5"/>
  <c r="AL93" i="5"/>
  <c r="H57" i="1"/>
  <c r="B146" i="2"/>
  <c r="H61" i="1" s="1"/>
  <c r="B143" i="2"/>
  <c r="H59" i="1" s="1"/>
  <c r="AS31" i="5"/>
  <c r="BC31" i="5" s="1"/>
  <c r="AS466" i="5"/>
  <c r="BC466" i="5" s="1"/>
  <c r="AS417" i="5"/>
  <c r="AS422" i="5"/>
  <c r="BC422" i="5" s="1"/>
  <c r="AS497" i="5"/>
  <c r="AS449" i="5"/>
  <c r="AS405" i="5"/>
  <c r="AS492" i="5"/>
  <c r="AS264" i="5"/>
  <c r="AS26" i="5"/>
  <c r="BC26" i="5" s="1"/>
  <c r="AS12" i="5"/>
  <c r="AS287" i="5"/>
  <c r="BC287" i="5" s="1"/>
  <c r="BE287" i="5" s="1"/>
  <c r="AS339" i="5"/>
  <c r="AS446" i="5"/>
  <c r="BC446" i="5" s="1"/>
  <c r="AS91" i="5"/>
  <c r="BC91" i="5" s="1"/>
  <c r="AS161" i="5"/>
  <c r="BC161" i="5" s="1"/>
  <c r="AS484" i="5"/>
  <c r="AS310" i="5"/>
  <c r="BC310" i="5" s="1"/>
  <c r="AS50" i="5"/>
  <c r="AS435" i="5"/>
  <c r="BC435" i="5" s="1"/>
  <c r="AS210" i="5"/>
  <c r="BC210" i="5" s="1"/>
  <c r="BE210" i="5" s="1"/>
  <c r="AS71" i="5"/>
  <c r="BC71" i="5" s="1"/>
  <c r="BE71" i="5" s="1"/>
  <c r="AS177" i="5"/>
  <c r="AS540" i="5"/>
  <c r="BC540" i="5" s="1"/>
  <c r="AS511" i="5"/>
  <c r="AS444" i="5"/>
  <c r="BC444" i="5" s="1"/>
  <c r="AS548" i="5"/>
  <c r="AS319" i="5"/>
  <c r="BC319" i="5" s="1"/>
  <c r="AS455" i="5"/>
  <c r="AS128" i="5"/>
  <c r="AS528" i="5"/>
  <c r="AS434" i="5"/>
  <c r="BC434" i="5" s="1"/>
  <c r="AS205" i="5"/>
  <c r="AS538" i="5"/>
  <c r="BC538" i="5" s="1"/>
  <c r="AS452" i="5"/>
  <c r="AS265" i="5"/>
  <c r="BC265" i="5" s="1"/>
  <c r="AS64" i="5"/>
  <c r="BC64" i="5" s="1"/>
  <c r="BE64" i="5" s="1"/>
  <c r="AS114" i="5"/>
  <c r="BC114" i="5" s="1"/>
  <c r="BD114" i="5" s="1"/>
  <c r="AS11" i="5"/>
  <c r="AS514" i="5"/>
  <c r="BC514" i="5" s="1"/>
  <c r="AS382" i="5"/>
  <c r="AS373" i="5"/>
  <c r="BC373" i="5" s="1"/>
  <c r="AS500" i="5"/>
  <c r="AS258" i="5"/>
  <c r="BC258" i="5" s="1"/>
  <c r="AS426" i="5"/>
  <c r="AS54" i="5"/>
  <c r="BC54" i="5" s="1"/>
  <c r="AS429" i="5"/>
  <c r="AS439" i="5"/>
  <c r="BC439" i="5" s="1"/>
  <c r="AS208" i="5"/>
  <c r="BC208" i="5" s="1"/>
  <c r="AS240" i="5"/>
  <c r="BC240" i="5" s="1"/>
  <c r="AS550" i="5"/>
  <c r="AS506" i="5"/>
  <c r="BC506" i="5" s="1"/>
  <c r="AS496" i="5"/>
  <c r="AS350" i="5"/>
  <c r="AS159" i="5"/>
  <c r="BC159" i="5" s="1"/>
  <c r="AS33" i="5"/>
  <c r="BC33" i="5" s="1"/>
  <c r="AS164" i="5"/>
  <c r="BC164" i="5" s="1"/>
  <c r="BE164" i="5" s="1"/>
  <c r="AS292" i="5"/>
  <c r="BC292" i="5" s="1"/>
  <c r="AS252" i="5"/>
  <c r="AS418" i="5"/>
  <c r="BC418" i="5" s="1"/>
  <c r="AS43" i="5"/>
  <c r="BC43" i="5" s="1"/>
  <c r="BD43" i="5" s="1"/>
  <c r="AS120" i="5"/>
  <c r="AS219" i="5"/>
  <c r="BC219" i="5" s="1"/>
  <c r="BD219" i="5" s="1"/>
  <c r="AS290" i="5"/>
  <c r="BC290" i="5" s="1"/>
  <c r="AS315" i="5"/>
  <c r="BC315" i="5" s="1"/>
  <c r="BE315" i="5" s="1"/>
  <c r="AS442" i="5"/>
  <c r="BC442" i="5" s="1"/>
  <c r="AS156" i="5"/>
  <c r="BC156" i="5" s="1"/>
  <c r="AS21" i="5"/>
  <c r="BC21" i="5" s="1"/>
  <c r="BE21" i="5" s="1"/>
  <c r="AS154" i="5"/>
  <c r="BC154" i="5" s="1"/>
  <c r="AS505" i="5"/>
  <c r="BC505" i="5" s="1"/>
  <c r="AS197" i="5"/>
  <c r="BC197" i="5" s="1"/>
  <c r="AS524" i="5"/>
  <c r="AS390" i="5"/>
  <c r="AS359" i="5"/>
  <c r="BC359" i="5" s="1"/>
  <c r="AS101" i="5"/>
  <c r="BC101" i="5" s="1"/>
  <c r="AS200" i="5"/>
  <c r="AS199" i="5"/>
  <c r="BC199" i="5" s="1"/>
  <c r="AS146" i="5"/>
  <c r="BC146" i="5" s="1"/>
  <c r="AS212" i="5"/>
  <c r="BC212" i="5" s="1"/>
  <c r="AS55" i="5"/>
  <c r="BC55" i="5" s="1"/>
  <c r="BD55" i="5" s="1"/>
  <c r="AS460" i="5"/>
  <c r="AS109" i="5"/>
  <c r="BC109" i="5" s="1"/>
  <c r="AS365" i="5"/>
  <c r="AS28" i="5"/>
  <c r="BC28" i="5" s="1"/>
  <c r="AS179" i="5"/>
  <c r="AS467" i="5"/>
  <c r="BC467" i="5" s="1"/>
  <c r="AS180" i="5"/>
  <c r="BC180" i="5" s="1"/>
  <c r="BE180" i="5" s="1"/>
  <c r="AS398" i="5"/>
  <c r="BC398" i="5" s="1"/>
  <c r="AS207" i="5"/>
  <c r="AS428" i="5"/>
  <c r="BC428" i="5" s="1"/>
  <c r="AS488" i="5"/>
  <c r="AS306" i="5"/>
  <c r="BC306" i="5" s="1"/>
  <c r="BD306" i="5" s="1"/>
  <c r="AS98" i="5"/>
  <c r="BC98" i="5" s="1"/>
  <c r="BE98" i="5" s="1"/>
  <c r="AS512" i="5"/>
  <c r="BC512" i="5" s="1"/>
  <c r="AS304" i="5"/>
  <c r="AS46" i="5"/>
  <c r="AS202" i="5"/>
  <c r="BC202" i="5" s="1"/>
  <c r="AS337" i="5"/>
  <c r="BC337" i="5" s="1"/>
  <c r="BD337" i="5" s="1"/>
  <c r="AS228" i="5"/>
  <c r="AS552" i="5"/>
  <c r="BC552" i="5" s="1"/>
  <c r="AS157" i="5"/>
  <c r="BC157" i="5" s="1"/>
  <c r="AS355" i="5"/>
  <c r="AS508" i="5"/>
  <c r="AS515" i="5"/>
  <c r="BC515" i="5" s="1"/>
  <c r="AS215" i="5"/>
  <c r="AS29" i="5"/>
  <c r="BC29" i="5" s="1"/>
  <c r="AS454" i="5"/>
  <c r="AS402" i="5"/>
  <c r="BC402" i="5" s="1"/>
  <c r="AS222" i="5"/>
  <c r="BC222" i="5" s="1"/>
  <c r="BE222" i="5" s="1"/>
  <c r="AS84" i="5"/>
  <c r="BC84" i="5" s="1"/>
  <c r="BE84" i="5" s="1"/>
  <c r="AS225" i="5"/>
  <c r="BC225" i="5" s="1"/>
  <c r="AS302" i="5"/>
  <c r="BC302" i="5" s="1"/>
  <c r="AS380" i="5"/>
  <c r="AS86" i="5"/>
  <c r="AS230" i="5"/>
  <c r="AS358" i="5"/>
  <c r="BC358" i="5" s="1"/>
  <c r="AS371" i="5"/>
  <c r="AS149" i="5"/>
  <c r="BC149" i="5" s="1"/>
  <c r="AS192" i="5"/>
  <c r="AS85" i="5"/>
  <c r="BC85" i="5" s="1"/>
  <c r="AS22" i="5"/>
  <c r="AS234" i="5"/>
  <c r="BC234" i="5" s="1"/>
  <c r="BD234" i="5" s="1"/>
  <c r="AS254" i="5"/>
  <c r="AS403" i="5"/>
  <c r="BC403" i="5" s="1"/>
  <c r="AS106" i="5"/>
  <c r="AS178" i="5"/>
  <c r="BC178" i="5" s="1"/>
  <c r="AS259" i="5"/>
  <c r="AS368" i="5"/>
  <c r="BC368" i="5" s="1"/>
  <c r="AS384" i="5"/>
  <c r="AS143" i="5"/>
  <c r="BC143" i="5" s="1"/>
  <c r="AS66" i="5"/>
  <c r="AS122" i="5"/>
  <c r="BC122" i="5" s="1"/>
  <c r="BD122" i="5" s="1"/>
  <c r="AS99" i="5"/>
  <c r="AS36" i="5"/>
  <c r="BC36" i="5" s="1"/>
  <c r="AS267" i="5"/>
  <c r="AS283" i="5"/>
  <c r="BC283" i="5" s="1"/>
  <c r="BD283" i="5" s="1"/>
  <c r="AS425" i="5"/>
  <c r="AS148" i="5"/>
  <c r="BC148" i="5" s="1"/>
  <c r="AS195" i="5"/>
  <c r="BC195" i="5" s="1"/>
  <c r="BD195" i="5" s="1"/>
  <c r="AS271" i="5"/>
  <c r="BC271" i="5" s="1"/>
  <c r="AS386" i="5"/>
  <c r="AS399" i="5"/>
  <c r="AS115" i="5"/>
  <c r="BC115" i="5" s="1"/>
  <c r="BE115" i="5" s="1"/>
  <c r="AS47" i="5"/>
  <c r="BC47" i="5" s="1"/>
  <c r="AS184" i="5"/>
  <c r="BC184" i="5" s="1"/>
  <c r="AS100" i="5"/>
  <c r="BC100" i="5" s="1"/>
  <c r="BE100" i="5" s="1"/>
  <c r="AS45" i="5"/>
  <c r="BC45" i="5" s="1"/>
  <c r="BD45" i="5" s="1"/>
  <c r="AS303" i="5"/>
  <c r="AS409" i="5"/>
  <c r="AS336" i="5"/>
  <c r="BC336" i="5" s="1"/>
  <c r="AS96" i="5"/>
  <c r="AS216" i="5"/>
  <c r="BC216" i="5" s="1"/>
  <c r="AS327" i="5"/>
  <c r="AS324" i="5"/>
  <c r="BC324" i="5" s="1"/>
  <c r="AS357" i="5"/>
  <c r="AS182" i="5"/>
  <c r="BC182" i="5" s="1"/>
  <c r="AS78" i="5"/>
  <c r="BC78" i="5" s="1"/>
  <c r="BE78" i="5" s="1"/>
  <c r="AS172" i="5"/>
  <c r="BC172" i="5" s="1"/>
  <c r="AS142" i="5"/>
  <c r="AS37" i="5"/>
  <c r="BC37" i="5" s="1"/>
  <c r="AS522" i="5"/>
  <c r="AS366" i="5"/>
  <c r="AS165" i="5"/>
  <c r="AS322" i="5"/>
  <c r="BC322" i="5" s="1"/>
  <c r="AS110" i="5"/>
  <c r="BC110" i="5" s="1"/>
  <c r="AS464" i="5"/>
  <c r="AS51" i="5"/>
  <c r="BC51" i="5" s="1"/>
  <c r="BD51" i="5" s="1"/>
  <c r="AS471" i="5"/>
  <c r="AS438" i="5"/>
  <c r="AS556" i="5"/>
  <c r="BC556" i="5" s="1"/>
  <c r="AS479" i="5"/>
  <c r="AS489" i="5"/>
  <c r="BC489" i="5" s="1"/>
  <c r="AS389" i="5"/>
  <c r="AS558" i="5"/>
  <c r="BC558" i="5" s="1"/>
  <c r="AS342" i="5"/>
  <c r="AS56" i="5"/>
  <c r="BC56" i="5" s="1"/>
  <c r="AS13" i="5"/>
  <c r="AS256" i="5"/>
  <c r="AS547" i="5"/>
  <c r="AS223" i="5"/>
  <c r="BC223" i="5" s="1"/>
  <c r="BE223" i="5" s="1"/>
  <c r="AS81" i="5"/>
  <c r="BC81" i="5" s="1"/>
  <c r="AS313" i="5"/>
  <c r="BC313" i="5" s="1"/>
  <c r="AS473" i="5"/>
  <c r="AS340" i="5"/>
  <c r="BC340" i="5" s="1"/>
  <c r="AS27" i="5"/>
  <c r="AS516" i="5"/>
  <c r="BC516" i="5" s="1"/>
  <c r="AS139" i="5"/>
  <c r="BC139" i="5" s="1"/>
  <c r="AS93" i="5"/>
  <c r="BC93" i="5" s="1"/>
  <c r="AS430" i="5"/>
  <c r="AS494" i="5"/>
  <c r="BC494" i="5" s="1"/>
  <c r="AS551" i="5"/>
  <c r="AS485" i="5"/>
  <c r="BC485" i="5" s="1"/>
  <c r="AS23" i="5"/>
  <c r="BC23" i="5" s="1"/>
  <c r="BE23" i="5" s="1"/>
  <c r="AS227" i="5"/>
  <c r="BC227" i="5" s="1"/>
  <c r="AS519" i="5"/>
  <c r="AS397" i="5"/>
  <c r="BC397" i="5" s="1"/>
  <c r="AS299" i="5"/>
  <c r="BC299" i="5" s="1"/>
  <c r="BD299" i="5" s="1"/>
  <c r="AS443" i="5"/>
  <c r="BC443" i="5" s="1"/>
  <c r="AS498" i="5"/>
  <c r="AS407" i="5"/>
  <c r="BC407" i="5" s="1"/>
  <c r="AS111" i="5"/>
  <c r="BC111" i="5" s="1"/>
  <c r="AS116" i="5"/>
  <c r="BC116" i="5" s="1"/>
  <c r="AS231" i="5"/>
  <c r="AS367" i="5"/>
  <c r="BC367" i="5" s="1"/>
  <c r="AS388" i="5"/>
  <c r="AS123" i="5"/>
  <c r="AS282" i="5"/>
  <c r="AS354" i="5"/>
  <c r="BC354" i="5" s="1"/>
  <c r="AS348" i="5"/>
  <c r="AS57" i="5"/>
  <c r="AS152" i="5"/>
  <c r="BC152" i="5" s="1"/>
  <c r="AS97" i="5"/>
  <c r="BC97" i="5" s="1"/>
  <c r="BE97" i="5" s="1"/>
  <c r="AS201" i="5"/>
  <c r="BC201" i="5" s="1"/>
  <c r="AS321" i="5"/>
  <c r="BC321" i="5" s="1"/>
  <c r="AS361" i="5"/>
  <c r="AS472" i="5"/>
  <c r="BC472" i="5" s="1"/>
  <c r="AS140" i="5"/>
  <c r="BC140" i="5" s="1"/>
  <c r="AS238" i="5"/>
  <c r="BC238" i="5" s="1"/>
  <c r="AS198" i="5"/>
  <c r="BC198" i="5" s="1"/>
  <c r="BD198" i="5" s="1"/>
  <c r="AS193" i="5"/>
  <c r="BC193" i="5" s="1"/>
  <c r="AS394" i="5"/>
  <c r="BC394" i="5" s="1"/>
  <c r="AS131" i="5"/>
  <c r="BC131" i="5" s="1"/>
  <c r="AS25" i="5"/>
  <c r="AS141" i="5"/>
  <c r="BC141" i="5" s="1"/>
  <c r="BD141" i="5" s="1"/>
  <c r="AS48" i="5"/>
  <c r="BC48" i="5" s="1"/>
  <c r="BD48" i="5" s="1"/>
  <c r="AS266" i="5"/>
  <c r="BC266" i="5" s="1"/>
  <c r="AS331" i="5"/>
  <c r="AS383" i="5"/>
  <c r="BC383" i="5" s="1"/>
  <c r="AS490" i="5"/>
  <c r="BC490" i="5" s="1"/>
  <c r="AS155" i="5"/>
  <c r="BC155" i="5" s="1"/>
  <c r="AS194" i="5"/>
  <c r="BC194" i="5" s="1"/>
  <c r="AS247" i="5"/>
  <c r="BC247" i="5" s="1"/>
  <c r="AS257" i="5"/>
  <c r="AS406" i="5"/>
  <c r="AS117" i="5"/>
  <c r="BC117" i="5" s="1"/>
  <c r="AS40" i="5"/>
  <c r="BC40" i="5" s="1"/>
  <c r="AS121" i="5"/>
  <c r="BC121" i="5" s="1"/>
  <c r="AS75" i="5"/>
  <c r="BC75" i="5" s="1"/>
  <c r="BD75" i="5" s="1"/>
  <c r="AS214" i="5"/>
  <c r="AS284" i="5"/>
  <c r="BC284" i="5" s="1"/>
  <c r="AS312" i="5"/>
  <c r="AS436" i="5"/>
  <c r="BC436" i="5" s="1"/>
  <c r="AS102" i="5"/>
  <c r="AS217" i="5"/>
  <c r="AS291" i="5"/>
  <c r="AS396" i="5"/>
  <c r="BC396" i="5" s="1"/>
  <c r="AS416" i="5"/>
  <c r="AS88" i="5"/>
  <c r="BC88" i="5" s="1"/>
  <c r="AS65" i="5"/>
  <c r="AS169" i="5"/>
  <c r="BC169" i="5" s="1"/>
  <c r="AS83" i="5"/>
  <c r="BC83" i="5" s="1"/>
  <c r="BD83" i="5" s="1"/>
  <c r="AS445" i="5"/>
  <c r="BC445" i="5" s="1"/>
  <c r="AS504" i="5"/>
  <c r="BC504" i="5" s="1"/>
  <c r="AS493" i="5"/>
  <c r="BC493" i="5" s="1"/>
  <c r="AS135" i="5"/>
  <c r="BC135" i="5" s="1"/>
  <c r="AS235" i="5"/>
  <c r="BC235" i="5" s="1"/>
  <c r="AS468" i="5"/>
  <c r="AS241" i="5"/>
  <c r="BC241" i="5" s="1"/>
  <c r="AS333" i="5"/>
  <c r="AS539" i="5"/>
  <c r="BC539" i="5" s="1"/>
  <c r="AS408" i="5"/>
  <c r="AS502" i="5"/>
  <c r="BC502" i="5" s="1"/>
  <c r="AS459" i="5"/>
  <c r="AS431" i="5"/>
  <c r="BC431" i="5" s="1"/>
  <c r="AS173" i="5"/>
  <c r="AS534" i="5"/>
  <c r="BC534" i="5" s="1"/>
  <c r="AS250" i="5"/>
  <c r="AS535" i="5"/>
  <c r="BC535" i="5" s="1"/>
  <c r="AS463" i="5"/>
  <c r="AS82" i="5"/>
  <c r="BC82" i="5" s="1"/>
  <c r="BD82" i="5" s="1"/>
  <c r="AS423" i="5"/>
  <c r="AS63" i="5"/>
  <c r="BC63" i="5" s="1"/>
  <c r="AS253" i="5"/>
  <c r="AS456" i="5"/>
  <c r="BC456" i="5" s="1"/>
  <c r="AS183" i="5"/>
  <c r="BC183" i="5" s="1"/>
  <c r="AS118" i="5"/>
  <c r="BC118" i="5" s="1"/>
  <c r="AS138" i="5"/>
  <c r="BC138" i="5" s="1"/>
  <c r="AS308" i="5"/>
  <c r="BC308" i="5" s="1"/>
  <c r="AS334" i="5"/>
  <c r="AS181" i="5"/>
  <c r="BC181" i="5" s="1"/>
  <c r="AS305" i="5"/>
  <c r="BC305" i="5" s="1"/>
  <c r="BE305" i="5" s="1"/>
  <c r="AS458" i="5"/>
  <c r="BC458" i="5" s="1"/>
  <c r="AS211" i="5"/>
  <c r="BC211" i="5" s="1"/>
  <c r="AS53" i="5"/>
  <c r="BC53" i="5" s="1"/>
  <c r="BD53" i="5" s="1"/>
  <c r="AS301" i="5"/>
  <c r="AS60" i="5"/>
  <c r="BC60" i="5" s="1"/>
  <c r="AS246" i="5"/>
  <c r="AS369" i="5"/>
  <c r="BC369" i="5" s="1"/>
  <c r="BE369" i="5" s="1"/>
  <c r="AS104" i="5"/>
  <c r="AS133" i="5"/>
  <c r="BC133" i="5" s="1"/>
  <c r="BD133" i="5" s="1"/>
  <c r="AS279" i="5"/>
  <c r="BC279" i="5" s="1"/>
  <c r="AS404" i="5"/>
  <c r="BC404" i="5" s="1"/>
  <c r="AS127" i="5"/>
  <c r="BC127" i="5" s="1"/>
  <c r="BD127" i="5" s="1"/>
  <c r="AS268" i="5"/>
  <c r="BC268" i="5" s="1"/>
  <c r="AS433" i="5"/>
  <c r="AS42" i="5"/>
  <c r="BC42" i="5" s="1"/>
  <c r="AS35" i="5"/>
  <c r="BC35" i="5" s="1"/>
  <c r="BE35" i="5" s="1"/>
  <c r="AS320" i="5"/>
  <c r="BC320" i="5" s="1"/>
  <c r="AS410" i="5"/>
  <c r="AS124" i="5"/>
  <c r="BC124" i="5" s="1"/>
  <c r="AS326" i="5"/>
  <c r="BC326" i="5" s="1"/>
  <c r="AS39" i="5"/>
  <c r="BC39" i="5" s="1"/>
  <c r="AS103" i="5"/>
  <c r="AS391" i="5"/>
  <c r="BC391" i="5" s="1"/>
  <c r="AS220" i="5"/>
  <c r="AS518" i="5"/>
  <c r="AS343" i="5"/>
  <c r="AS381" i="5"/>
  <c r="AS105" i="5"/>
  <c r="BC105" i="5" s="1"/>
  <c r="AS134" i="5"/>
  <c r="BC134" i="5" s="1"/>
  <c r="AS349" i="5"/>
  <c r="AS125" i="5"/>
  <c r="BC125" i="5" s="1"/>
  <c r="AS196" i="5"/>
  <c r="AS176" i="5"/>
  <c r="BC176" i="5" s="1"/>
  <c r="AS542" i="5"/>
  <c r="AS170" i="5"/>
  <c r="BC170" i="5" s="1"/>
  <c r="AS483" i="5"/>
  <c r="BC483" i="5" s="1"/>
  <c r="AS332" i="5"/>
  <c r="BC332" i="5" s="1"/>
  <c r="AS187" i="5"/>
  <c r="AS224" i="5"/>
  <c r="BC224" i="5" s="1"/>
  <c r="AS448" i="5"/>
  <c r="BC448" i="5" s="1"/>
  <c r="AS24" i="5"/>
  <c r="BC24" i="5" s="1"/>
  <c r="AS364" i="5"/>
  <c r="AS527" i="5"/>
  <c r="BC527" i="5" s="1"/>
  <c r="AS520" i="5"/>
  <c r="AS32" i="5"/>
  <c r="BC32" i="5" s="1"/>
  <c r="AS531" i="5"/>
  <c r="AS513" i="5"/>
  <c r="BC513" i="5" s="1"/>
  <c r="AS377" i="5"/>
  <c r="AS507" i="5"/>
  <c r="BC507" i="5" s="1"/>
  <c r="AS144" i="5"/>
  <c r="BC144" i="5" s="1"/>
  <c r="BD144" i="5" s="1"/>
  <c r="AS263" i="5"/>
  <c r="BC263" i="5" s="1"/>
  <c r="BE263" i="5" s="1"/>
  <c r="AS34" i="5"/>
  <c r="AS323" i="5"/>
  <c r="BC323" i="5" s="1"/>
  <c r="AS38" i="5"/>
  <c r="BC38" i="5" s="1"/>
  <c r="BD38" i="5" s="1"/>
  <c r="AS307" i="5"/>
  <c r="BC307" i="5" s="1"/>
  <c r="AS163" i="5"/>
  <c r="BC163" i="5" s="1"/>
  <c r="BD163" i="5" s="1"/>
  <c r="AS112" i="5"/>
  <c r="BC112" i="5" s="1"/>
  <c r="BE112" i="5" s="1"/>
  <c r="AS269" i="5"/>
  <c r="BC269" i="5" s="1"/>
  <c r="BE269" i="5" s="1"/>
  <c r="AS395" i="5"/>
  <c r="BC395" i="5" s="1"/>
  <c r="AS204" i="5"/>
  <c r="AS255" i="5"/>
  <c r="BC255" i="5" s="1"/>
  <c r="AS162" i="5"/>
  <c r="AS168" i="5"/>
  <c r="BC168" i="5" s="1"/>
  <c r="BD168" i="5" s="1"/>
  <c r="AS62" i="5"/>
  <c r="AS393" i="5"/>
  <c r="BC393" i="5" s="1"/>
  <c r="BD393" i="5" s="1"/>
  <c r="AS79" i="5"/>
  <c r="AS311" i="5"/>
  <c r="BC311" i="5" s="1"/>
  <c r="AS335" i="5"/>
  <c r="BC335" i="5" s="1"/>
  <c r="AS74" i="5"/>
  <c r="BC74" i="5" s="1"/>
  <c r="AS160" i="5"/>
  <c r="BC160" i="5" s="1"/>
  <c r="AS171" i="5"/>
  <c r="BC171" i="5" s="1"/>
  <c r="AS370" i="5"/>
  <c r="AS175" i="5"/>
  <c r="BC175" i="5" s="1"/>
  <c r="BE175" i="5" s="1"/>
  <c r="AS341" i="5"/>
  <c r="AS174" i="5"/>
  <c r="BC174" i="5" s="1"/>
  <c r="AS158" i="5"/>
  <c r="BC158" i="5" s="1"/>
  <c r="BE158" i="5" s="1"/>
  <c r="AS58" i="5"/>
  <c r="BC58" i="5" s="1"/>
  <c r="AS206" i="5"/>
  <c r="BC206" i="5" s="1"/>
  <c r="AS486" i="5"/>
  <c r="BC486" i="5" s="1"/>
  <c r="AS376" i="5"/>
  <c r="AS378" i="5"/>
  <c r="AS530" i="5"/>
  <c r="AS153" i="5"/>
  <c r="BC153" i="5" s="1"/>
  <c r="AS526" i="5"/>
  <c r="AS328" i="5"/>
  <c r="BC328" i="5" s="1"/>
  <c r="AS461" i="5"/>
  <c r="AS20" i="5"/>
  <c r="BC20" i="5" s="1"/>
  <c r="AS451" i="5"/>
  <c r="AS145" i="5"/>
  <c r="BC145" i="5" s="1"/>
  <c r="AS441" i="5"/>
  <c r="AS69" i="5"/>
  <c r="BC69" i="5" s="1"/>
  <c r="AS274" i="5"/>
  <c r="BC274" i="5" s="1"/>
  <c r="AS237" i="5"/>
  <c r="BC237" i="5" s="1"/>
  <c r="BD237" i="5" s="1"/>
  <c r="AS147" i="5"/>
  <c r="BC147" i="5" s="1"/>
  <c r="AS346" i="5"/>
  <c r="BC346" i="5" s="1"/>
  <c r="AS475" i="5"/>
  <c r="AS30" i="5"/>
  <c r="BC30" i="5" s="1"/>
  <c r="AS203" i="5"/>
  <c r="AS107" i="5"/>
  <c r="AS457" i="5"/>
  <c r="AS419" i="5"/>
  <c r="BC419" i="5" s="1"/>
  <c r="AS517" i="5"/>
  <c r="AS420" i="5"/>
  <c r="BC420" i="5" s="1"/>
  <c r="AS248" i="5"/>
  <c r="AS544" i="5"/>
  <c r="BC544" i="5" s="1"/>
  <c r="AS213" i="5"/>
  <c r="BC213" i="5" s="1"/>
  <c r="AS330" i="5"/>
  <c r="BC330" i="5" s="1"/>
  <c r="AS374" i="5"/>
  <c r="BC374" i="5" s="1"/>
  <c r="AS229" i="5"/>
  <c r="BC229" i="5" s="1"/>
  <c r="AS411" i="5"/>
  <c r="BC411" i="5" s="1"/>
  <c r="AS72" i="5"/>
  <c r="BC72" i="5" s="1"/>
  <c r="AS297" i="5"/>
  <c r="AS61" i="5"/>
  <c r="BC61" i="5" s="1"/>
  <c r="BD61" i="5" s="1"/>
  <c r="AS413" i="5"/>
  <c r="BC413" i="5" s="1"/>
  <c r="AS277" i="5"/>
  <c r="BC277" i="5" s="1"/>
  <c r="AS44" i="5"/>
  <c r="BC44" i="5" s="1"/>
  <c r="BD44" i="5" s="1"/>
  <c r="AS270" i="5"/>
  <c r="BC270" i="5" s="1"/>
  <c r="AS95" i="5"/>
  <c r="AS482" i="5"/>
  <c r="BC482" i="5" s="1"/>
  <c r="AS529" i="5"/>
  <c r="BC529" i="5" s="1"/>
  <c r="AS151" i="5"/>
  <c r="BC151" i="5" s="1"/>
  <c r="AS67" i="5"/>
  <c r="AS167" i="5"/>
  <c r="BC167" i="5" s="1"/>
  <c r="AS375" i="5"/>
  <c r="AS314" i="5"/>
  <c r="BC314" i="5" s="1"/>
  <c r="AS300" i="5"/>
  <c r="AS166" i="5"/>
  <c r="BC166" i="5" s="1"/>
  <c r="BE166" i="5" s="1"/>
  <c r="AS76" i="5"/>
  <c r="BC76" i="5" s="1"/>
  <c r="AS41" i="5"/>
  <c r="BC41" i="5" s="1"/>
  <c r="BD41" i="5" s="1"/>
  <c r="AS347" i="5"/>
  <c r="AS325" i="5"/>
  <c r="BC325" i="5" s="1"/>
  <c r="AS137" i="5"/>
  <c r="BC137" i="5" s="1"/>
  <c r="AS189" i="5"/>
  <c r="BC189" i="5" s="1"/>
  <c r="AS352" i="5"/>
  <c r="AS295" i="5"/>
  <c r="BC295" i="5" s="1"/>
  <c r="AS244" i="5"/>
  <c r="AS474" i="5"/>
  <c r="BC474" i="5" s="1"/>
  <c r="AS119" i="5"/>
  <c r="BC119" i="5" s="1"/>
  <c r="BD119" i="5" s="1"/>
  <c r="AS338" i="5"/>
  <c r="BC338" i="5" s="1"/>
  <c r="BD338" i="5" s="1"/>
  <c r="AS239" i="5"/>
  <c r="AS89" i="5"/>
  <c r="BC89" i="5" s="1"/>
  <c r="AS260" i="5"/>
  <c r="BC260" i="5" s="1"/>
  <c r="AS278" i="5"/>
  <c r="BC278" i="5" s="1"/>
  <c r="BD278" i="5" s="1"/>
  <c r="AS232" i="5"/>
  <c r="BC232" i="5" s="1"/>
  <c r="AS52" i="5"/>
  <c r="BC52" i="5" s="1"/>
  <c r="AS77" i="5"/>
  <c r="AS249" i="5"/>
  <c r="BC249" i="5" s="1"/>
  <c r="AS288" i="5"/>
  <c r="BC288" i="5" s="1"/>
  <c r="AS186" i="5"/>
  <c r="BC186" i="5" s="1"/>
  <c r="AS130" i="5"/>
  <c r="BC130" i="5" s="1"/>
  <c r="BE130" i="5" s="1"/>
  <c r="AS49" i="5"/>
  <c r="BC49" i="5" s="1"/>
  <c r="AS385" i="5"/>
  <c r="AS480" i="5"/>
  <c r="BC480" i="5" s="1"/>
  <c r="AS316" i="5"/>
  <c r="BC316" i="5" s="1"/>
  <c r="BD316" i="5" s="1"/>
  <c r="AS87" i="5"/>
  <c r="BC87" i="5" s="1"/>
  <c r="AS465" i="5"/>
  <c r="BC465" i="5" s="1"/>
  <c r="AS363" i="5"/>
  <c r="BC363" i="5" s="1"/>
  <c r="AS424" i="5"/>
  <c r="BC424" i="5" s="1"/>
  <c r="AS281" i="5"/>
  <c r="BC281" i="5" s="1"/>
  <c r="AS537" i="5"/>
  <c r="AS275" i="5"/>
  <c r="BC275" i="5" s="1"/>
  <c r="AS372" i="5"/>
  <c r="AS129" i="5"/>
  <c r="BC129" i="5" s="1"/>
  <c r="AS427" i="5"/>
  <c r="BC427" i="5" s="1"/>
  <c r="AS108" i="5"/>
  <c r="BC108" i="5" s="1"/>
  <c r="AS421" i="5"/>
  <c r="AS543" i="5"/>
  <c r="BC543" i="5" s="1"/>
  <c r="BE543" i="5" s="1"/>
  <c r="AS7" i="5"/>
  <c r="BC7" i="5" s="1"/>
  <c r="BD7" i="5" s="1"/>
  <c r="AS555" i="5"/>
  <c r="BC555" i="5" s="1"/>
  <c r="BE555" i="5" s="1"/>
  <c r="AS509" i="5"/>
  <c r="BC509" i="5" s="1"/>
  <c r="AS491" i="5"/>
  <c r="BC491" i="5" s="1"/>
  <c r="AS440" i="5"/>
  <c r="AS94" i="5"/>
  <c r="BC94" i="5" s="1"/>
  <c r="BD94" i="5" s="1"/>
  <c r="AS437" i="5"/>
  <c r="BC437" i="5" s="1"/>
  <c r="AS285" i="5"/>
  <c r="BC285" i="5" s="1"/>
  <c r="AS545" i="5"/>
  <c r="BC545" i="5" s="1"/>
  <c r="AS549" i="5"/>
  <c r="BC549" i="5" s="1"/>
  <c r="BE549" i="5" s="1"/>
  <c r="AS136" i="5"/>
  <c r="BC136" i="5" s="1"/>
  <c r="AS296" i="5"/>
  <c r="BC296" i="5" s="1"/>
  <c r="BD296" i="5" s="1"/>
  <c r="AS262" i="5"/>
  <c r="BC262" i="5" s="1"/>
  <c r="BE262" i="5" s="1"/>
  <c r="AS245" i="5"/>
  <c r="BC245" i="5" s="1"/>
  <c r="BD245" i="5" s="1"/>
  <c r="AS289" i="5"/>
  <c r="BC289" i="5" s="1"/>
  <c r="AS280" i="5"/>
  <c r="AS59" i="5"/>
  <c r="BC59" i="5" s="1"/>
  <c r="BE59" i="5" s="1"/>
  <c r="AS190" i="5"/>
  <c r="BC190" i="5" s="1"/>
  <c r="AS559" i="5"/>
  <c r="BC559" i="5" s="1"/>
  <c r="AS226" i="5"/>
  <c r="BC226" i="5" s="1"/>
  <c r="AS309" i="5"/>
  <c r="BC309" i="5" s="1"/>
  <c r="AS185" i="5"/>
  <c r="BC185" i="5" s="1"/>
  <c r="AS379" i="5"/>
  <c r="AS242" i="5"/>
  <c r="BC242" i="5" s="1"/>
  <c r="AS553" i="5"/>
  <c r="BC553" i="5" s="1"/>
  <c r="AS362" i="5"/>
  <c r="BC362" i="5" s="1"/>
  <c r="AS150" i="5"/>
  <c r="BC150" i="5" s="1"/>
  <c r="AS525" i="5"/>
  <c r="BC525" i="5" s="1"/>
  <c r="AS345" i="5"/>
  <c r="BC345" i="5" s="1"/>
  <c r="AS92" i="5"/>
  <c r="BC92" i="5" s="1"/>
  <c r="AS298" i="5"/>
  <c r="BC298" i="5" s="1"/>
  <c r="AS191" i="5"/>
  <c r="BC191" i="5" s="1"/>
  <c r="BE191" i="5" s="1"/>
  <c r="AS462" i="5"/>
  <c r="AS432" i="5"/>
  <c r="BC432" i="5" s="1"/>
  <c r="AS412" i="5"/>
  <c r="BC412" i="5" s="1"/>
  <c r="AS521" i="5"/>
  <c r="BC521" i="5" s="1"/>
  <c r="BD521" i="5" s="1"/>
  <c r="AS353" i="5"/>
  <c r="AS401" i="5"/>
  <c r="BC401" i="5" s="1"/>
  <c r="AS90" i="5"/>
  <c r="AS453" i="5"/>
  <c r="BC453" i="5" s="1"/>
  <c r="BD453" i="5" s="1"/>
  <c r="AS450" i="5"/>
  <c r="BC450" i="5" s="1"/>
  <c r="AS360" i="5"/>
  <c r="BC360" i="5" s="1"/>
  <c r="AS344" i="5"/>
  <c r="AS392" i="5"/>
  <c r="BC392" i="5" s="1"/>
  <c r="AS251" i="5"/>
  <c r="BC251" i="5" s="1"/>
  <c r="AS510" i="5"/>
  <c r="AS560" i="5"/>
  <c r="BC560" i="5" s="1"/>
  <c r="BE560" i="5" s="1"/>
  <c r="AS536" i="5"/>
  <c r="BC536" i="5" s="1"/>
  <c r="BD536" i="5" s="1"/>
  <c r="AS476" i="5"/>
  <c r="BC476" i="5" s="1"/>
  <c r="AS477" i="5"/>
  <c r="BC477" i="5" s="1"/>
  <c r="AS503" i="5"/>
  <c r="AS469" i="5"/>
  <c r="BC469" i="5" s="1"/>
  <c r="BD469" i="5" s="1"/>
  <c r="AS10" i="5"/>
  <c r="AS70" i="5"/>
  <c r="BC70" i="5" s="1"/>
  <c r="BD70" i="5" s="1"/>
  <c r="AS209" i="5"/>
  <c r="BC209" i="5" s="1"/>
  <c r="AS400" i="5"/>
  <c r="BC400" i="5" s="1"/>
  <c r="AS233" i="5"/>
  <c r="AS415" i="5"/>
  <c r="BC415" i="5" s="1"/>
  <c r="AS80" i="5"/>
  <c r="BC80" i="5" s="1"/>
  <c r="AS294" i="5"/>
  <c r="BC294" i="5" s="1"/>
  <c r="AS73" i="5"/>
  <c r="BC73" i="5" s="1"/>
  <c r="AS113" i="5"/>
  <c r="BC113" i="5" s="1"/>
  <c r="BD113" i="5" s="1"/>
  <c r="AS533" i="5"/>
  <c r="AS478" i="5"/>
  <c r="BC478" i="5" s="1"/>
  <c r="AS9" i="5"/>
  <c r="AS218" i="5"/>
  <c r="BC218" i="5" s="1"/>
  <c r="AS132" i="5"/>
  <c r="BC132" i="5" s="1"/>
  <c r="AS557" i="5"/>
  <c r="BC557" i="5" s="1"/>
  <c r="AS293" i="5"/>
  <c r="AS501" i="5"/>
  <c r="BC501" i="5" s="1"/>
  <c r="AS126" i="5"/>
  <c r="BC126" i="5" s="1"/>
  <c r="AS499" i="5"/>
  <c r="BC499" i="5" s="1"/>
  <c r="AS541" i="5"/>
  <c r="AS481" i="5"/>
  <c r="BC481" i="5" s="1"/>
  <c r="BD481" i="5" s="1"/>
  <c r="AS236" i="5"/>
  <c r="BC236" i="5" s="1"/>
  <c r="BD236" i="5" s="1"/>
  <c r="AS554" i="5"/>
  <c r="BC554" i="5" s="1"/>
  <c r="AS286" i="5"/>
  <c r="BC286" i="5" s="1"/>
  <c r="AS273" i="5"/>
  <c r="BC273" i="5" s="1"/>
  <c r="AS487" i="5"/>
  <c r="BC487" i="5" s="1"/>
  <c r="AS470" i="5"/>
  <c r="BC470" i="5" s="1"/>
  <c r="BE470" i="5" s="1"/>
  <c r="AS68" i="5"/>
  <c r="BC68" i="5" s="1"/>
  <c r="AS221" i="5"/>
  <c r="BC221" i="5" s="1"/>
  <c r="BE221" i="5" s="1"/>
  <c r="AS317" i="5"/>
  <c r="BC317" i="5" s="1"/>
  <c r="AS8" i="5"/>
  <c r="BC8" i="5" s="1"/>
  <c r="BD8" i="5" s="1"/>
  <c r="AS329" i="5"/>
  <c r="BC329" i="5" s="1"/>
  <c r="BE329" i="5" s="1"/>
  <c r="AS447" i="5"/>
  <c r="BC447" i="5" s="1"/>
  <c r="AS351" i="5"/>
  <c r="BC351" i="5" s="1"/>
  <c r="AS532" i="5"/>
  <c r="BC532" i="5" s="1"/>
  <c r="AS546" i="5"/>
  <c r="BC546" i="5" s="1"/>
  <c r="AS414" i="5"/>
  <c r="BC414" i="5" s="1"/>
  <c r="AS387" i="5"/>
  <c r="BC387" i="5" s="1"/>
  <c r="AS318" i="5"/>
  <c r="BC318" i="5" s="1"/>
  <c r="AS272" i="5"/>
  <c r="BC272" i="5" s="1"/>
  <c r="AS523" i="5"/>
  <c r="BC523" i="5" s="1"/>
  <c r="AS188" i="5"/>
  <c r="AS495" i="5"/>
  <c r="BC495" i="5" s="1"/>
  <c r="BE495" i="5" s="1"/>
  <c r="AS276" i="5"/>
  <c r="BC276" i="5" s="1"/>
  <c r="AS356" i="5"/>
  <c r="BC356" i="5" s="1"/>
  <c r="BD356" i="5" s="1"/>
  <c r="AS243" i="5"/>
  <c r="BC243" i="5" s="1"/>
  <c r="AS261" i="5"/>
  <c r="BC261" i="5" s="1"/>
  <c r="AS19" i="5"/>
  <c r="BC19" i="5" s="1"/>
  <c r="BC537" i="5"/>
  <c r="BD537" i="5" s="1"/>
  <c r="AL12" i="5"/>
  <c r="BC462" i="5"/>
  <c r="BD462" i="5" s="1"/>
  <c r="BB552" i="5"/>
  <c r="BA552" i="5"/>
  <c r="BB539" i="5"/>
  <c r="BA539" i="5"/>
  <c r="BA514" i="5"/>
  <c r="BB514" i="5"/>
  <c r="BA273" i="5"/>
  <c r="BB273" i="5"/>
  <c r="BB376" i="5"/>
  <c r="BA376" i="5"/>
  <c r="BA90" i="5"/>
  <c r="BB90" i="5"/>
  <c r="BB456" i="5"/>
  <c r="BA456" i="5"/>
  <c r="BA498" i="5"/>
  <c r="BB498" i="5"/>
  <c r="BA349" i="5"/>
  <c r="BB349" i="5"/>
  <c r="BA258" i="5"/>
  <c r="BB258" i="5"/>
  <c r="BB155" i="5"/>
  <c r="BA155" i="5"/>
  <c r="BA534" i="5"/>
  <c r="BB534" i="5"/>
  <c r="BA519" i="5"/>
  <c r="BB519" i="5"/>
  <c r="BA379" i="5"/>
  <c r="BB379" i="5"/>
  <c r="BA385" i="5"/>
  <c r="BB385" i="5"/>
  <c r="BB170" i="5"/>
  <c r="BA170" i="5"/>
  <c r="BB513" i="5"/>
  <c r="BA513" i="5"/>
  <c r="BB441" i="5"/>
  <c r="BA441" i="5"/>
  <c r="BA204" i="5"/>
  <c r="BB204" i="5"/>
  <c r="BC379" i="5"/>
  <c r="BA535" i="5"/>
  <c r="BB535" i="5"/>
  <c r="BA445" i="5"/>
  <c r="BB445" i="5"/>
  <c r="BA485" i="5"/>
  <c r="BB485" i="5"/>
  <c r="BA520" i="5"/>
  <c r="BB520" i="5"/>
  <c r="BB487" i="5"/>
  <c r="BA487" i="5"/>
  <c r="BB434" i="5"/>
  <c r="BA434" i="5"/>
  <c r="BA506" i="5"/>
  <c r="BB506" i="5"/>
  <c r="BA427" i="5"/>
  <c r="BB427" i="5"/>
  <c r="BB497" i="5"/>
  <c r="BA497" i="5"/>
  <c r="BA362" i="5"/>
  <c r="BB362" i="5"/>
  <c r="BB355" i="5"/>
  <c r="BA355" i="5"/>
  <c r="BA209" i="5"/>
  <c r="BB209" i="5"/>
  <c r="BB370" i="5"/>
  <c r="BA370" i="5"/>
  <c r="BA436" i="5"/>
  <c r="BB436" i="5"/>
  <c r="BB319" i="5"/>
  <c r="BA319" i="5"/>
  <c r="BB272" i="5"/>
  <c r="BA272" i="5"/>
  <c r="BB182" i="5"/>
  <c r="BA182" i="5"/>
  <c r="BB124" i="5"/>
  <c r="BA124" i="5"/>
  <c r="BA79" i="5"/>
  <c r="BB79" i="5"/>
  <c r="BB537" i="5"/>
  <c r="BA537" i="5"/>
  <c r="BA481" i="5"/>
  <c r="BB481" i="5"/>
  <c r="BA557" i="5"/>
  <c r="BB557" i="5"/>
  <c r="BA328" i="5"/>
  <c r="BB328" i="5"/>
  <c r="BB505" i="5"/>
  <c r="BA505" i="5"/>
  <c r="BB473" i="5"/>
  <c r="BA473" i="5"/>
  <c r="BA387" i="5"/>
  <c r="BB387" i="5"/>
  <c r="BB474" i="5"/>
  <c r="BA474" i="5"/>
  <c r="BB394" i="5"/>
  <c r="BA394" i="5"/>
  <c r="BA472" i="5"/>
  <c r="BB472" i="5"/>
  <c r="BB406" i="5"/>
  <c r="BA406" i="5"/>
  <c r="BB340" i="5"/>
  <c r="BA340" i="5"/>
  <c r="BA408" i="5"/>
  <c r="BB408" i="5"/>
  <c r="BA356" i="5"/>
  <c r="BB356" i="5"/>
  <c r="BA420" i="5"/>
  <c r="BB420" i="5"/>
  <c r="BA343" i="5"/>
  <c r="BB343" i="5"/>
  <c r="BB281" i="5"/>
  <c r="BA281" i="5"/>
  <c r="BB203" i="5"/>
  <c r="BA203" i="5"/>
  <c r="BA106" i="5"/>
  <c r="BB106" i="5"/>
  <c r="BA28" i="5"/>
  <c r="BB28" i="5"/>
  <c r="BB542" i="5"/>
  <c r="BA542" i="5"/>
  <c r="BB524" i="5"/>
  <c r="BA524" i="5"/>
  <c r="BB517" i="5"/>
  <c r="BA517" i="5"/>
  <c r="BB523" i="5"/>
  <c r="BA523" i="5"/>
  <c r="BB489" i="5"/>
  <c r="BA489" i="5"/>
  <c r="BB443" i="5"/>
  <c r="BA443" i="5"/>
  <c r="BA511" i="5"/>
  <c r="BB511" i="5"/>
  <c r="BA439" i="5"/>
  <c r="BB439" i="5"/>
  <c r="BA515" i="5"/>
  <c r="BB515" i="5"/>
  <c r="BA401" i="5"/>
  <c r="BB401" i="5"/>
  <c r="BB366" i="5"/>
  <c r="BA366" i="5"/>
  <c r="BA254" i="5"/>
  <c r="BB254" i="5"/>
  <c r="BA377" i="5"/>
  <c r="BB377" i="5"/>
  <c r="BA250" i="5"/>
  <c r="BB250" i="5"/>
  <c r="BB360" i="5"/>
  <c r="BA360" i="5"/>
  <c r="BB321" i="5"/>
  <c r="BA321" i="5"/>
  <c r="BA217" i="5"/>
  <c r="BB217" i="5"/>
  <c r="BA104" i="5"/>
  <c r="BB104" i="5"/>
  <c r="BB77" i="5"/>
  <c r="BA77" i="5"/>
  <c r="BA19" i="5"/>
  <c r="BB19" i="5"/>
  <c r="BB501" i="5"/>
  <c r="BA501" i="5"/>
  <c r="BA558" i="5"/>
  <c r="BB558" i="5"/>
  <c r="BB425" i="5"/>
  <c r="BA425" i="5"/>
  <c r="BB509" i="5"/>
  <c r="BA509" i="5"/>
  <c r="BB479" i="5"/>
  <c r="BA479" i="5"/>
  <c r="BA405" i="5"/>
  <c r="BB405" i="5"/>
  <c r="BB480" i="5"/>
  <c r="BA480" i="5"/>
  <c r="BA403" i="5"/>
  <c r="BB403" i="5"/>
  <c r="BA478" i="5"/>
  <c r="BB478" i="5"/>
  <c r="BB416" i="5"/>
  <c r="BA416" i="5"/>
  <c r="BA342" i="5"/>
  <c r="BB342" i="5"/>
  <c r="BB417" i="5"/>
  <c r="BA417" i="5"/>
  <c r="BB361" i="5"/>
  <c r="BA361" i="5"/>
  <c r="BA428" i="5"/>
  <c r="BB428" i="5"/>
  <c r="BA358" i="5"/>
  <c r="BB358" i="5"/>
  <c r="BB307" i="5"/>
  <c r="BA307" i="5"/>
  <c r="BA205" i="5"/>
  <c r="BB205" i="5"/>
  <c r="BB128" i="5"/>
  <c r="BA128" i="5"/>
  <c r="BB58" i="5"/>
  <c r="BA58" i="5"/>
  <c r="BA543" i="5"/>
  <c r="BB543" i="5"/>
  <c r="BA493" i="5"/>
  <c r="BB493" i="5"/>
  <c r="BB447" i="5"/>
  <c r="BA447" i="5"/>
  <c r="BA442" i="5"/>
  <c r="BB442" i="5"/>
  <c r="BA260" i="5"/>
  <c r="BB260" i="5"/>
  <c r="BA244" i="5"/>
  <c r="BB244" i="5"/>
  <c r="BA36" i="5"/>
  <c r="BB36" i="5"/>
  <c r="BA437" i="5"/>
  <c r="BB437" i="5"/>
  <c r="BB486" i="5"/>
  <c r="BA486" i="5"/>
  <c r="BB426" i="5"/>
  <c r="BA426" i="5"/>
  <c r="BA354" i="5"/>
  <c r="BB354" i="5"/>
  <c r="BA365" i="5"/>
  <c r="BB365" i="5"/>
  <c r="BB253" i="5"/>
  <c r="BA253" i="5"/>
  <c r="BA49" i="5"/>
  <c r="BB49" i="5"/>
  <c r="BA549" i="5"/>
  <c r="BB549" i="5"/>
  <c r="BA495" i="5"/>
  <c r="BB495" i="5"/>
  <c r="BB462" i="5"/>
  <c r="BA462" i="5"/>
  <c r="BB457" i="5"/>
  <c r="BA457" i="5"/>
  <c r="BA389" i="5"/>
  <c r="BB389" i="5"/>
  <c r="BA275" i="5"/>
  <c r="BB275" i="5"/>
  <c r="BB102" i="5"/>
  <c r="BA102" i="5"/>
  <c r="BB541" i="5"/>
  <c r="BA541" i="5"/>
  <c r="BA522" i="5"/>
  <c r="BB522" i="5"/>
  <c r="BA507" i="5"/>
  <c r="BB507" i="5"/>
  <c r="BB504" i="5"/>
  <c r="BA504" i="5"/>
  <c r="BA364" i="5"/>
  <c r="BB364" i="5"/>
  <c r="BB375" i="5"/>
  <c r="BA375" i="5"/>
  <c r="BB294" i="5"/>
  <c r="BA294" i="5"/>
  <c r="BB142" i="5"/>
  <c r="BA142" i="5"/>
  <c r="BD98" i="5"/>
  <c r="BC90" i="5"/>
  <c r="BA546" i="5"/>
  <c r="BB546" i="5"/>
  <c r="BB491" i="5"/>
  <c r="BA491" i="5"/>
  <c r="BA560" i="5"/>
  <c r="BB560" i="5"/>
  <c r="BA421" i="5"/>
  <c r="BB421" i="5"/>
  <c r="BA508" i="5"/>
  <c r="BB508" i="5"/>
  <c r="BB476" i="5"/>
  <c r="BA476" i="5"/>
  <c r="BA396" i="5"/>
  <c r="BB396" i="5"/>
  <c r="BB477" i="5"/>
  <c r="BA477" i="5"/>
  <c r="BA397" i="5"/>
  <c r="BB397" i="5"/>
  <c r="BA475" i="5"/>
  <c r="BB475" i="5"/>
  <c r="BA415" i="5"/>
  <c r="BB415" i="5"/>
  <c r="BA341" i="5"/>
  <c r="BB341" i="5"/>
  <c r="BB413" i="5"/>
  <c r="BA413" i="5"/>
  <c r="BA359" i="5"/>
  <c r="BB359" i="5"/>
  <c r="BB423" i="5"/>
  <c r="BA423" i="5"/>
  <c r="BA357" i="5"/>
  <c r="BB357" i="5"/>
  <c r="BB291" i="5"/>
  <c r="BA291" i="5"/>
  <c r="BB165" i="5"/>
  <c r="BA165" i="5"/>
  <c r="BA120" i="5"/>
  <c r="BB120" i="5"/>
  <c r="BA63" i="5"/>
  <c r="BB63" i="5"/>
  <c r="BB438" i="5"/>
  <c r="BA438" i="5"/>
  <c r="BA550" i="5"/>
  <c r="BB550" i="5"/>
  <c r="BA536" i="5"/>
  <c r="BB536" i="5"/>
  <c r="BA555" i="5"/>
  <c r="BB555" i="5"/>
  <c r="BB499" i="5"/>
  <c r="BA499" i="5"/>
  <c r="BA455" i="5"/>
  <c r="BB455" i="5"/>
  <c r="BB308" i="5"/>
  <c r="BA308" i="5"/>
  <c r="BA465" i="5"/>
  <c r="BB465" i="5"/>
  <c r="BB270" i="5"/>
  <c r="BA270" i="5"/>
  <c r="BA458" i="5"/>
  <c r="BB458" i="5"/>
  <c r="BB388" i="5"/>
  <c r="BA388" i="5"/>
  <c r="BA289" i="5"/>
  <c r="BB289" i="5"/>
  <c r="BB390" i="5"/>
  <c r="BA390" i="5"/>
  <c r="BA304" i="5"/>
  <c r="BB304" i="5"/>
  <c r="BB404" i="5"/>
  <c r="BA404" i="5"/>
  <c r="BB301" i="5"/>
  <c r="BA301" i="5"/>
  <c r="BB239" i="5"/>
  <c r="BA239" i="5"/>
  <c r="BB185" i="5"/>
  <c r="BA185" i="5"/>
  <c r="BA87" i="5"/>
  <c r="BB87" i="5"/>
  <c r="BA33" i="5"/>
  <c r="BB33" i="5"/>
  <c r="BA528" i="5"/>
  <c r="BB528" i="5"/>
  <c r="BB433" i="5"/>
  <c r="BA433" i="5"/>
  <c r="BB449" i="5"/>
  <c r="BA449" i="5"/>
  <c r="BB510" i="5"/>
  <c r="BA510" i="5"/>
  <c r="BA482" i="5"/>
  <c r="BB482" i="5"/>
  <c r="BB430" i="5"/>
  <c r="BA430" i="5"/>
  <c r="BB484" i="5"/>
  <c r="BA484" i="5"/>
  <c r="BB412" i="5"/>
  <c r="BA412" i="5"/>
  <c r="BA490" i="5"/>
  <c r="BB490" i="5"/>
  <c r="BA311" i="5"/>
  <c r="BB311" i="5"/>
  <c r="BB348" i="5"/>
  <c r="BA348" i="5"/>
  <c r="BB418" i="5"/>
  <c r="BA418" i="5"/>
  <c r="BA363" i="5"/>
  <c r="BB363" i="5"/>
  <c r="BA431" i="5"/>
  <c r="BB431" i="5"/>
  <c r="BB224" i="5"/>
  <c r="BA224" i="5"/>
  <c r="BB327" i="5"/>
  <c r="BA327" i="5"/>
  <c r="BA216" i="5"/>
  <c r="BB216" i="5"/>
  <c r="BA146" i="5"/>
  <c r="BB146" i="5"/>
  <c r="BA57" i="5"/>
  <c r="BB57" i="5"/>
  <c r="BB464" i="5"/>
  <c r="BA464" i="5"/>
  <c r="BA407" i="5"/>
  <c r="BB407" i="5"/>
  <c r="BB548" i="5"/>
  <c r="BA548" i="5"/>
  <c r="BA229" i="5"/>
  <c r="BB229" i="5"/>
  <c r="BB502" i="5"/>
  <c r="BA502" i="5"/>
  <c r="BA466" i="5"/>
  <c r="BB466" i="5"/>
  <c r="BB353" i="5"/>
  <c r="BA353" i="5"/>
  <c r="BB468" i="5"/>
  <c r="BA468" i="5"/>
  <c r="BA382" i="5"/>
  <c r="BB382" i="5"/>
  <c r="BB460" i="5"/>
  <c r="BA460" i="5"/>
  <c r="BB398" i="5"/>
  <c r="BA398" i="5"/>
  <c r="BB333" i="5"/>
  <c r="BA333" i="5"/>
  <c r="BA399" i="5"/>
  <c r="BB399" i="5"/>
  <c r="BB345" i="5"/>
  <c r="BA345" i="5"/>
  <c r="BA410" i="5"/>
  <c r="BB410" i="5"/>
  <c r="BA320" i="5"/>
  <c r="BB320" i="5"/>
  <c r="BB259" i="5"/>
  <c r="BA259" i="5"/>
  <c r="BB162" i="5"/>
  <c r="BA162" i="5"/>
  <c r="BB129" i="5"/>
  <c r="BA129" i="5"/>
  <c r="BB42" i="5"/>
  <c r="BA42" i="5"/>
  <c r="BA527" i="5"/>
  <c r="BB527" i="5"/>
  <c r="BA451" i="5"/>
  <c r="BB451" i="5"/>
  <c r="BA526" i="5"/>
  <c r="BB526" i="5"/>
  <c r="BA374" i="5"/>
  <c r="BB374" i="5"/>
  <c r="BA384" i="5"/>
  <c r="BB384" i="5"/>
  <c r="BA248" i="5"/>
  <c r="BB248" i="5"/>
  <c r="BB181" i="5"/>
  <c r="BA181" i="5"/>
  <c r="BA533" i="5"/>
  <c r="BB533" i="5"/>
  <c r="BB518" i="5"/>
  <c r="BA518" i="5"/>
  <c r="BB432" i="5"/>
  <c r="BA432" i="5"/>
  <c r="BA496" i="5"/>
  <c r="BB496" i="5"/>
  <c r="BB419" i="5"/>
  <c r="BA419" i="5"/>
  <c r="BA435" i="5"/>
  <c r="BB435" i="5"/>
  <c r="BB233" i="5"/>
  <c r="BA233" i="5"/>
  <c r="BA372" i="5"/>
  <c r="BB372" i="5"/>
  <c r="BB554" i="5"/>
  <c r="BA554" i="5"/>
  <c r="BB454" i="5"/>
  <c r="BA454" i="5"/>
  <c r="BB532" i="5"/>
  <c r="BA532" i="5"/>
  <c r="BB286" i="5"/>
  <c r="BA286" i="5"/>
  <c r="BA293" i="5"/>
  <c r="BB293" i="5"/>
  <c r="BB215" i="5"/>
  <c r="BA215" i="5"/>
  <c r="BA37" i="5"/>
  <c r="BB37" i="5"/>
  <c r="BB448" i="5"/>
  <c r="BA448" i="5"/>
  <c r="BB488" i="5"/>
  <c r="BA488" i="5"/>
  <c r="BB429" i="5"/>
  <c r="BA429" i="5"/>
  <c r="BA368" i="5"/>
  <c r="BB368" i="5"/>
  <c r="BA245" i="5"/>
  <c r="BB245" i="5"/>
  <c r="BB440" i="5"/>
  <c r="BA440" i="5"/>
  <c r="BB335" i="5"/>
  <c r="BA335" i="5"/>
  <c r="BA62" i="5"/>
  <c r="BB62" i="5"/>
  <c r="BC533" i="5"/>
  <c r="BD533" i="5" s="1"/>
  <c r="BC440" i="5"/>
  <c r="BB450" i="5"/>
  <c r="BA450" i="5"/>
  <c r="BB551" i="5"/>
  <c r="BA551" i="5"/>
  <c r="BB540" i="5"/>
  <c r="BA540" i="5"/>
  <c r="BB556" i="5"/>
  <c r="BA556" i="5"/>
  <c r="BB500" i="5"/>
  <c r="BA500" i="5"/>
  <c r="BB463" i="5"/>
  <c r="BA463" i="5"/>
  <c r="BB347" i="5"/>
  <c r="BA347" i="5"/>
  <c r="BB467" i="5"/>
  <c r="BA467" i="5"/>
  <c r="BA325" i="5"/>
  <c r="BB325" i="5"/>
  <c r="BB459" i="5"/>
  <c r="BA459" i="5"/>
  <c r="BB395" i="5"/>
  <c r="BA395" i="5"/>
  <c r="BA292" i="5"/>
  <c r="BB292" i="5"/>
  <c r="BA392" i="5"/>
  <c r="BB392" i="5"/>
  <c r="BA334" i="5"/>
  <c r="BB334" i="5"/>
  <c r="BB409" i="5"/>
  <c r="BA409" i="5"/>
  <c r="BB310" i="5"/>
  <c r="BA310" i="5"/>
  <c r="BA193" i="5"/>
  <c r="BB193" i="5"/>
  <c r="BB143" i="5"/>
  <c r="BA143" i="5"/>
  <c r="BA99" i="5"/>
  <c r="BB99" i="5"/>
  <c r="BA46" i="5"/>
  <c r="BB46" i="5"/>
  <c r="BA547" i="5"/>
  <c r="BB547" i="5"/>
  <c r="BB538" i="5"/>
  <c r="BA538" i="5"/>
  <c r="BA521" i="5"/>
  <c r="BB521" i="5"/>
  <c r="BB530" i="5"/>
  <c r="BA530" i="5"/>
  <c r="BA492" i="5"/>
  <c r="BB492" i="5"/>
  <c r="BB444" i="5"/>
  <c r="BA444" i="5"/>
  <c r="BA512" i="5"/>
  <c r="BB512" i="5"/>
  <c r="BA446" i="5"/>
  <c r="BB446" i="5"/>
  <c r="BB525" i="5"/>
  <c r="BA525" i="5"/>
  <c r="BA422" i="5"/>
  <c r="BB422" i="5"/>
  <c r="BA371" i="5"/>
  <c r="BB371" i="5"/>
  <c r="BB267" i="5"/>
  <c r="BA267" i="5"/>
  <c r="BB380" i="5"/>
  <c r="BA380" i="5"/>
  <c r="BB252" i="5"/>
  <c r="BA252" i="5"/>
  <c r="BB367" i="5"/>
  <c r="BA367" i="5"/>
  <c r="BB192" i="5"/>
  <c r="BA192" i="5"/>
  <c r="BB228" i="5"/>
  <c r="BA228" i="5"/>
  <c r="BA167" i="5"/>
  <c r="BB167" i="5"/>
  <c r="BB93" i="5"/>
  <c r="BA93" i="5"/>
  <c r="BB483" i="5"/>
  <c r="BA483" i="5"/>
  <c r="BA424" i="5"/>
  <c r="BB424" i="5"/>
  <c r="BB553" i="5"/>
  <c r="BA553" i="5"/>
  <c r="BA297" i="5"/>
  <c r="BB297" i="5"/>
  <c r="BA503" i="5"/>
  <c r="BB503" i="5"/>
  <c r="BB469" i="5"/>
  <c r="BA469" i="5"/>
  <c r="BB381" i="5"/>
  <c r="BA381" i="5"/>
  <c r="BA470" i="5"/>
  <c r="BB470" i="5"/>
  <c r="BB391" i="5"/>
  <c r="BA391" i="5"/>
  <c r="BB471" i="5"/>
  <c r="BA471" i="5"/>
  <c r="BB400" i="5"/>
  <c r="BA400" i="5"/>
  <c r="BA336" i="5"/>
  <c r="BB336" i="5"/>
  <c r="BB402" i="5"/>
  <c r="BA402" i="5"/>
  <c r="BA350" i="5"/>
  <c r="BB350" i="5"/>
  <c r="BB414" i="5"/>
  <c r="BA414" i="5"/>
  <c r="BB330" i="5"/>
  <c r="BA330" i="5"/>
  <c r="BA271" i="5"/>
  <c r="BB271" i="5"/>
  <c r="BA187" i="5"/>
  <c r="BB187" i="5"/>
  <c r="BB151" i="5"/>
  <c r="BA151" i="5"/>
  <c r="BA67" i="5"/>
  <c r="BB67" i="5"/>
  <c r="BB559" i="5"/>
  <c r="BA559" i="5"/>
  <c r="BB544" i="5"/>
  <c r="BA544" i="5"/>
  <c r="BB529" i="5"/>
  <c r="BA529" i="5"/>
  <c r="BA545" i="5"/>
  <c r="BB545" i="5"/>
  <c r="BB494" i="5"/>
  <c r="BA494" i="5"/>
  <c r="BB453" i="5"/>
  <c r="BA453" i="5"/>
  <c r="BB516" i="5"/>
  <c r="BA516" i="5"/>
  <c r="BA461" i="5"/>
  <c r="BB461" i="5"/>
  <c r="BB531" i="5"/>
  <c r="BA531" i="5"/>
  <c r="BA452" i="5"/>
  <c r="BB452" i="5"/>
  <c r="BA378" i="5"/>
  <c r="BB378" i="5"/>
  <c r="BB280" i="5"/>
  <c r="BA280" i="5"/>
  <c r="BA386" i="5"/>
  <c r="BB386" i="5"/>
  <c r="BB277" i="5"/>
  <c r="BA277" i="5"/>
  <c r="BB383" i="5"/>
  <c r="BA383" i="5"/>
  <c r="BA257" i="5"/>
  <c r="BB257" i="5"/>
  <c r="BA186" i="5"/>
  <c r="BB186" i="5"/>
  <c r="BB153" i="5"/>
  <c r="BA153" i="5"/>
  <c r="BA96" i="5"/>
  <c r="BB96" i="5"/>
  <c r="BA25" i="5"/>
  <c r="BB25" i="5"/>
  <c r="AY364" i="5"/>
  <c r="AX364" i="5"/>
  <c r="BC364" i="5"/>
  <c r="AY511" i="5"/>
  <c r="AX511" i="5"/>
  <c r="BC511" i="5"/>
  <c r="AY438" i="5"/>
  <c r="AX438" i="5"/>
  <c r="BC438" i="5"/>
  <c r="AY530" i="5"/>
  <c r="BC530" i="5"/>
  <c r="AX530" i="5"/>
  <c r="AY514" i="5"/>
  <c r="AX514" i="5"/>
  <c r="AX558" i="5"/>
  <c r="AY558" i="5"/>
  <c r="AX510" i="5"/>
  <c r="AY510" i="5"/>
  <c r="AY523" i="5"/>
  <c r="AX523" i="5"/>
  <c r="AX303" i="5"/>
  <c r="AY303" i="5"/>
  <c r="AY447" i="5"/>
  <c r="AX447" i="5"/>
  <c r="AY421" i="5"/>
  <c r="AX421" i="5"/>
  <c r="BC454" i="5"/>
  <c r="AX454" i="5"/>
  <c r="AY454" i="5"/>
  <c r="AX403" i="5"/>
  <c r="AY403" i="5"/>
  <c r="AX497" i="5"/>
  <c r="AY497" i="5"/>
  <c r="BC497" i="5"/>
  <c r="AY547" i="5"/>
  <c r="AX547" i="5"/>
  <c r="BC547" i="5"/>
  <c r="AX417" i="5"/>
  <c r="AY417" i="5"/>
  <c r="BC417" i="5"/>
  <c r="AY512" i="5"/>
  <c r="AX512" i="5"/>
  <c r="AX264" i="5"/>
  <c r="AY264" i="5"/>
  <c r="AX344" i="5"/>
  <c r="AY344" i="5"/>
  <c r="AX267" i="5"/>
  <c r="BC267" i="5"/>
  <c r="AY267" i="5"/>
  <c r="AX232" i="5"/>
  <c r="AY232" i="5"/>
  <c r="AX142" i="5"/>
  <c r="AY142" i="5"/>
  <c r="BC142" i="5"/>
  <c r="AX86" i="5"/>
  <c r="AY86" i="5"/>
  <c r="AX94" i="5"/>
  <c r="AY94" i="5"/>
  <c r="AX27" i="5"/>
  <c r="AY27" i="5"/>
  <c r="AX389" i="5"/>
  <c r="AY389" i="5"/>
  <c r="BC389" i="5"/>
  <c r="AY260" i="5"/>
  <c r="AX260" i="5"/>
  <c r="AX284" i="5"/>
  <c r="AY284" i="5"/>
  <c r="AX175" i="5"/>
  <c r="AY175" i="5"/>
  <c r="AY151" i="5"/>
  <c r="AX151" i="5"/>
  <c r="AY103" i="5"/>
  <c r="AX103" i="5"/>
  <c r="AY66" i="5"/>
  <c r="AX66" i="5"/>
  <c r="AY384" i="5"/>
  <c r="AX384" i="5"/>
  <c r="BC384" i="5"/>
  <c r="AY316" i="5"/>
  <c r="AX316" i="5"/>
  <c r="AY230" i="5"/>
  <c r="AX230" i="5"/>
  <c r="AX172" i="5"/>
  <c r="AY172" i="5"/>
  <c r="AY173" i="5"/>
  <c r="AX173" i="5"/>
  <c r="AX64" i="5"/>
  <c r="AY64" i="5"/>
  <c r="AY97" i="5"/>
  <c r="AX97" i="5"/>
  <c r="AX60" i="5"/>
  <c r="AY60" i="5"/>
  <c r="AY61" i="5"/>
  <c r="AX61" i="5"/>
  <c r="AY21" i="5"/>
  <c r="AX21" i="5"/>
  <c r="AY22" i="5"/>
  <c r="AX22" i="5"/>
  <c r="AY427" i="5"/>
  <c r="AX427" i="5"/>
  <c r="BC370" i="5"/>
  <c r="AX370" i="5"/>
  <c r="AY370" i="5"/>
  <c r="BC297" i="5"/>
  <c r="AY297" i="5"/>
  <c r="AX297" i="5"/>
  <c r="AX280" i="5"/>
  <c r="AY280" i="5"/>
  <c r="AY329" i="5"/>
  <c r="AX329" i="5"/>
  <c r="AX253" i="5"/>
  <c r="AY253" i="5"/>
  <c r="BC253" i="5"/>
  <c r="AY216" i="5"/>
  <c r="AX216" i="5"/>
  <c r="AX231" i="5"/>
  <c r="AY231" i="5"/>
  <c r="AY214" i="5"/>
  <c r="AX214" i="5"/>
  <c r="AY188" i="5"/>
  <c r="AX188" i="5"/>
  <c r="AY176" i="5"/>
  <c r="AX176" i="5"/>
  <c r="AX131" i="5"/>
  <c r="AY131" i="5"/>
  <c r="AY141" i="5"/>
  <c r="AX141" i="5"/>
  <c r="AX135" i="5"/>
  <c r="AY135" i="5"/>
  <c r="AY95" i="5"/>
  <c r="AX95" i="5"/>
  <c r="AX70" i="5"/>
  <c r="AY70" i="5"/>
  <c r="AY65" i="5"/>
  <c r="AX65" i="5"/>
  <c r="AX34" i="5"/>
  <c r="AY34" i="5"/>
  <c r="AX33" i="5"/>
  <c r="AY33" i="5"/>
  <c r="BC421" i="5"/>
  <c r="BC264" i="5"/>
  <c r="BE264" i="5" s="1"/>
  <c r="BC22" i="5"/>
  <c r="BD22" i="5" s="1"/>
  <c r="BC86" i="5"/>
  <c r="BE86" i="5" s="1"/>
  <c r="AX407" i="5"/>
  <c r="AY407" i="5"/>
  <c r="AY529" i="5"/>
  <c r="AX529" i="5"/>
  <c r="AY471" i="5"/>
  <c r="AX471" i="5"/>
  <c r="BC471" i="5"/>
  <c r="AY560" i="5"/>
  <c r="AX560" i="5"/>
  <c r="AX414" i="5"/>
  <c r="AY414" i="5"/>
  <c r="AY453" i="5"/>
  <c r="AX453" i="5"/>
  <c r="AX531" i="5"/>
  <c r="AY531" i="5"/>
  <c r="BC531" i="5"/>
  <c r="AX456" i="5"/>
  <c r="AY456" i="5"/>
  <c r="AX495" i="5"/>
  <c r="AY495" i="5"/>
  <c r="AY274" i="5"/>
  <c r="AX274" i="5"/>
  <c r="AY404" i="5"/>
  <c r="AX404" i="5"/>
  <c r="AX481" i="5"/>
  <c r="AY481" i="5"/>
  <c r="AX372" i="5"/>
  <c r="AY372" i="5"/>
  <c r="AY360" i="5"/>
  <c r="AX360" i="5"/>
  <c r="AY548" i="5"/>
  <c r="AX548" i="5"/>
  <c r="BC548" i="5"/>
  <c r="AX550" i="5"/>
  <c r="AY550" i="5"/>
  <c r="BC550" i="5"/>
  <c r="AY542" i="5"/>
  <c r="AX542" i="5"/>
  <c r="BC542" i="5"/>
  <c r="AX464" i="5"/>
  <c r="AY464" i="5"/>
  <c r="BC464" i="5"/>
  <c r="AX411" i="5"/>
  <c r="AY411" i="5"/>
  <c r="AY502" i="5"/>
  <c r="AX502" i="5"/>
  <c r="AX449" i="5"/>
  <c r="AY449" i="5"/>
  <c r="BC449" i="5"/>
  <c r="AY506" i="5"/>
  <c r="AX506" i="5"/>
  <c r="AY446" i="5"/>
  <c r="AX446" i="5"/>
  <c r="AX396" i="5"/>
  <c r="AY396" i="5"/>
  <c r="AX420" i="5"/>
  <c r="AY420" i="5"/>
  <c r="AX342" i="5"/>
  <c r="AY342" i="5"/>
  <c r="BC342" i="5"/>
  <c r="AY557" i="5"/>
  <c r="AX557" i="5"/>
  <c r="AY554" i="5"/>
  <c r="AX554" i="5"/>
  <c r="AX549" i="5"/>
  <c r="AY549" i="5"/>
  <c r="AY540" i="5"/>
  <c r="AX540" i="5"/>
  <c r="AY460" i="5"/>
  <c r="AX460" i="5"/>
  <c r="BC460" i="5"/>
  <c r="AX402" i="5"/>
  <c r="AY402" i="5"/>
  <c r="AX499" i="5"/>
  <c r="AY499" i="5"/>
  <c r="AX443" i="5"/>
  <c r="AY443" i="5"/>
  <c r="AX505" i="5"/>
  <c r="AY505" i="5"/>
  <c r="AX444" i="5"/>
  <c r="AY444" i="5"/>
  <c r="AX391" i="5"/>
  <c r="AY391" i="5"/>
  <c r="AX415" i="5"/>
  <c r="AY415" i="5"/>
  <c r="AX336" i="5"/>
  <c r="AY336" i="5"/>
  <c r="AY555" i="5"/>
  <c r="AX555" i="5"/>
  <c r="AY551" i="5"/>
  <c r="AX551" i="5"/>
  <c r="BC551" i="5"/>
  <c r="AX532" i="5"/>
  <c r="AY532" i="5"/>
  <c r="AY538" i="5"/>
  <c r="AX538" i="5"/>
  <c r="AY458" i="5"/>
  <c r="AX458" i="5"/>
  <c r="AX393" i="5"/>
  <c r="AY393" i="5"/>
  <c r="AX494" i="5"/>
  <c r="AY494" i="5"/>
  <c r="AX441" i="5"/>
  <c r="AY441" i="5"/>
  <c r="BC441" i="5"/>
  <c r="AX500" i="5"/>
  <c r="AY500" i="5"/>
  <c r="BC500" i="5"/>
  <c r="AX440" i="5"/>
  <c r="AY440" i="5"/>
  <c r="AX387" i="5"/>
  <c r="AY387" i="5"/>
  <c r="AX406" i="5"/>
  <c r="AY406" i="5"/>
  <c r="BC406" i="5"/>
  <c r="AY318" i="5"/>
  <c r="AX318" i="5"/>
  <c r="AX379" i="5"/>
  <c r="AY379" i="5"/>
  <c r="AY307" i="5"/>
  <c r="AX307" i="5"/>
  <c r="AX308" i="5"/>
  <c r="AY308" i="5"/>
  <c r="AX250" i="5"/>
  <c r="AY250" i="5"/>
  <c r="BC250" i="5"/>
  <c r="AY293" i="5"/>
  <c r="AX293" i="5"/>
  <c r="BC293" i="5"/>
  <c r="AX177" i="5"/>
  <c r="AY177" i="5"/>
  <c r="AX269" i="5"/>
  <c r="AY269" i="5"/>
  <c r="AX223" i="5"/>
  <c r="AY223" i="5"/>
  <c r="AX239" i="5"/>
  <c r="AY239" i="5"/>
  <c r="BC239" i="5"/>
  <c r="AX222" i="5"/>
  <c r="AY222" i="5"/>
  <c r="AX200" i="5"/>
  <c r="AY200" i="5"/>
  <c r="AY186" i="5"/>
  <c r="AX186" i="5"/>
  <c r="AY144" i="5"/>
  <c r="AX144" i="5"/>
  <c r="AX153" i="5"/>
  <c r="AY153" i="5"/>
  <c r="AX149" i="5"/>
  <c r="AY149" i="5"/>
  <c r="AX100" i="5"/>
  <c r="AY100" i="5"/>
  <c r="AX78" i="5"/>
  <c r="AY78" i="5"/>
  <c r="AX79" i="5"/>
  <c r="AY79" i="5"/>
  <c r="BC79" i="5"/>
  <c r="AX55" i="5"/>
  <c r="AY55" i="5"/>
  <c r="AX44" i="5"/>
  <c r="AY44" i="5"/>
  <c r="AY434" i="5"/>
  <c r="AX434" i="5"/>
  <c r="AY377" i="5"/>
  <c r="AX377" i="5"/>
  <c r="BC377" i="5"/>
  <c r="AX296" i="5"/>
  <c r="AY296" i="5"/>
  <c r="AY304" i="5"/>
  <c r="AX304" i="5"/>
  <c r="BC304" i="5"/>
  <c r="AX245" i="5"/>
  <c r="AY245" i="5"/>
  <c r="AY287" i="5"/>
  <c r="AX287" i="5"/>
  <c r="AY331" i="5"/>
  <c r="AX331" i="5"/>
  <c r="BC331" i="5"/>
  <c r="AX262" i="5"/>
  <c r="AY262" i="5"/>
  <c r="AY220" i="5"/>
  <c r="AX220" i="5"/>
  <c r="AY237" i="5"/>
  <c r="AX237" i="5"/>
  <c r="AY219" i="5"/>
  <c r="AX219" i="5"/>
  <c r="AY196" i="5"/>
  <c r="AX196" i="5"/>
  <c r="AY185" i="5"/>
  <c r="AX185" i="5"/>
  <c r="AY140" i="5"/>
  <c r="AX140" i="5"/>
  <c r="AX145" i="5"/>
  <c r="AY145" i="5"/>
  <c r="AX146" i="5"/>
  <c r="AY146" i="5"/>
  <c r="AX98" i="5"/>
  <c r="AY98" i="5"/>
  <c r="AY82" i="5"/>
  <c r="AX82" i="5"/>
  <c r="AY75" i="5"/>
  <c r="AX75" i="5"/>
  <c r="AY53" i="5"/>
  <c r="AX53" i="5"/>
  <c r="AY41" i="5"/>
  <c r="AX41" i="5"/>
  <c r="AY8" i="5"/>
  <c r="AX8" i="5"/>
  <c r="AX371" i="5"/>
  <c r="AY371" i="5"/>
  <c r="BC371" i="5"/>
  <c r="AX281" i="5"/>
  <c r="AY281" i="5"/>
  <c r="AY299" i="5"/>
  <c r="AX299" i="5"/>
  <c r="AX221" i="5"/>
  <c r="AY221" i="5"/>
  <c r="AY283" i="5"/>
  <c r="AX283" i="5"/>
  <c r="AX330" i="5"/>
  <c r="AY330" i="5"/>
  <c r="AX256" i="5"/>
  <c r="AY256" i="5"/>
  <c r="AY218" i="5"/>
  <c r="AX218" i="5"/>
  <c r="AY234" i="5"/>
  <c r="AX234" i="5"/>
  <c r="AX217" i="5"/>
  <c r="AY217" i="5"/>
  <c r="BC217" i="5"/>
  <c r="AX191" i="5"/>
  <c r="AY191" i="5"/>
  <c r="AY180" i="5"/>
  <c r="AX180" i="5"/>
  <c r="AX133" i="5"/>
  <c r="AY133" i="5"/>
  <c r="AX143" i="5"/>
  <c r="AY143" i="5"/>
  <c r="AX138" i="5"/>
  <c r="AY138" i="5"/>
  <c r="AX96" i="5"/>
  <c r="AY96" i="5"/>
  <c r="BC96" i="5"/>
  <c r="AX72" i="5"/>
  <c r="AY72" i="5"/>
  <c r="AX71" i="5"/>
  <c r="AY71" i="5"/>
  <c r="AX51" i="5"/>
  <c r="AY51" i="5"/>
  <c r="AX38" i="5"/>
  <c r="AY38" i="5"/>
  <c r="AT13" i="5"/>
  <c r="AZ13" i="5"/>
  <c r="AW13" i="5"/>
  <c r="T13" i="5"/>
  <c r="AY413" i="5"/>
  <c r="AX413" i="5"/>
  <c r="BC357" i="5"/>
  <c r="AY357" i="5"/>
  <c r="AX357" i="5"/>
  <c r="AX347" i="5"/>
  <c r="BC347" i="5"/>
  <c r="AY347" i="5"/>
  <c r="AY282" i="5"/>
  <c r="AX282" i="5"/>
  <c r="AX322" i="5"/>
  <c r="AY322" i="5"/>
  <c r="AX263" i="5"/>
  <c r="AY263" i="5"/>
  <c r="AY310" i="5"/>
  <c r="AX310" i="5"/>
  <c r="AX233" i="5"/>
  <c r="AY233" i="5"/>
  <c r="BC233" i="5"/>
  <c r="AX198" i="5"/>
  <c r="AY198" i="5"/>
  <c r="AY197" i="5"/>
  <c r="AX197" i="5"/>
  <c r="AY195" i="5"/>
  <c r="AX195" i="5"/>
  <c r="AY170" i="5"/>
  <c r="AX170" i="5"/>
  <c r="AY164" i="5"/>
  <c r="AX164" i="5"/>
  <c r="AX114" i="5"/>
  <c r="AY114" i="5"/>
  <c r="AY130" i="5"/>
  <c r="AX130" i="5"/>
  <c r="AX120" i="5"/>
  <c r="AY120" i="5"/>
  <c r="BC120" i="5"/>
  <c r="AX84" i="5"/>
  <c r="AY84" i="5"/>
  <c r="AX83" i="5"/>
  <c r="AY83" i="5"/>
  <c r="AX54" i="5"/>
  <c r="AY54" i="5"/>
  <c r="AX45" i="5"/>
  <c r="AY45" i="5"/>
  <c r="AX48" i="5"/>
  <c r="AY48" i="5"/>
  <c r="BC95" i="5"/>
  <c r="BC282" i="5"/>
  <c r="AY513" i="5"/>
  <c r="AX513" i="5"/>
  <c r="AY474" i="5"/>
  <c r="AX474" i="5"/>
  <c r="AY536" i="5"/>
  <c r="AX536" i="5"/>
  <c r="AX266" i="5"/>
  <c r="AY266" i="5"/>
  <c r="AX462" i="5"/>
  <c r="AY462" i="5"/>
  <c r="AY422" i="5"/>
  <c r="AX422" i="5"/>
  <c r="AY467" i="5"/>
  <c r="AX467" i="5"/>
  <c r="AY507" i="5"/>
  <c r="AX507" i="5"/>
  <c r="AY552" i="5"/>
  <c r="AX552" i="5"/>
  <c r="AY519" i="5"/>
  <c r="BC519" i="5"/>
  <c r="AX519" i="5"/>
  <c r="AY300" i="5"/>
  <c r="AX300" i="5"/>
  <c r="AY556" i="5"/>
  <c r="AX556" i="5"/>
  <c r="AX508" i="5"/>
  <c r="AY508" i="5"/>
  <c r="BC508" i="5"/>
  <c r="AX401" i="5"/>
  <c r="AY401" i="5"/>
  <c r="AX390" i="5"/>
  <c r="AY390" i="5"/>
  <c r="BC390" i="5"/>
  <c r="AY309" i="5"/>
  <c r="AX309" i="5"/>
  <c r="AX181" i="5"/>
  <c r="AY181" i="5"/>
  <c r="AX179" i="5"/>
  <c r="AY179" i="5"/>
  <c r="AX106" i="5"/>
  <c r="AY106" i="5"/>
  <c r="BC106" i="5"/>
  <c r="AY28" i="5"/>
  <c r="AX28" i="5"/>
  <c r="AX319" i="5"/>
  <c r="AY319" i="5"/>
  <c r="AY248" i="5"/>
  <c r="AX248" i="5"/>
  <c r="BC248" i="5"/>
  <c r="AX235" i="5"/>
  <c r="AY235" i="5"/>
  <c r="AY80" i="5"/>
  <c r="AX80" i="5"/>
  <c r="AY93" i="5"/>
  <c r="AX93" i="5"/>
  <c r="AY23" i="5"/>
  <c r="AX23" i="5"/>
  <c r="AX258" i="5"/>
  <c r="AY258" i="5"/>
  <c r="AY227" i="5"/>
  <c r="AX227" i="5"/>
  <c r="AY207" i="5"/>
  <c r="AX207" i="5"/>
  <c r="BC207" i="5"/>
  <c r="AY246" i="5"/>
  <c r="AX246" i="5"/>
  <c r="BC231" i="5"/>
  <c r="BE231" i="5" s="1"/>
  <c r="BC27" i="5"/>
  <c r="BD27" i="5" s="1"/>
  <c r="BC66" i="5"/>
  <c r="BE66" i="5" s="1"/>
  <c r="BC34" i="5"/>
  <c r="BD34" i="5" s="1"/>
  <c r="BC214" i="5"/>
  <c r="BE214" i="5" s="1"/>
  <c r="BC103" i="5"/>
  <c r="BD103" i="5" s="1"/>
  <c r="BC173" i="5"/>
  <c r="AY261" i="5"/>
  <c r="AX261" i="5"/>
  <c r="AX491" i="5"/>
  <c r="AY491" i="5"/>
  <c r="AY424" i="5"/>
  <c r="AX424" i="5"/>
  <c r="AY559" i="5"/>
  <c r="AX559" i="5"/>
  <c r="AY503" i="5"/>
  <c r="AX503" i="5"/>
  <c r="AX397" i="5"/>
  <c r="AY397" i="5"/>
  <c r="AX546" i="5"/>
  <c r="AY546" i="5"/>
  <c r="AX375" i="5"/>
  <c r="AY375" i="5"/>
  <c r="BC375" i="5"/>
  <c r="AX430" i="5"/>
  <c r="AY430" i="5"/>
  <c r="BC430" i="5"/>
  <c r="AX19" i="5"/>
  <c r="AY19" i="5"/>
  <c r="AX526" i="5"/>
  <c r="AY526" i="5"/>
  <c r="BC526" i="5"/>
  <c r="AX373" i="5"/>
  <c r="AY373" i="5"/>
  <c r="AY388" i="5"/>
  <c r="AX388" i="5"/>
  <c r="BC388" i="5"/>
  <c r="AY525" i="5"/>
  <c r="AX525" i="5"/>
  <c r="AX541" i="5"/>
  <c r="AY541" i="5"/>
  <c r="BC541" i="5"/>
  <c r="AY459" i="5"/>
  <c r="AX459" i="5"/>
  <c r="BC459" i="5"/>
  <c r="AY534" i="5"/>
  <c r="AX534" i="5"/>
  <c r="AY448" i="5"/>
  <c r="AX448" i="5"/>
  <c r="AY351" i="5"/>
  <c r="AX351" i="5"/>
  <c r="AY489" i="5"/>
  <c r="AX489" i="5"/>
  <c r="AY436" i="5"/>
  <c r="AX436" i="5"/>
  <c r="AY492" i="5"/>
  <c r="AX492" i="5"/>
  <c r="BC492" i="5"/>
  <c r="AY429" i="5"/>
  <c r="AX429" i="5"/>
  <c r="BC429" i="5"/>
  <c r="AY382" i="5"/>
  <c r="AX382" i="5"/>
  <c r="BC382" i="5"/>
  <c r="AX398" i="5"/>
  <c r="AY398" i="5"/>
  <c r="AX439" i="5"/>
  <c r="AY439" i="5"/>
  <c r="AX515" i="5"/>
  <c r="AY515" i="5"/>
  <c r="AY539" i="5"/>
  <c r="AX539" i="5"/>
  <c r="BC452" i="5"/>
  <c r="AX452" i="5"/>
  <c r="AY452" i="5"/>
  <c r="AX533" i="5"/>
  <c r="AY533" i="5"/>
  <c r="AX445" i="5"/>
  <c r="AY445" i="5"/>
  <c r="AX339" i="5"/>
  <c r="AY339" i="5"/>
  <c r="BC488" i="5"/>
  <c r="AX488" i="5"/>
  <c r="AY488" i="5"/>
  <c r="AX431" i="5"/>
  <c r="AY431" i="5"/>
  <c r="BC484" i="5"/>
  <c r="AX484" i="5"/>
  <c r="AY484" i="5"/>
  <c r="AY428" i="5"/>
  <c r="AX428" i="5"/>
  <c r="AY381" i="5"/>
  <c r="AX381" i="5"/>
  <c r="BC381" i="5"/>
  <c r="AX395" i="5"/>
  <c r="AY395" i="5"/>
  <c r="AX432" i="5"/>
  <c r="AY432" i="5"/>
  <c r="AX504" i="5"/>
  <c r="AY504" i="5"/>
  <c r="AX535" i="5"/>
  <c r="AY535" i="5"/>
  <c r="AX423" i="5"/>
  <c r="AY423" i="5"/>
  <c r="BC423" i="5"/>
  <c r="AX527" i="5"/>
  <c r="AY527" i="5"/>
  <c r="AX442" i="5"/>
  <c r="AY442" i="5"/>
  <c r="AX335" i="5"/>
  <c r="AY335" i="5"/>
  <c r="AX487" i="5"/>
  <c r="AY487" i="5"/>
  <c r="AY418" i="5"/>
  <c r="AX418" i="5"/>
  <c r="AX482" i="5"/>
  <c r="AY482" i="5"/>
  <c r="AX385" i="5"/>
  <c r="AY385" i="5"/>
  <c r="BC385" i="5"/>
  <c r="AX376" i="5"/>
  <c r="AY376" i="5"/>
  <c r="BC376" i="5"/>
  <c r="AX394" i="5"/>
  <c r="AY394" i="5"/>
  <c r="AX426" i="5"/>
  <c r="AY426" i="5"/>
  <c r="BC426" i="5"/>
  <c r="AX365" i="5"/>
  <c r="AY365" i="5"/>
  <c r="BC365" i="5"/>
  <c r="AX212" i="5"/>
  <c r="AY212" i="5"/>
  <c r="AY292" i="5"/>
  <c r="AX292" i="5"/>
  <c r="AY190" i="5"/>
  <c r="AX190" i="5"/>
  <c r="AX275" i="5"/>
  <c r="AY275" i="5"/>
  <c r="AX326" i="5"/>
  <c r="AY326" i="5"/>
  <c r="AY247" i="5"/>
  <c r="AX247" i="5"/>
  <c r="AY209" i="5"/>
  <c r="AX209" i="5"/>
  <c r="AY215" i="5"/>
  <c r="AX215" i="5"/>
  <c r="BC215" i="5"/>
  <c r="AY210" i="5"/>
  <c r="AX210" i="5"/>
  <c r="AX184" i="5"/>
  <c r="AY184" i="5"/>
  <c r="AX174" i="5"/>
  <c r="AY174" i="5"/>
  <c r="AY129" i="5"/>
  <c r="AX129" i="5"/>
  <c r="AY136" i="5"/>
  <c r="AX136" i="5"/>
  <c r="AX128" i="5"/>
  <c r="AY128" i="5"/>
  <c r="BC128" i="5"/>
  <c r="AX92" i="5"/>
  <c r="AY92" i="5"/>
  <c r="AX67" i="5"/>
  <c r="AY67" i="5"/>
  <c r="BC67" i="5"/>
  <c r="AY62" i="5"/>
  <c r="AX62" i="5"/>
  <c r="BC62" i="5"/>
  <c r="AX69" i="5"/>
  <c r="AY69" i="5"/>
  <c r="AX30" i="5"/>
  <c r="AY30" i="5"/>
  <c r="AY419" i="5"/>
  <c r="AX419" i="5"/>
  <c r="AY363" i="5"/>
  <c r="AX363" i="5"/>
  <c r="AY355" i="5"/>
  <c r="AX355" i="5"/>
  <c r="BC355" i="5"/>
  <c r="AX289" i="5"/>
  <c r="AY289" i="5"/>
  <c r="AY332" i="5"/>
  <c r="AX332" i="5"/>
  <c r="AX268" i="5"/>
  <c r="AY268" i="5"/>
  <c r="AX321" i="5"/>
  <c r="AY321" i="5"/>
  <c r="AY243" i="5"/>
  <c r="AX243" i="5"/>
  <c r="AY206" i="5"/>
  <c r="AX206" i="5"/>
  <c r="AY202" i="5"/>
  <c r="AX202" i="5"/>
  <c r="AY204" i="5"/>
  <c r="AX204" i="5"/>
  <c r="BC204" i="5"/>
  <c r="AX182" i="5"/>
  <c r="AY182" i="5"/>
  <c r="AY168" i="5"/>
  <c r="AX168" i="5"/>
  <c r="AY123" i="5"/>
  <c r="AX123" i="5"/>
  <c r="AY134" i="5"/>
  <c r="AX134" i="5"/>
  <c r="AX126" i="5"/>
  <c r="AY126" i="5"/>
  <c r="AY90" i="5"/>
  <c r="AX90" i="5"/>
  <c r="AX91" i="5"/>
  <c r="AY91" i="5"/>
  <c r="AY57" i="5"/>
  <c r="AX57" i="5"/>
  <c r="BC57" i="5"/>
  <c r="AY63" i="5"/>
  <c r="AX63" i="5"/>
  <c r="AY29" i="5"/>
  <c r="AX29" i="5"/>
  <c r="AY416" i="5"/>
  <c r="AX416" i="5"/>
  <c r="BC416" i="5"/>
  <c r="AY359" i="5"/>
  <c r="AX359" i="5"/>
  <c r="AX353" i="5"/>
  <c r="AY353" i="5"/>
  <c r="BC353" i="5"/>
  <c r="AX286" i="5"/>
  <c r="AY286" i="5"/>
  <c r="AX324" i="5"/>
  <c r="AY324" i="5"/>
  <c r="AX265" i="5"/>
  <c r="AY265" i="5"/>
  <c r="AX317" i="5"/>
  <c r="AY317" i="5"/>
  <c r="AY236" i="5"/>
  <c r="AX236" i="5"/>
  <c r="AX201" i="5"/>
  <c r="AY201" i="5"/>
  <c r="AY199" i="5"/>
  <c r="AX199" i="5"/>
  <c r="AY203" i="5"/>
  <c r="AX203" i="5"/>
  <c r="BC203" i="5"/>
  <c r="AY171" i="5"/>
  <c r="AX171" i="5"/>
  <c r="AY166" i="5"/>
  <c r="AX166" i="5"/>
  <c r="AX121" i="5"/>
  <c r="AY121" i="5"/>
  <c r="AY132" i="5"/>
  <c r="AX132" i="5"/>
  <c r="AY125" i="5"/>
  <c r="AX125" i="5"/>
  <c r="AX89" i="5"/>
  <c r="AY89" i="5"/>
  <c r="AX88" i="5"/>
  <c r="AY88" i="5"/>
  <c r="AY56" i="5"/>
  <c r="AX56" i="5"/>
  <c r="AX52" i="5"/>
  <c r="AY52" i="5"/>
  <c r="AY20" i="5"/>
  <c r="AX20" i="5"/>
  <c r="BC341" i="5"/>
  <c r="AY341" i="5"/>
  <c r="AX341" i="5"/>
  <c r="AX392" i="5"/>
  <c r="AY392" i="5"/>
  <c r="AY345" i="5"/>
  <c r="AX345" i="5"/>
  <c r="AY328" i="5"/>
  <c r="AX328" i="5"/>
  <c r="AX270" i="5"/>
  <c r="AY270" i="5"/>
  <c r="AY312" i="5"/>
  <c r="AX312" i="5"/>
  <c r="AY251" i="5"/>
  <c r="AX251" i="5"/>
  <c r="AY294" i="5"/>
  <c r="AX294" i="5"/>
  <c r="AX241" i="5"/>
  <c r="AY241" i="5"/>
  <c r="BC187" i="5"/>
  <c r="AX187" i="5"/>
  <c r="AY187" i="5"/>
  <c r="AX240" i="5"/>
  <c r="AY240" i="5"/>
  <c r="AY148" i="5"/>
  <c r="AX148" i="5"/>
  <c r="AX183" i="5"/>
  <c r="AY183" i="5"/>
  <c r="AX155" i="5"/>
  <c r="AY155" i="5"/>
  <c r="AX102" i="5"/>
  <c r="AY102" i="5"/>
  <c r="BC102" i="5"/>
  <c r="AX115" i="5"/>
  <c r="AY115" i="5"/>
  <c r="AX111" i="5"/>
  <c r="AY111" i="5"/>
  <c r="BC99" i="5"/>
  <c r="AX99" i="5"/>
  <c r="AY99" i="5"/>
  <c r="AX58" i="5"/>
  <c r="AY58" i="5"/>
  <c r="AY36" i="5"/>
  <c r="AX36" i="5"/>
  <c r="AY32" i="5"/>
  <c r="AX32" i="5"/>
  <c r="AX26" i="5"/>
  <c r="AY26" i="5"/>
  <c r="BC503" i="5"/>
  <c r="BC220" i="5"/>
  <c r="BC177" i="5"/>
  <c r="BC256" i="5"/>
  <c r="BC196" i="5"/>
  <c r="AX323" i="5"/>
  <c r="AY323" i="5"/>
  <c r="AX472" i="5"/>
  <c r="AY472" i="5"/>
  <c r="AX348" i="5"/>
  <c r="AY348" i="5"/>
  <c r="BC348" i="5"/>
  <c r="AX400" i="5"/>
  <c r="AY400" i="5"/>
  <c r="AY352" i="5"/>
  <c r="AX352" i="5"/>
  <c r="AY457" i="5"/>
  <c r="AX457" i="5"/>
  <c r="BC457" i="5"/>
  <c r="AY490" i="5"/>
  <c r="AX490" i="5"/>
  <c r="AY455" i="5"/>
  <c r="AX455" i="5"/>
  <c r="BC455" i="5"/>
  <c r="AY405" i="5"/>
  <c r="AX405" i="5"/>
  <c r="BC405" i="5"/>
  <c r="AY358" i="5"/>
  <c r="AX358" i="5"/>
  <c r="AX369" i="5"/>
  <c r="AY369" i="5"/>
  <c r="AX485" i="5"/>
  <c r="AY485" i="5"/>
  <c r="AX509" i="5"/>
  <c r="AY509" i="5"/>
  <c r="AX465" i="5"/>
  <c r="AY465" i="5"/>
  <c r="AY354" i="5"/>
  <c r="AX354" i="5"/>
  <c r="AX383" i="5"/>
  <c r="AY383" i="5"/>
  <c r="AX483" i="5"/>
  <c r="AY483" i="5"/>
  <c r="AX451" i="5"/>
  <c r="AY451" i="5"/>
  <c r="BC451" i="5"/>
  <c r="AX461" i="5"/>
  <c r="AY461" i="5"/>
  <c r="BC461" i="5"/>
  <c r="AY349" i="5"/>
  <c r="AX349" i="5"/>
  <c r="BC349" i="5"/>
  <c r="AX325" i="5"/>
  <c r="AY325" i="5"/>
  <c r="AY249" i="5"/>
  <c r="AX249" i="5"/>
  <c r="AY290" i="5"/>
  <c r="AX290" i="5"/>
  <c r="AY238" i="5"/>
  <c r="AX238" i="5"/>
  <c r="AY154" i="5"/>
  <c r="AX154" i="5"/>
  <c r="AX87" i="5"/>
  <c r="AY87" i="5"/>
  <c r="AX77" i="5"/>
  <c r="AY77" i="5"/>
  <c r="BC77" i="5"/>
  <c r="AY25" i="5"/>
  <c r="AX25" i="5"/>
  <c r="BC25" i="5"/>
  <c r="AY337" i="5"/>
  <c r="AX337" i="5"/>
  <c r="AX306" i="5"/>
  <c r="AY306" i="5"/>
  <c r="AY229" i="5"/>
  <c r="AX229" i="5"/>
  <c r="AY124" i="5"/>
  <c r="AX124" i="5"/>
  <c r="AX178" i="5"/>
  <c r="AY178" i="5"/>
  <c r="AY161" i="5"/>
  <c r="AX161" i="5"/>
  <c r="AY76" i="5"/>
  <c r="AX76" i="5"/>
  <c r="AY24" i="5"/>
  <c r="AX24" i="5"/>
  <c r="AY327" i="5"/>
  <c r="AX327" i="5"/>
  <c r="BC327" i="5"/>
  <c r="AX301" i="5"/>
  <c r="AY301" i="5"/>
  <c r="BC301" i="5"/>
  <c r="AY278" i="5"/>
  <c r="AX278" i="5"/>
  <c r="AY228" i="5"/>
  <c r="AX228" i="5"/>
  <c r="BC228" i="5"/>
  <c r="AY150" i="5"/>
  <c r="AX150" i="5"/>
  <c r="AY158" i="5"/>
  <c r="AX158" i="5"/>
  <c r="AY85" i="5"/>
  <c r="AX85" i="5"/>
  <c r="AX213" i="5"/>
  <c r="AY213" i="5"/>
  <c r="BC352" i="5"/>
  <c r="BE352" i="5" s="1"/>
  <c r="BC300" i="5"/>
  <c r="BE300" i="5" s="1"/>
  <c r="BC230" i="5"/>
  <c r="BD230" i="5" s="1"/>
  <c r="BC188" i="5"/>
  <c r="BE188" i="5" s="1"/>
  <c r="BC246" i="5"/>
  <c r="BD246" i="5" s="1"/>
  <c r="BC344" i="5"/>
  <c r="BE344" i="5" s="1"/>
  <c r="BC65" i="5"/>
  <c r="BD65" i="5" s="1"/>
  <c r="BC280" i="5"/>
  <c r="BC510" i="5"/>
  <c r="BC339" i="5"/>
  <c r="AX468" i="5"/>
  <c r="AY468" i="5"/>
  <c r="BC468" i="5"/>
  <c r="AY463" i="5"/>
  <c r="AX463" i="5"/>
  <c r="BC463" i="5"/>
  <c r="AX537" i="5"/>
  <c r="AY537" i="5"/>
  <c r="AY470" i="5"/>
  <c r="AX470" i="5"/>
  <c r="AY544" i="5"/>
  <c r="AX544" i="5"/>
  <c r="AY450" i="5"/>
  <c r="AX450" i="5"/>
  <c r="AX259" i="5"/>
  <c r="AY259" i="5"/>
  <c r="BC259" i="5"/>
  <c r="AX524" i="5"/>
  <c r="AY524" i="5"/>
  <c r="BC524" i="5"/>
  <c r="AY493" i="5"/>
  <c r="AX493" i="5"/>
  <c r="AX386" i="5"/>
  <c r="AY386" i="5"/>
  <c r="BC386" i="5"/>
  <c r="AY498" i="5"/>
  <c r="AX498" i="5"/>
  <c r="BC498" i="5"/>
  <c r="AY437" i="5"/>
  <c r="AX437" i="5"/>
  <c r="AX480" i="5"/>
  <c r="AY480" i="5"/>
  <c r="AY553" i="5"/>
  <c r="AX553" i="5"/>
  <c r="AX486" i="5"/>
  <c r="AY486" i="5"/>
  <c r="AY528" i="5"/>
  <c r="AX528" i="5"/>
  <c r="BC528" i="5"/>
  <c r="AY291" i="5"/>
  <c r="AX291" i="5"/>
  <c r="BC291" i="5"/>
  <c r="AX517" i="5"/>
  <c r="AY517" i="5"/>
  <c r="BC517" i="5"/>
  <c r="AX435" i="5"/>
  <c r="AY435" i="5"/>
  <c r="AX521" i="5"/>
  <c r="AY521" i="5"/>
  <c r="AY473" i="5"/>
  <c r="AX473" i="5"/>
  <c r="BC473" i="5"/>
  <c r="AX367" i="5"/>
  <c r="AY367" i="5"/>
  <c r="AX479" i="5"/>
  <c r="AY479" i="5"/>
  <c r="BC479" i="5"/>
  <c r="AY338" i="5"/>
  <c r="AX338" i="5"/>
  <c r="AX368" i="5"/>
  <c r="AY368" i="5"/>
  <c r="AX378" i="5"/>
  <c r="AY378" i="5"/>
  <c r="BC378" i="5"/>
  <c r="AY545" i="5"/>
  <c r="AX545" i="5"/>
  <c r="AY478" i="5"/>
  <c r="AX478" i="5"/>
  <c r="AX522" i="5"/>
  <c r="AY522" i="5"/>
  <c r="BC522" i="5"/>
  <c r="AX285" i="5"/>
  <c r="AY285" i="5"/>
  <c r="AY501" i="5"/>
  <c r="AX501" i="5"/>
  <c r="AY433" i="5"/>
  <c r="AX433" i="5"/>
  <c r="BC433" i="5"/>
  <c r="AY520" i="5"/>
  <c r="AX520" i="5"/>
  <c r="BC520" i="5"/>
  <c r="AY469" i="5"/>
  <c r="AX469" i="5"/>
  <c r="AX361" i="5"/>
  <c r="AY361" i="5"/>
  <c r="BC361" i="5"/>
  <c r="AY477" i="5"/>
  <c r="AX477" i="5"/>
  <c r="AY410" i="5"/>
  <c r="BC410" i="5"/>
  <c r="AX410" i="5"/>
  <c r="AY362" i="5"/>
  <c r="AX362" i="5"/>
  <c r="AX374" i="5"/>
  <c r="AY374" i="5"/>
  <c r="AY543" i="5"/>
  <c r="AX543" i="5"/>
  <c r="AY475" i="5"/>
  <c r="AX475" i="5"/>
  <c r="BC475" i="5"/>
  <c r="AX516" i="5"/>
  <c r="AY516" i="5"/>
  <c r="AY279" i="5"/>
  <c r="AX279" i="5"/>
  <c r="AY496" i="5"/>
  <c r="AX496" i="5"/>
  <c r="BC496" i="5"/>
  <c r="AX425" i="5"/>
  <c r="AY425" i="5"/>
  <c r="BC425" i="5"/>
  <c r="AY518" i="5"/>
  <c r="AX518" i="5"/>
  <c r="BC518" i="5"/>
  <c r="AX466" i="5"/>
  <c r="AY466" i="5"/>
  <c r="AY288" i="5"/>
  <c r="AX288" i="5"/>
  <c r="AX476" i="5"/>
  <c r="AY476" i="5"/>
  <c r="AX409" i="5"/>
  <c r="AY409" i="5"/>
  <c r="BC409" i="5"/>
  <c r="AY343" i="5"/>
  <c r="AX343" i="5"/>
  <c r="BC343" i="5"/>
  <c r="AX366" i="5"/>
  <c r="AY366" i="5"/>
  <c r="BC366" i="5"/>
  <c r="AX412" i="5"/>
  <c r="AY412" i="5"/>
  <c r="AX356" i="5"/>
  <c r="AY356" i="5"/>
  <c r="AX340" i="5"/>
  <c r="AY340" i="5"/>
  <c r="AX277" i="5"/>
  <c r="AY277" i="5"/>
  <c r="AY320" i="5"/>
  <c r="AX320" i="5"/>
  <c r="AY257" i="5"/>
  <c r="AX257" i="5"/>
  <c r="BC257" i="5"/>
  <c r="AY305" i="5"/>
  <c r="AX305" i="5"/>
  <c r="AX211" i="5"/>
  <c r="AY211" i="5"/>
  <c r="AX193" i="5"/>
  <c r="AY193" i="5"/>
  <c r="AX167" i="5"/>
  <c r="AY167" i="5"/>
  <c r="AX194" i="5"/>
  <c r="AY194" i="5"/>
  <c r="AX165" i="5"/>
  <c r="AY165" i="5"/>
  <c r="BC165" i="5"/>
  <c r="AX159" i="5"/>
  <c r="AY159" i="5"/>
  <c r="AX110" i="5"/>
  <c r="AY110" i="5"/>
  <c r="AX127" i="5"/>
  <c r="AY127" i="5"/>
  <c r="AX118" i="5"/>
  <c r="AY118" i="5"/>
  <c r="AX109" i="5"/>
  <c r="AY109" i="5"/>
  <c r="AX74" i="5"/>
  <c r="AY74" i="5"/>
  <c r="AX50" i="5"/>
  <c r="AY50" i="5"/>
  <c r="AX42" i="5"/>
  <c r="AY42" i="5"/>
  <c r="AX43" i="5"/>
  <c r="AY43" i="5"/>
  <c r="AX408" i="5"/>
  <c r="AY408" i="5"/>
  <c r="BC408" i="5"/>
  <c r="AX350" i="5"/>
  <c r="AY350" i="5"/>
  <c r="BC350" i="5"/>
  <c r="AY334" i="5"/>
  <c r="AX334" i="5"/>
  <c r="BC334" i="5"/>
  <c r="AY276" i="5"/>
  <c r="AX276" i="5"/>
  <c r="AX315" i="5"/>
  <c r="AY315" i="5"/>
  <c r="AY255" i="5"/>
  <c r="AX255" i="5"/>
  <c r="AX302" i="5"/>
  <c r="AY302" i="5"/>
  <c r="AX208" i="5"/>
  <c r="AY208" i="5"/>
  <c r="AX192" i="5"/>
  <c r="AY192" i="5"/>
  <c r="BC192" i="5"/>
  <c r="AX244" i="5"/>
  <c r="AY244" i="5"/>
  <c r="BC244" i="5"/>
  <c r="AX162" i="5"/>
  <c r="AY162" i="5"/>
  <c r="BC162" i="5"/>
  <c r="AY137" i="5"/>
  <c r="AX137" i="5"/>
  <c r="AX139" i="5"/>
  <c r="AY139" i="5"/>
  <c r="AX108" i="5"/>
  <c r="AY108" i="5"/>
  <c r="AY122" i="5"/>
  <c r="AX122" i="5"/>
  <c r="AY117" i="5"/>
  <c r="AX117" i="5"/>
  <c r="AY104" i="5"/>
  <c r="AX104" i="5"/>
  <c r="BC104" i="5"/>
  <c r="AY73" i="5"/>
  <c r="AX73" i="5"/>
  <c r="AY49" i="5"/>
  <c r="AX49" i="5"/>
  <c r="AY39" i="5"/>
  <c r="AX39" i="5"/>
  <c r="AX37" i="5"/>
  <c r="AY37" i="5"/>
  <c r="AX399" i="5"/>
  <c r="AY399" i="5"/>
  <c r="BC399" i="5"/>
  <c r="AX346" i="5"/>
  <c r="AY346" i="5"/>
  <c r="AX333" i="5"/>
  <c r="AY333" i="5"/>
  <c r="BC333" i="5"/>
  <c r="AY273" i="5"/>
  <c r="AX273" i="5"/>
  <c r="AY314" i="5"/>
  <c r="AX314" i="5"/>
  <c r="AX254" i="5"/>
  <c r="AY254" i="5"/>
  <c r="BC254" i="5"/>
  <c r="AY298" i="5"/>
  <c r="AX298" i="5"/>
  <c r="AY163" i="5"/>
  <c r="AX163" i="5"/>
  <c r="AX189" i="5"/>
  <c r="AY189" i="5"/>
  <c r="AX242" i="5"/>
  <c r="AY242" i="5"/>
  <c r="AY160" i="5"/>
  <c r="AX160" i="5"/>
  <c r="AY119" i="5"/>
  <c r="AX119" i="5"/>
  <c r="AX113" i="5"/>
  <c r="AY113" i="5"/>
  <c r="AY105" i="5"/>
  <c r="AX105" i="5"/>
  <c r="AX116" i="5"/>
  <c r="AY116" i="5"/>
  <c r="AX112" i="5"/>
  <c r="AY112" i="5"/>
  <c r="AY101" i="5"/>
  <c r="AX101" i="5"/>
  <c r="AY68" i="5"/>
  <c r="AX68" i="5"/>
  <c r="AX47" i="5"/>
  <c r="AY47" i="5"/>
  <c r="AX35" i="5"/>
  <c r="AY35" i="5"/>
  <c r="AX31" i="5"/>
  <c r="AY31" i="5"/>
  <c r="AX271" i="5"/>
  <c r="AY271" i="5"/>
  <c r="AX380" i="5"/>
  <c r="AY380" i="5"/>
  <c r="BC380" i="5"/>
  <c r="AX313" i="5"/>
  <c r="AY313" i="5"/>
  <c r="AY311" i="5"/>
  <c r="AX311" i="5"/>
  <c r="AY252" i="5"/>
  <c r="AX252" i="5"/>
  <c r="BC252" i="5"/>
  <c r="AY295" i="5"/>
  <c r="AX295" i="5"/>
  <c r="AX225" i="5"/>
  <c r="AY225" i="5"/>
  <c r="AX272" i="5"/>
  <c r="AY272" i="5"/>
  <c r="AY224" i="5"/>
  <c r="AX224" i="5"/>
  <c r="AX169" i="5"/>
  <c r="AY169" i="5"/>
  <c r="AX226" i="5"/>
  <c r="AY226" i="5"/>
  <c r="AY205" i="5"/>
  <c r="AX205" i="5"/>
  <c r="BC205" i="5"/>
  <c r="AX156" i="5"/>
  <c r="AY156" i="5"/>
  <c r="AY147" i="5"/>
  <c r="AX147" i="5"/>
  <c r="AY157" i="5"/>
  <c r="AX157" i="5"/>
  <c r="AX152" i="5"/>
  <c r="AY152" i="5"/>
  <c r="AY107" i="5"/>
  <c r="AX107" i="5"/>
  <c r="AY81" i="5"/>
  <c r="AX81" i="5"/>
  <c r="AY40" i="5"/>
  <c r="AX40" i="5"/>
  <c r="AY59" i="5"/>
  <c r="AX59" i="5"/>
  <c r="BC46" i="5"/>
  <c r="AY46" i="5"/>
  <c r="AX46" i="5"/>
  <c r="BC372" i="5"/>
  <c r="BC200" i="5"/>
  <c r="BC50" i="5"/>
  <c r="BC312" i="5"/>
  <c r="BC179" i="5"/>
  <c r="BC107" i="5"/>
  <c r="BC303" i="5"/>
  <c r="BC123" i="5"/>
  <c r="AL165" i="5"/>
  <c r="AL153" i="5"/>
  <c r="AK156" i="5"/>
  <c r="BE48" i="5"/>
  <c r="AU12" i="5"/>
  <c r="AV12" i="5"/>
  <c r="BC12" i="5"/>
  <c r="AK49" i="5"/>
  <c r="AK28" i="5"/>
  <c r="BE55" i="5"/>
  <c r="BD35" i="5"/>
  <c r="BE198" i="5"/>
  <c r="BD78" i="5"/>
  <c r="BE237" i="5"/>
  <c r="AY12" i="5"/>
  <c r="AX12" i="5"/>
  <c r="AK13" i="5"/>
  <c r="AL13" i="5"/>
  <c r="BE195" i="5"/>
  <c r="BE127" i="5"/>
  <c r="BE82" i="5"/>
  <c r="BD100" i="5"/>
  <c r="BE114" i="5"/>
  <c r="BE133" i="5"/>
  <c r="U12" i="5"/>
  <c r="V12" i="5"/>
  <c r="BD222" i="5"/>
  <c r="BD287" i="5"/>
  <c r="BE53" i="5"/>
  <c r="BD59" i="5"/>
  <c r="BA12" i="5"/>
  <c r="BB12" i="5"/>
  <c r="AL516" i="5"/>
  <c r="AK516" i="5"/>
  <c r="AL290" i="5"/>
  <c r="AK290" i="5"/>
  <c r="AL243" i="5"/>
  <c r="AK243" i="5"/>
  <c r="AL374" i="5"/>
  <c r="AK374" i="5"/>
  <c r="AK151" i="5"/>
  <c r="AL151" i="5"/>
  <c r="AL152" i="5"/>
  <c r="AK152" i="5"/>
  <c r="AK65" i="5"/>
  <c r="AL65" i="5"/>
  <c r="AK489" i="5"/>
  <c r="AL489" i="5"/>
  <c r="AK515" i="5"/>
  <c r="AL515" i="5"/>
  <c r="AL377" i="5"/>
  <c r="AK377" i="5"/>
  <c r="AL134" i="5"/>
  <c r="AK134" i="5"/>
  <c r="AL342" i="5"/>
  <c r="AK342" i="5"/>
  <c r="AK463" i="5"/>
  <c r="AL463" i="5"/>
  <c r="AL323" i="5"/>
  <c r="AK323" i="5"/>
  <c r="AK281" i="5"/>
  <c r="AL281" i="5"/>
  <c r="AK163" i="5"/>
  <c r="AL163" i="5"/>
  <c r="AL175" i="5"/>
  <c r="AK175" i="5"/>
  <c r="AL474" i="5"/>
  <c r="AK474" i="5"/>
  <c r="AL466" i="5"/>
  <c r="AK466" i="5"/>
  <c r="AK400" i="5"/>
  <c r="AL400" i="5"/>
  <c r="AK453" i="5"/>
  <c r="AL453" i="5"/>
  <c r="AL546" i="5"/>
  <c r="AK546" i="5"/>
  <c r="AL413" i="5"/>
  <c r="AK413" i="5"/>
  <c r="AK491" i="5"/>
  <c r="AL491" i="5"/>
  <c r="AK258" i="5"/>
  <c r="AL258" i="5"/>
  <c r="AL300" i="5"/>
  <c r="AK300" i="5"/>
  <c r="AK196" i="5"/>
  <c r="AL196" i="5"/>
  <c r="AK359" i="5"/>
  <c r="AL359" i="5"/>
  <c r="AK206" i="5"/>
  <c r="AL206" i="5"/>
  <c r="AK207" i="5"/>
  <c r="AL207" i="5"/>
  <c r="AL467" i="5"/>
  <c r="AK467" i="5"/>
  <c r="AK385" i="5"/>
  <c r="AL385" i="5"/>
  <c r="AK462" i="5"/>
  <c r="AL462" i="5"/>
  <c r="AL244" i="5"/>
  <c r="AK244" i="5"/>
  <c r="AL160" i="5"/>
  <c r="AK160" i="5"/>
  <c r="AL495" i="5"/>
  <c r="AK495" i="5"/>
  <c r="AK501" i="5"/>
  <c r="AL501" i="5"/>
  <c r="AK267" i="5"/>
  <c r="AL267" i="5"/>
  <c r="AL217" i="5"/>
  <c r="AK217" i="5"/>
  <c r="AK63" i="5"/>
  <c r="AL63" i="5"/>
  <c r="AK465" i="5"/>
  <c r="AL465" i="5"/>
  <c r="AK531" i="5"/>
  <c r="AL531" i="5"/>
  <c r="AL337" i="5"/>
  <c r="AK337" i="5"/>
  <c r="AK21" i="5"/>
  <c r="AL21" i="5"/>
  <c r="AL114" i="5"/>
  <c r="AK114" i="5"/>
  <c r="AL420" i="5"/>
  <c r="AK420" i="5"/>
  <c r="AK481" i="5"/>
  <c r="AL481" i="5"/>
  <c r="AK279" i="5"/>
  <c r="AL279" i="5"/>
  <c r="AK37" i="5"/>
  <c r="AL37" i="5"/>
  <c r="AL430" i="5"/>
  <c r="AK430" i="5"/>
  <c r="AK346" i="5"/>
  <c r="AL346" i="5"/>
  <c r="AK423" i="5"/>
  <c r="AL423" i="5"/>
  <c r="AL177" i="5"/>
  <c r="AK177" i="5"/>
  <c r="AK92" i="5"/>
  <c r="AL92" i="5"/>
  <c r="AL102" i="5"/>
  <c r="AK102" i="5"/>
  <c r="AL140" i="5"/>
  <c r="AK140" i="5"/>
  <c r="AL112" i="5"/>
  <c r="AK112" i="5"/>
  <c r="AL484" i="5"/>
  <c r="AK484" i="5"/>
  <c r="AK556" i="5"/>
  <c r="AL556" i="5"/>
  <c r="AL412" i="5"/>
  <c r="AK412" i="5"/>
  <c r="AK558" i="5"/>
  <c r="AL558" i="5"/>
  <c r="AK370" i="5"/>
  <c r="AL370" i="5"/>
  <c r="AK553" i="5"/>
  <c r="AL553" i="5"/>
  <c r="AL476" i="5"/>
  <c r="AK476" i="5"/>
  <c r="AL552" i="5"/>
  <c r="AK552" i="5"/>
  <c r="AL443" i="5"/>
  <c r="AK443" i="5"/>
  <c r="AK425" i="5"/>
  <c r="AL425" i="5"/>
  <c r="AL245" i="5"/>
  <c r="AK245" i="5"/>
  <c r="AL313" i="5"/>
  <c r="AK313" i="5"/>
  <c r="AK224" i="5"/>
  <c r="AL224" i="5"/>
  <c r="AK25" i="5"/>
  <c r="AL25" i="5"/>
  <c r="AL171" i="5"/>
  <c r="AK171" i="5"/>
  <c r="AK159" i="5"/>
  <c r="AL159" i="5"/>
  <c r="AL120" i="5"/>
  <c r="AK120" i="5"/>
  <c r="AK201" i="5"/>
  <c r="AL201" i="5"/>
  <c r="AL455" i="5"/>
  <c r="AK455" i="5"/>
  <c r="AK452" i="5"/>
  <c r="AL452" i="5"/>
  <c r="AK410" i="5"/>
  <c r="AL410" i="5"/>
  <c r="AK422" i="5"/>
  <c r="AL422" i="5"/>
  <c r="AK503" i="5"/>
  <c r="AL503" i="5"/>
  <c r="AK352" i="5"/>
  <c r="AL352" i="5"/>
  <c r="AL470" i="5"/>
  <c r="AK470" i="5"/>
  <c r="AK257" i="5"/>
  <c r="AL257" i="5"/>
  <c r="AL322" i="5"/>
  <c r="AK322" i="5"/>
  <c r="AK363" i="5"/>
  <c r="AL363" i="5"/>
  <c r="AK142" i="5"/>
  <c r="AL142" i="5"/>
  <c r="AL211" i="5"/>
  <c r="AK211" i="5"/>
  <c r="AK32" i="5"/>
  <c r="AL32" i="5"/>
  <c r="AK110" i="5"/>
  <c r="AL110" i="5"/>
  <c r="AL85" i="5"/>
  <c r="AK85" i="5"/>
  <c r="AK86" i="5"/>
  <c r="AL86" i="5"/>
  <c r="AK554" i="5"/>
  <c r="AL554" i="5"/>
  <c r="AK111" i="5"/>
  <c r="AL111" i="5"/>
  <c r="AL428" i="5"/>
  <c r="AK428" i="5"/>
  <c r="AL436" i="5"/>
  <c r="AK436" i="5"/>
  <c r="AK402" i="5"/>
  <c r="AL402" i="5"/>
  <c r="AK406" i="5"/>
  <c r="AL406" i="5"/>
  <c r="AK490" i="5"/>
  <c r="AL490" i="5"/>
  <c r="AK327" i="5"/>
  <c r="AL327" i="5"/>
  <c r="AL456" i="5"/>
  <c r="AK456" i="5"/>
  <c r="AK135" i="5"/>
  <c r="AL135" i="5"/>
  <c r="AK310" i="5"/>
  <c r="AL310" i="5"/>
  <c r="AK347" i="5"/>
  <c r="AL347" i="5"/>
  <c r="AL39" i="5"/>
  <c r="AK39" i="5"/>
  <c r="AK197" i="5"/>
  <c r="AL197" i="5"/>
  <c r="AK368" i="5"/>
  <c r="AL368" i="5"/>
  <c r="AK538" i="5"/>
  <c r="AL538" i="5"/>
  <c r="AK477" i="5"/>
  <c r="AL477" i="5"/>
  <c r="AK415" i="5"/>
  <c r="AL415" i="5"/>
  <c r="AL266" i="5"/>
  <c r="AK266" i="5"/>
  <c r="AK395" i="5"/>
  <c r="AL395" i="5"/>
  <c r="AK331" i="5"/>
  <c r="AL331" i="5"/>
  <c r="AK213" i="5"/>
  <c r="AL213" i="5"/>
  <c r="AL527" i="5"/>
  <c r="AK527" i="5"/>
  <c r="AL475" i="5"/>
  <c r="AK475" i="5"/>
  <c r="AK367" i="5"/>
  <c r="AL367" i="5"/>
  <c r="AK287" i="5"/>
  <c r="AL287" i="5"/>
  <c r="AL305" i="5"/>
  <c r="AK305" i="5"/>
  <c r="AL250" i="5"/>
  <c r="AK250" i="5"/>
  <c r="AL178" i="5"/>
  <c r="AK178" i="5"/>
  <c r="AK214" i="5"/>
  <c r="AL214" i="5"/>
  <c r="AK99" i="5"/>
  <c r="AL99" i="5"/>
  <c r="AL284" i="5"/>
  <c r="AK284" i="5"/>
  <c r="AL215" i="5"/>
  <c r="AK215" i="5"/>
  <c r="AL170" i="5"/>
  <c r="AK170" i="5"/>
  <c r="AK50" i="5"/>
  <c r="AL50" i="5"/>
  <c r="AL306" i="5"/>
  <c r="AK306" i="5"/>
  <c r="AK23" i="5"/>
  <c r="AL23" i="5"/>
  <c r="AL511" i="5"/>
  <c r="AK511" i="5"/>
  <c r="AK398" i="5"/>
  <c r="AL398" i="5"/>
  <c r="AK343" i="5"/>
  <c r="AL343" i="5"/>
  <c r="AL227" i="5"/>
  <c r="AK227" i="5"/>
  <c r="AL278" i="5"/>
  <c r="AK278" i="5"/>
  <c r="AL234" i="5"/>
  <c r="AK234" i="5"/>
  <c r="AK30" i="5"/>
  <c r="AL30" i="5"/>
  <c r="AK190" i="5"/>
  <c r="AL190" i="5"/>
  <c r="AL326" i="5"/>
  <c r="AK326" i="5"/>
  <c r="AK259" i="5"/>
  <c r="AL259" i="5"/>
  <c r="AK189" i="5"/>
  <c r="AL189" i="5"/>
  <c r="AK133" i="5"/>
  <c r="AL133" i="5"/>
  <c r="AK157" i="5"/>
  <c r="AL157" i="5"/>
  <c r="AK209" i="5"/>
  <c r="AL209" i="5"/>
  <c r="AK514" i="5"/>
  <c r="AL514" i="5"/>
  <c r="AL451" i="5"/>
  <c r="AK451" i="5"/>
  <c r="AL389" i="5"/>
  <c r="AK389" i="5"/>
  <c r="AL433" i="5"/>
  <c r="AK433" i="5"/>
  <c r="AL365" i="5"/>
  <c r="AK365" i="5"/>
  <c r="AL301" i="5"/>
  <c r="AK301" i="5"/>
  <c r="AL559" i="5"/>
  <c r="AK559" i="5"/>
  <c r="AK509" i="5"/>
  <c r="AL509" i="5"/>
  <c r="AK396" i="5"/>
  <c r="AL396" i="5"/>
  <c r="AK339" i="5"/>
  <c r="AL339" i="5"/>
  <c r="AK194" i="5"/>
  <c r="AL194" i="5"/>
  <c r="AL276" i="5"/>
  <c r="AK276" i="5"/>
  <c r="AL231" i="5"/>
  <c r="AK231" i="5"/>
  <c r="AK20" i="5"/>
  <c r="AL20" i="5"/>
  <c r="AK186" i="5"/>
  <c r="AL186" i="5"/>
  <c r="AK319" i="5"/>
  <c r="AL319" i="5"/>
  <c r="AK255" i="5"/>
  <c r="AL255" i="5"/>
  <c r="AK185" i="5"/>
  <c r="AL185" i="5"/>
  <c r="AK129" i="5"/>
  <c r="AL129" i="5"/>
  <c r="AK141" i="5"/>
  <c r="AL141" i="5"/>
  <c r="AL38" i="5"/>
  <c r="AK38" i="5"/>
  <c r="AK358" i="5"/>
  <c r="AL358" i="5"/>
  <c r="AL448" i="5"/>
  <c r="AK448" i="5"/>
  <c r="AL69" i="5"/>
  <c r="AK69" i="5"/>
  <c r="AK103" i="5"/>
  <c r="AL103" i="5"/>
  <c r="AK505" i="5"/>
  <c r="AL505" i="5"/>
  <c r="AL26" i="5"/>
  <c r="AK26" i="5"/>
  <c r="AK122" i="5"/>
  <c r="AL122" i="5"/>
  <c r="AL460" i="5"/>
  <c r="AK460" i="5"/>
  <c r="AL440" i="5"/>
  <c r="AK440" i="5"/>
  <c r="AL472" i="5"/>
  <c r="AK472" i="5"/>
  <c r="AK328" i="5"/>
  <c r="AL328" i="5"/>
  <c r="AK226" i="5"/>
  <c r="AL226" i="5"/>
  <c r="AL81" i="5"/>
  <c r="AK81" i="5"/>
  <c r="AK285" i="5"/>
  <c r="AL285" i="5"/>
  <c r="AL479" i="5"/>
  <c r="AK479" i="5"/>
  <c r="AL502" i="5"/>
  <c r="AK502" i="5"/>
  <c r="AL469" i="5"/>
  <c r="AK469" i="5"/>
  <c r="AK53" i="5"/>
  <c r="AL53" i="5"/>
  <c r="AK488" i="5"/>
  <c r="AL488" i="5"/>
  <c r="AK341" i="5"/>
  <c r="AL341" i="5"/>
  <c r="AK265" i="5"/>
  <c r="AL265" i="5"/>
  <c r="AL493" i="5"/>
  <c r="AK493" i="5"/>
  <c r="AK298" i="5"/>
  <c r="AL298" i="5"/>
  <c r="AL249" i="5"/>
  <c r="AK249" i="5"/>
  <c r="AL379" i="5"/>
  <c r="AK379" i="5"/>
  <c r="AK320" i="5"/>
  <c r="AL320" i="5"/>
  <c r="AL229" i="5"/>
  <c r="AK229" i="5"/>
  <c r="AK228" i="5"/>
  <c r="AL228" i="5"/>
  <c r="AK82" i="5"/>
  <c r="AL82" i="5"/>
  <c r="AL464" i="5"/>
  <c r="AK464" i="5"/>
  <c r="AL294" i="5"/>
  <c r="AK294" i="5"/>
  <c r="AK76" i="5"/>
  <c r="AL76" i="5"/>
  <c r="AL275" i="5"/>
  <c r="AK275" i="5"/>
  <c r="AK34" i="5"/>
  <c r="AL34" i="5"/>
  <c r="AL530" i="5"/>
  <c r="AK530" i="5"/>
  <c r="AK253" i="5"/>
  <c r="AL253" i="5"/>
  <c r="AK127" i="5"/>
  <c r="AL127" i="5"/>
  <c r="AL355" i="5"/>
  <c r="AK355" i="5"/>
  <c r="AK292" i="5"/>
  <c r="AL292" i="5"/>
  <c r="AL202" i="5"/>
  <c r="AK202" i="5"/>
  <c r="AK270" i="5"/>
  <c r="AL270" i="5"/>
  <c r="AK29" i="5"/>
  <c r="AL29" i="5"/>
  <c r="AL68" i="5"/>
  <c r="AK68" i="5"/>
  <c r="AL369" i="5"/>
  <c r="AK369" i="5"/>
  <c r="AK155" i="5"/>
  <c r="AL155" i="5"/>
  <c r="AL48" i="5"/>
  <c r="AK48" i="5"/>
  <c r="AL391" i="5"/>
  <c r="AK391" i="5"/>
  <c r="AK94" i="5"/>
  <c r="AL94" i="5"/>
  <c r="AK557" i="5"/>
  <c r="AL557" i="5"/>
  <c r="AK384" i="5"/>
  <c r="AL384" i="5"/>
  <c r="AK390" i="5"/>
  <c r="AL390" i="5"/>
  <c r="AL96" i="5"/>
  <c r="AK96" i="5"/>
  <c r="AK47" i="5"/>
  <c r="AL47" i="5"/>
  <c r="AK382" i="5"/>
  <c r="AL382" i="5"/>
  <c r="AK295" i="5"/>
  <c r="AL295" i="5"/>
  <c r="AL330" i="5"/>
  <c r="AK330" i="5"/>
  <c r="AK118" i="5"/>
  <c r="AL118" i="5"/>
  <c r="AK522" i="5"/>
  <c r="AL522" i="5"/>
  <c r="AK537" i="5"/>
  <c r="AL537" i="5"/>
  <c r="AK405" i="5"/>
  <c r="AL405" i="5"/>
  <c r="AK113" i="5"/>
  <c r="AL113" i="5"/>
  <c r="AK35" i="5"/>
  <c r="AL35" i="5"/>
  <c r="AK126" i="5"/>
  <c r="AL126" i="5"/>
  <c r="AL8" i="5"/>
  <c r="AK8" i="5"/>
  <c r="AL54" i="5"/>
  <c r="AK54" i="5"/>
  <c r="AK414" i="5"/>
  <c r="AL414" i="5"/>
  <c r="AK518" i="5"/>
  <c r="AL518" i="5"/>
  <c r="AK364" i="5"/>
  <c r="AL364" i="5"/>
  <c r="AK482" i="5"/>
  <c r="AL482" i="5"/>
  <c r="AK338" i="5"/>
  <c r="AL338" i="5"/>
  <c r="AK521" i="5"/>
  <c r="AL521" i="5"/>
  <c r="AK445" i="5"/>
  <c r="AL445" i="5"/>
  <c r="AK536" i="5"/>
  <c r="AL536" i="5"/>
  <c r="AK411" i="5"/>
  <c r="AL411" i="5"/>
  <c r="AK392" i="5"/>
  <c r="AL392" i="5"/>
  <c r="AL535" i="5"/>
  <c r="AK535" i="5"/>
  <c r="AL316" i="5"/>
  <c r="AK316" i="5"/>
  <c r="AL123" i="5"/>
  <c r="AK123" i="5"/>
  <c r="AL80" i="5"/>
  <c r="AK80" i="5"/>
  <c r="AK106" i="5"/>
  <c r="AL106" i="5"/>
  <c r="AL70" i="5"/>
  <c r="AK70" i="5"/>
  <c r="AK457" i="5"/>
  <c r="AL457" i="5"/>
  <c r="AK534" i="5"/>
  <c r="AL534" i="5"/>
  <c r="AK404" i="5"/>
  <c r="AL404" i="5"/>
  <c r="AL545" i="5"/>
  <c r="AK545" i="5"/>
  <c r="AL362" i="5"/>
  <c r="AK362" i="5"/>
  <c r="AK549" i="5"/>
  <c r="AL549" i="5"/>
  <c r="AL471" i="5"/>
  <c r="AK471" i="5"/>
  <c r="AK550" i="5"/>
  <c r="AL550" i="5"/>
  <c r="AL439" i="5"/>
  <c r="AK439" i="5"/>
  <c r="AL421" i="5"/>
  <c r="AK421" i="5"/>
  <c r="AK205" i="5"/>
  <c r="AL205" i="5"/>
  <c r="AK282" i="5"/>
  <c r="AL282" i="5"/>
  <c r="AK210" i="5"/>
  <c r="AL210" i="5"/>
  <c r="AL168" i="5"/>
  <c r="AK168" i="5"/>
  <c r="AK79" i="5"/>
  <c r="AL79" i="5"/>
  <c r="AK191" i="5"/>
  <c r="AL191" i="5"/>
  <c r="AL124" i="5"/>
  <c r="AK124" i="5"/>
  <c r="AK31" i="5"/>
  <c r="AL31" i="5"/>
  <c r="AK444" i="5"/>
  <c r="AL444" i="5"/>
  <c r="AL526" i="5"/>
  <c r="AK526" i="5"/>
  <c r="AL380" i="5"/>
  <c r="AK380" i="5"/>
  <c r="AK528" i="5"/>
  <c r="AL528" i="5"/>
  <c r="AL354" i="5"/>
  <c r="AK354" i="5"/>
  <c r="AL541" i="5"/>
  <c r="AK541" i="5"/>
  <c r="AL458" i="5"/>
  <c r="AK458" i="5"/>
  <c r="AK544" i="5"/>
  <c r="AL544" i="5"/>
  <c r="AK427" i="5"/>
  <c r="AL427" i="5"/>
  <c r="AL409" i="5"/>
  <c r="AK409" i="5"/>
  <c r="AK60" i="5"/>
  <c r="AL60" i="5"/>
  <c r="AK237" i="5"/>
  <c r="AL237" i="5"/>
  <c r="AK192" i="5"/>
  <c r="AL192" i="5"/>
  <c r="AL150" i="5"/>
  <c r="AK150" i="5"/>
  <c r="AL336" i="5"/>
  <c r="AK336" i="5"/>
  <c r="AK524" i="5"/>
  <c r="AL524" i="5"/>
  <c r="AL461" i="5"/>
  <c r="AK461" i="5"/>
  <c r="AL399" i="5"/>
  <c r="AK399" i="5"/>
  <c r="AK232" i="5"/>
  <c r="AL232" i="5"/>
  <c r="AK381" i="5"/>
  <c r="AL381" i="5"/>
  <c r="AL314" i="5"/>
  <c r="AK314" i="5"/>
  <c r="AL95" i="5"/>
  <c r="AK95" i="5"/>
  <c r="AL517" i="5"/>
  <c r="AK517" i="5"/>
  <c r="AL459" i="5"/>
  <c r="AK459" i="5"/>
  <c r="AL351" i="5"/>
  <c r="AK351" i="5"/>
  <c r="AK247" i="5"/>
  <c r="AL247" i="5"/>
  <c r="AL289" i="5"/>
  <c r="AK289" i="5"/>
  <c r="AK241" i="5"/>
  <c r="AL241" i="5"/>
  <c r="AK57" i="5"/>
  <c r="AL57" i="5"/>
  <c r="AL198" i="5"/>
  <c r="AK198" i="5"/>
  <c r="AL46" i="5"/>
  <c r="AK46" i="5"/>
  <c r="AL268" i="5"/>
  <c r="AK268" i="5"/>
  <c r="AL199" i="5"/>
  <c r="AK199" i="5"/>
  <c r="AL154" i="5"/>
  <c r="AK154" i="5"/>
  <c r="AK173" i="5"/>
  <c r="AL173" i="5"/>
  <c r="AK274" i="5"/>
  <c r="AL274" i="5"/>
  <c r="AK547" i="5"/>
  <c r="AL547" i="5"/>
  <c r="AK496" i="5"/>
  <c r="AL496" i="5"/>
  <c r="AK388" i="5"/>
  <c r="AL388" i="5"/>
  <c r="AK325" i="5"/>
  <c r="AL325" i="5"/>
  <c r="AK119" i="5"/>
  <c r="AL119" i="5"/>
  <c r="AL262" i="5"/>
  <c r="AK262" i="5"/>
  <c r="AK216" i="5"/>
  <c r="AL216" i="5"/>
  <c r="AK238" i="5"/>
  <c r="AL238" i="5"/>
  <c r="AL148" i="5"/>
  <c r="AK148" i="5"/>
  <c r="AL307" i="5"/>
  <c r="AK307" i="5"/>
  <c r="AK239" i="5"/>
  <c r="AL239" i="5"/>
  <c r="AK89" i="5"/>
  <c r="AL89" i="5"/>
  <c r="AK101" i="5"/>
  <c r="AL101" i="5"/>
  <c r="AK59" i="5"/>
  <c r="AL59" i="5"/>
  <c r="AK548" i="5"/>
  <c r="AL548" i="5"/>
  <c r="AK499" i="5"/>
  <c r="AL499" i="5"/>
  <c r="AL435" i="5"/>
  <c r="AK435" i="5"/>
  <c r="AK303" i="5"/>
  <c r="AL303" i="5"/>
  <c r="AL417" i="5"/>
  <c r="AK417" i="5"/>
  <c r="AK349" i="5"/>
  <c r="AL349" i="5"/>
  <c r="AL269" i="5"/>
  <c r="AK269" i="5"/>
  <c r="AK543" i="5"/>
  <c r="AL543" i="5"/>
  <c r="AK494" i="5"/>
  <c r="AL494" i="5"/>
  <c r="AL383" i="5"/>
  <c r="AK383" i="5"/>
  <c r="AK321" i="5"/>
  <c r="AL321" i="5"/>
  <c r="AK324" i="5"/>
  <c r="AL324" i="5"/>
  <c r="AK260" i="5"/>
  <c r="AL260" i="5"/>
  <c r="AL212" i="5"/>
  <c r="AK212" i="5"/>
  <c r="AK235" i="5"/>
  <c r="AL235" i="5"/>
  <c r="AL139" i="5"/>
  <c r="AK139" i="5"/>
  <c r="AK302" i="5"/>
  <c r="AL302" i="5"/>
  <c r="AL233" i="5"/>
  <c r="AK233" i="5"/>
  <c r="AL62" i="5"/>
  <c r="AK62" i="5"/>
  <c r="AK97" i="5"/>
  <c r="AL97" i="5"/>
  <c r="AK33" i="5"/>
  <c r="AL33" i="5"/>
  <c r="AL432" i="5"/>
  <c r="AK432" i="5"/>
  <c r="AK88" i="5"/>
  <c r="AL88" i="5"/>
  <c r="AK280" i="5"/>
  <c r="AL280" i="5"/>
  <c r="AK19" i="5"/>
  <c r="AL19" i="5"/>
  <c r="AK137" i="5"/>
  <c r="AL137" i="5"/>
  <c r="AK542" i="5"/>
  <c r="AL542" i="5"/>
  <c r="AK74" i="5"/>
  <c r="AL74" i="5"/>
  <c r="AK149" i="5"/>
  <c r="AL149" i="5"/>
  <c r="AK272" i="5"/>
  <c r="AL272" i="5"/>
  <c r="AK418" i="5"/>
  <c r="AL418" i="5"/>
  <c r="AK360" i="5"/>
  <c r="AL360" i="5"/>
  <c r="AK261" i="5"/>
  <c r="AL261" i="5"/>
  <c r="AK204" i="5"/>
  <c r="AL204" i="5"/>
  <c r="AK116" i="5"/>
  <c r="AL116" i="5"/>
  <c r="AK487" i="5"/>
  <c r="AL487" i="5"/>
  <c r="AL438" i="5"/>
  <c r="AK438" i="5"/>
  <c r="AL416" i="5"/>
  <c r="AK416" i="5"/>
  <c r="AK353" i="5"/>
  <c r="AL353" i="5"/>
  <c r="AK248" i="5"/>
  <c r="AL248" i="5"/>
  <c r="AK42" i="5"/>
  <c r="AL42" i="5"/>
  <c r="AK22" i="5"/>
  <c r="AL22" i="5"/>
  <c r="AL334" i="5"/>
  <c r="AK334" i="5"/>
  <c r="AL78" i="5"/>
  <c r="AK78" i="5"/>
  <c r="AL434" i="5"/>
  <c r="AK434" i="5"/>
  <c r="AL560" i="5"/>
  <c r="AK560" i="5"/>
  <c r="AL293" i="5"/>
  <c r="AK293" i="5"/>
  <c r="AL236" i="5"/>
  <c r="AK236" i="5"/>
  <c r="AK408" i="5"/>
  <c r="AL408" i="5"/>
  <c r="AL431" i="5"/>
  <c r="AK431" i="5"/>
  <c r="AK345" i="5"/>
  <c r="AL345" i="5"/>
  <c r="AK539" i="5"/>
  <c r="AL539" i="5"/>
  <c r="AK317" i="5"/>
  <c r="AL317" i="5"/>
  <c r="AL208" i="5"/>
  <c r="AK208" i="5"/>
  <c r="AL131" i="5"/>
  <c r="AK131" i="5"/>
  <c r="AL52" i="5"/>
  <c r="AK52" i="5"/>
  <c r="AK523" i="5"/>
  <c r="AL523" i="5"/>
  <c r="AK277" i="5"/>
  <c r="AL277" i="5"/>
  <c r="AL246" i="5"/>
  <c r="AK246" i="5"/>
  <c r="AL73" i="5"/>
  <c r="AK73" i="5"/>
  <c r="AL162" i="5"/>
  <c r="AK162" i="5"/>
  <c r="AL344" i="5"/>
  <c r="AK344" i="5"/>
  <c r="AL403" i="5"/>
  <c r="AK403" i="5"/>
  <c r="AL318" i="5"/>
  <c r="AK318" i="5"/>
  <c r="AK519" i="5"/>
  <c r="AL519" i="5"/>
  <c r="AL264" i="5"/>
  <c r="AK264" i="5"/>
  <c r="AL67" i="5"/>
  <c r="AK67" i="5"/>
  <c r="AL55" i="5"/>
  <c r="AK55" i="5"/>
  <c r="AK203" i="5"/>
  <c r="AL203" i="5"/>
  <c r="AL497" i="5"/>
  <c r="AK497" i="5"/>
  <c r="AK340" i="5"/>
  <c r="AL340" i="5"/>
  <c r="AL446" i="5"/>
  <c r="AK446" i="5"/>
  <c r="AK183" i="5"/>
  <c r="AL183" i="5"/>
  <c r="AK311" i="5"/>
  <c r="AL311" i="5"/>
  <c r="AL145" i="5"/>
  <c r="AK145" i="5"/>
  <c r="AK426" i="5"/>
  <c r="AL426" i="5"/>
  <c r="AL486" i="5"/>
  <c r="AK486" i="5"/>
  <c r="AK220" i="5"/>
  <c r="AL220" i="5"/>
  <c r="AK58" i="5"/>
  <c r="AL58" i="5"/>
  <c r="AK498" i="5"/>
  <c r="AL498" i="5"/>
  <c r="AK386" i="5"/>
  <c r="AL386" i="5"/>
  <c r="AL454" i="5"/>
  <c r="AK454" i="5"/>
  <c r="AK240" i="5"/>
  <c r="AL240" i="5"/>
  <c r="AL167" i="5"/>
  <c r="AK167" i="5"/>
  <c r="AL372" i="5"/>
  <c r="AK372" i="5"/>
  <c r="AK449" i="5"/>
  <c r="AL449" i="5"/>
  <c r="AL551" i="5"/>
  <c r="AK551" i="5"/>
  <c r="AK72" i="5"/>
  <c r="AL72" i="5"/>
  <c r="AK51" i="5"/>
  <c r="AL51" i="5"/>
  <c r="AK90" i="5"/>
  <c r="AL90" i="5"/>
  <c r="AK108" i="5"/>
  <c r="AL108" i="5"/>
  <c r="AL128" i="5"/>
  <c r="AK128" i="5"/>
  <c r="AK350" i="5"/>
  <c r="AL350" i="5"/>
  <c r="AL492" i="5"/>
  <c r="AK492" i="5"/>
  <c r="AK304" i="5"/>
  <c r="AL304" i="5"/>
  <c r="AK442" i="5"/>
  <c r="AL442" i="5"/>
  <c r="AK41" i="5"/>
  <c r="AL41" i="5"/>
  <c r="AK473" i="5"/>
  <c r="AL473" i="5"/>
  <c r="AL424" i="5"/>
  <c r="AK424" i="5"/>
  <c r="AL504" i="5"/>
  <c r="AK504" i="5"/>
  <c r="AL332" i="5"/>
  <c r="AK332" i="5"/>
  <c r="AL357" i="5"/>
  <c r="AK357" i="5"/>
  <c r="AK485" i="5"/>
  <c r="AL485" i="5"/>
  <c r="AL256" i="5"/>
  <c r="AK256" i="5"/>
  <c r="AL297" i="5"/>
  <c r="AK297" i="5"/>
  <c r="AK98" i="5"/>
  <c r="AL98" i="5"/>
  <c r="AL104" i="5"/>
  <c r="AK104" i="5"/>
  <c r="AL187" i="5"/>
  <c r="AK187" i="5"/>
  <c r="AK397" i="5"/>
  <c r="AL397" i="5"/>
  <c r="AL510" i="5"/>
  <c r="AK510" i="5"/>
  <c r="AK356" i="5"/>
  <c r="AL356" i="5"/>
  <c r="AL468" i="5"/>
  <c r="AK468" i="5"/>
  <c r="AL329" i="5"/>
  <c r="AK329" i="5"/>
  <c r="AK512" i="5"/>
  <c r="AL512" i="5"/>
  <c r="AK441" i="5"/>
  <c r="AL441" i="5"/>
  <c r="AL532" i="5"/>
  <c r="AK532" i="5"/>
  <c r="AK407" i="5"/>
  <c r="AL407" i="5"/>
  <c r="AK387" i="5"/>
  <c r="AL387" i="5"/>
  <c r="AK525" i="5"/>
  <c r="AL525" i="5"/>
  <c r="AL299" i="5"/>
  <c r="AK299" i="5"/>
  <c r="AK83" i="5"/>
  <c r="AL83" i="5"/>
  <c r="AK45" i="5"/>
  <c r="AL45" i="5"/>
  <c r="AL100" i="5"/>
  <c r="AK100" i="5"/>
  <c r="AL130" i="5"/>
  <c r="AK130" i="5"/>
  <c r="AK132" i="5"/>
  <c r="AL132" i="5"/>
  <c r="AK136" i="5"/>
  <c r="AL136" i="5"/>
  <c r="AK366" i="5"/>
  <c r="AL366" i="5"/>
  <c r="AK506" i="5"/>
  <c r="AL506" i="5"/>
  <c r="AK348" i="5"/>
  <c r="AL348" i="5"/>
  <c r="AK450" i="5"/>
  <c r="AL450" i="5"/>
  <c r="AK263" i="5"/>
  <c r="AL263" i="5"/>
  <c r="AL500" i="5"/>
  <c r="AK500" i="5"/>
  <c r="AK437" i="5"/>
  <c r="AL437" i="5"/>
  <c r="AL520" i="5"/>
  <c r="AK520" i="5"/>
  <c r="AL393" i="5"/>
  <c r="AK393" i="5"/>
  <c r="AL373" i="5"/>
  <c r="AK373" i="5"/>
  <c r="AK513" i="5"/>
  <c r="AL513" i="5"/>
  <c r="AL283" i="5"/>
  <c r="AK283" i="5"/>
  <c r="AK36" i="5"/>
  <c r="AL36" i="5"/>
  <c r="AK161" i="5"/>
  <c r="AL161" i="5"/>
  <c r="AL144" i="5"/>
  <c r="AK144" i="5"/>
  <c r="AL508" i="5"/>
  <c r="AK508" i="5"/>
  <c r="AK447" i="5"/>
  <c r="AL447" i="5"/>
  <c r="AK378" i="5"/>
  <c r="AL378" i="5"/>
  <c r="AK429" i="5"/>
  <c r="AL429" i="5"/>
  <c r="AL361" i="5"/>
  <c r="AK361" i="5"/>
  <c r="AK288" i="5"/>
  <c r="AL288" i="5"/>
  <c r="AL555" i="5"/>
  <c r="AK555" i="5"/>
  <c r="AK507" i="5"/>
  <c r="AL507" i="5"/>
  <c r="AK394" i="5"/>
  <c r="AL394" i="5"/>
  <c r="AK335" i="5"/>
  <c r="AL335" i="5"/>
  <c r="AK179" i="5"/>
  <c r="AL179" i="5"/>
  <c r="AK273" i="5"/>
  <c r="AL273" i="5"/>
  <c r="AK225" i="5"/>
  <c r="AL225" i="5"/>
  <c r="AK242" i="5"/>
  <c r="AL242" i="5"/>
  <c r="AK182" i="5"/>
  <c r="AL182" i="5"/>
  <c r="AL315" i="5"/>
  <c r="AK315" i="5"/>
  <c r="AK251" i="5"/>
  <c r="AL251" i="5"/>
  <c r="AK181" i="5"/>
  <c r="AL181" i="5"/>
  <c r="AK117" i="5"/>
  <c r="AL117" i="5"/>
  <c r="AK91" i="5"/>
  <c r="AL91" i="5"/>
  <c r="AK230" i="5"/>
  <c r="AL230" i="5"/>
  <c r="AK533" i="5"/>
  <c r="AL533" i="5"/>
  <c r="AL480" i="5"/>
  <c r="AK480" i="5"/>
  <c r="AL375" i="5"/>
  <c r="AK375" i="5"/>
  <c r="AL309" i="5"/>
  <c r="AK309" i="5"/>
  <c r="AL312" i="5"/>
  <c r="AK312" i="5"/>
  <c r="AL254" i="5"/>
  <c r="AK254" i="5"/>
  <c r="AK200" i="5"/>
  <c r="AL200" i="5"/>
  <c r="AK222" i="5"/>
  <c r="AL222" i="5"/>
  <c r="AK115" i="5"/>
  <c r="AL115" i="5"/>
  <c r="AK291" i="5"/>
  <c r="AL291" i="5"/>
  <c r="AL223" i="5"/>
  <c r="AK223" i="5"/>
  <c r="AK180" i="5"/>
  <c r="AL180" i="5"/>
  <c r="AK66" i="5"/>
  <c r="AL66" i="5"/>
  <c r="AL376" i="5"/>
  <c r="AK376" i="5"/>
  <c r="AL540" i="5"/>
  <c r="AK540" i="5"/>
  <c r="AL483" i="5"/>
  <c r="AK483" i="5"/>
  <c r="AK419" i="5"/>
  <c r="AL419" i="5"/>
  <c r="AL271" i="5"/>
  <c r="AK271" i="5"/>
  <c r="AK401" i="5"/>
  <c r="AL401" i="5"/>
  <c r="AL333" i="5"/>
  <c r="AK333" i="5"/>
  <c r="AK221" i="5"/>
  <c r="AL221" i="5"/>
  <c r="AK529" i="5"/>
  <c r="AL529" i="5"/>
  <c r="AL478" i="5"/>
  <c r="AK478" i="5"/>
  <c r="AK371" i="5"/>
  <c r="AL371" i="5"/>
  <c r="AK296" i="5"/>
  <c r="AL296" i="5"/>
  <c r="AL308" i="5"/>
  <c r="AK308" i="5"/>
  <c r="AL252" i="5"/>
  <c r="AK252" i="5"/>
  <c r="AK193" i="5"/>
  <c r="AL193" i="5"/>
  <c r="AK218" i="5"/>
  <c r="AL218" i="5"/>
  <c r="AK107" i="5"/>
  <c r="AL107" i="5"/>
  <c r="AL286" i="5"/>
  <c r="AK286" i="5"/>
  <c r="AL219" i="5"/>
  <c r="AK219" i="5"/>
  <c r="AL176" i="5"/>
  <c r="AK176" i="5"/>
  <c r="AL64" i="5"/>
  <c r="AK64" i="5"/>
  <c r="B47" i="2"/>
  <c r="H20" i="1"/>
  <c r="G21" i="1"/>
  <c r="I23" i="1"/>
  <c r="I22" i="1"/>
  <c r="K25" i="2"/>
  <c r="BE7" i="5" l="1"/>
  <c r="BD86" i="5"/>
  <c r="BE462" i="5"/>
  <c r="BD214" i="5"/>
  <c r="BD264" i="5"/>
  <c r="BD560" i="5"/>
  <c r="BE22" i="5"/>
  <c r="BE144" i="5"/>
  <c r="BE219" i="5"/>
  <c r="BE45" i="5"/>
  <c r="BE316" i="5"/>
  <c r="BE83" i="5"/>
  <c r="BD269" i="5"/>
  <c r="BD180" i="5"/>
  <c r="BE38" i="5"/>
  <c r="BE51" i="5"/>
  <c r="BE537" i="5"/>
  <c r="BD130" i="5"/>
  <c r="BD164" i="5"/>
  <c r="BD315" i="5"/>
  <c r="BD305" i="5"/>
  <c r="BD262" i="5"/>
  <c r="BE299" i="5"/>
  <c r="BE27" i="5"/>
  <c r="BD64" i="5"/>
  <c r="BE44" i="5"/>
  <c r="BE283" i="5"/>
  <c r="BD112" i="5"/>
  <c r="BD223" i="5"/>
  <c r="BE41" i="5"/>
  <c r="BD191" i="5"/>
  <c r="BE296" i="5"/>
  <c r="BE8" i="5"/>
  <c r="BD352" i="5"/>
  <c r="BE230" i="5"/>
  <c r="BE156" i="5"/>
  <c r="BD156" i="5"/>
  <c r="BE208" i="5"/>
  <c r="BD208" i="5"/>
  <c r="BE103" i="5"/>
  <c r="BE246" i="5"/>
  <c r="BE533" i="5"/>
  <c r="BD263" i="5"/>
  <c r="BE68" i="5"/>
  <c r="BD68" i="5"/>
  <c r="BE476" i="5"/>
  <c r="BD476" i="5"/>
  <c r="BE81" i="5"/>
  <c r="BD81" i="5"/>
  <c r="BE31" i="5"/>
  <c r="BD31" i="5"/>
  <c r="BE290" i="5"/>
  <c r="BD290" i="5"/>
  <c r="BD295" i="5"/>
  <c r="BE295" i="5"/>
  <c r="BD346" i="5"/>
  <c r="BE346" i="5"/>
  <c r="BE235" i="5"/>
  <c r="BD235" i="5"/>
  <c r="BD284" i="5"/>
  <c r="BE284" i="5"/>
  <c r="BE559" i="5"/>
  <c r="BD559" i="5"/>
  <c r="BD183" i="5"/>
  <c r="BE183" i="5"/>
  <c r="BD159" i="5"/>
  <c r="BE159" i="5"/>
  <c r="BE119" i="5"/>
  <c r="BD158" i="5"/>
  <c r="BE453" i="5"/>
  <c r="BD66" i="5"/>
  <c r="BD369" i="5"/>
  <c r="BE306" i="5"/>
  <c r="BE236" i="5"/>
  <c r="BD470" i="5"/>
  <c r="BD387" i="5"/>
  <c r="BE387" i="5"/>
  <c r="BD487" i="5"/>
  <c r="BE487" i="5"/>
  <c r="BD209" i="5"/>
  <c r="BE209" i="5"/>
  <c r="BE298" i="5"/>
  <c r="BD298" i="5"/>
  <c r="BD437" i="5"/>
  <c r="BE437" i="5"/>
  <c r="BD213" i="5"/>
  <c r="BE213" i="5"/>
  <c r="BD206" i="5"/>
  <c r="BE206" i="5"/>
  <c r="BE211" i="5"/>
  <c r="BD211" i="5"/>
  <c r="BD152" i="5"/>
  <c r="BE152" i="5"/>
  <c r="BE225" i="5"/>
  <c r="BD225" i="5"/>
  <c r="BD101" i="5"/>
  <c r="BE101" i="5"/>
  <c r="BE273" i="5"/>
  <c r="BD273" i="5"/>
  <c r="BD360" i="5"/>
  <c r="BE360" i="5"/>
  <c r="BE92" i="5"/>
  <c r="BD92" i="5"/>
  <c r="BE52" i="5"/>
  <c r="BD52" i="5"/>
  <c r="BE189" i="5"/>
  <c r="BD189" i="5"/>
  <c r="BE30" i="5"/>
  <c r="BD30" i="5"/>
  <c r="BD24" i="5"/>
  <c r="BE24" i="5"/>
  <c r="BD39" i="5"/>
  <c r="BE39" i="5"/>
  <c r="BE268" i="5"/>
  <c r="BD268" i="5"/>
  <c r="BD60" i="5"/>
  <c r="BE60" i="5"/>
  <c r="BE241" i="5"/>
  <c r="BD241" i="5"/>
  <c r="BD169" i="5"/>
  <c r="BE169" i="5"/>
  <c r="BE131" i="5"/>
  <c r="BD131" i="5"/>
  <c r="BD238" i="5"/>
  <c r="BE238" i="5"/>
  <c r="BD116" i="5"/>
  <c r="BE116" i="5"/>
  <c r="BE227" i="5"/>
  <c r="BD227" i="5"/>
  <c r="BE313" i="5"/>
  <c r="BD313" i="5"/>
  <c r="BD172" i="5"/>
  <c r="BE172" i="5"/>
  <c r="BE324" i="5"/>
  <c r="BD324" i="5"/>
  <c r="BD148" i="5"/>
  <c r="BE148" i="5"/>
  <c r="BD178" i="5"/>
  <c r="BE178" i="5"/>
  <c r="BE29" i="5"/>
  <c r="BD29" i="5"/>
  <c r="BD109" i="5"/>
  <c r="BE109" i="5"/>
  <c r="BE240" i="5"/>
  <c r="BD240" i="5"/>
  <c r="BD26" i="5"/>
  <c r="BE26" i="5"/>
  <c r="BE351" i="5"/>
  <c r="BD351" i="5"/>
  <c r="BD132" i="5"/>
  <c r="BE132" i="5"/>
  <c r="BE150" i="5"/>
  <c r="BD150" i="5"/>
  <c r="BD424" i="5"/>
  <c r="BE424" i="5"/>
  <c r="BD147" i="5"/>
  <c r="BE147" i="5"/>
  <c r="BE117" i="5"/>
  <c r="BD117" i="5"/>
  <c r="BD139" i="5"/>
  <c r="BE139" i="5"/>
  <c r="BE401" i="5"/>
  <c r="BD401" i="5"/>
  <c r="BE190" i="5"/>
  <c r="BD190" i="5"/>
  <c r="BD363" i="5"/>
  <c r="BE363" i="5"/>
  <c r="BE255" i="5"/>
  <c r="BD255" i="5"/>
  <c r="BE332" i="5"/>
  <c r="BD332" i="5"/>
  <c r="BD19" i="5"/>
  <c r="BE19" i="5"/>
  <c r="BD276" i="5"/>
  <c r="BE276" i="5"/>
  <c r="BD546" i="5"/>
  <c r="BE546" i="5"/>
  <c r="BE73" i="5"/>
  <c r="BD73" i="5"/>
  <c r="BD251" i="5"/>
  <c r="BE251" i="5"/>
  <c r="BD450" i="5"/>
  <c r="BE450" i="5"/>
  <c r="BD553" i="5"/>
  <c r="BE553" i="5"/>
  <c r="BE309" i="5"/>
  <c r="BD309" i="5"/>
  <c r="BE545" i="5"/>
  <c r="BD545" i="5"/>
  <c r="BE465" i="5"/>
  <c r="BD465" i="5"/>
  <c r="BD288" i="5"/>
  <c r="BE288" i="5"/>
  <c r="BE232" i="5"/>
  <c r="BD232" i="5"/>
  <c r="BD137" i="5"/>
  <c r="BE137" i="5"/>
  <c r="BE76" i="5"/>
  <c r="BD76" i="5"/>
  <c r="BD274" i="5"/>
  <c r="BE274" i="5"/>
  <c r="BD105" i="5"/>
  <c r="BE105" i="5"/>
  <c r="BE326" i="5"/>
  <c r="BD326" i="5"/>
  <c r="BE121" i="5"/>
  <c r="BD121" i="5"/>
  <c r="BE201" i="5"/>
  <c r="BD201" i="5"/>
  <c r="BD111" i="5"/>
  <c r="BE111" i="5"/>
  <c r="BE110" i="5"/>
  <c r="BD110" i="5"/>
  <c r="BE184" i="5"/>
  <c r="BD184" i="5"/>
  <c r="BE157" i="5"/>
  <c r="BD157" i="5"/>
  <c r="BE202" i="5"/>
  <c r="BD202" i="5"/>
  <c r="BE199" i="5"/>
  <c r="BD199" i="5"/>
  <c r="BD154" i="5"/>
  <c r="BE154" i="5"/>
  <c r="BE243" i="5"/>
  <c r="BD243" i="5"/>
  <c r="BE317" i="5"/>
  <c r="BD317" i="5"/>
  <c r="BD126" i="5"/>
  <c r="BE126" i="5"/>
  <c r="BD412" i="5"/>
  <c r="BE412" i="5"/>
  <c r="BD289" i="5"/>
  <c r="BE289" i="5"/>
  <c r="BD136" i="5"/>
  <c r="BE136" i="5"/>
  <c r="BE411" i="5"/>
  <c r="BD411" i="5"/>
  <c r="BD160" i="5"/>
  <c r="BE160" i="5"/>
  <c r="BD279" i="5"/>
  <c r="BE279" i="5"/>
  <c r="BE194" i="5"/>
  <c r="BD194" i="5"/>
  <c r="BD212" i="5"/>
  <c r="BE212" i="5"/>
  <c r="BE91" i="5"/>
  <c r="BD91" i="5"/>
  <c r="BD414" i="5"/>
  <c r="BE414" i="5"/>
  <c r="BD501" i="5"/>
  <c r="BE501" i="5"/>
  <c r="BD477" i="5"/>
  <c r="BE477" i="5"/>
  <c r="BD432" i="5"/>
  <c r="BE432" i="5"/>
  <c r="BD108" i="5"/>
  <c r="BE108" i="5"/>
  <c r="BD89" i="5"/>
  <c r="BE89" i="5"/>
  <c r="BE314" i="5"/>
  <c r="BD314" i="5"/>
  <c r="BE74" i="5"/>
  <c r="BD74" i="5"/>
  <c r="BE323" i="5"/>
  <c r="BD323" i="5"/>
  <c r="BD32" i="5"/>
  <c r="BE32" i="5"/>
  <c r="BE134" i="5"/>
  <c r="BD134" i="5"/>
  <c r="BE261" i="5"/>
  <c r="BD261" i="5"/>
  <c r="BD532" i="5"/>
  <c r="BE532" i="5"/>
  <c r="BE478" i="5"/>
  <c r="BD478" i="5"/>
  <c r="BD392" i="5"/>
  <c r="BE392" i="5"/>
  <c r="BD242" i="5"/>
  <c r="BE242" i="5"/>
  <c r="BD226" i="5"/>
  <c r="BE226" i="5"/>
  <c r="BD285" i="5"/>
  <c r="BE285" i="5"/>
  <c r="BD491" i="5"/>
  <c r="BE491" i="5"/>
  <c r="BD249" i="5"/>
  <c r="BE249" i="5"/>
  <c r="BD69" i="5"/>
  <c r="BE69" i="5"/>
  <c r="BE174" i="5"/>
  <c r="BD174" i="5"/>
  <c r="BE171" i="5"/>
  <c r="BD171" i="5"/>
  <c r="BE125" i="5"/>
  <c r="BD125" i="5"/>
  <c r="BD118" i="5"/>
  <c r="BE118" i="5"/>
  <c r="BD88" i="5"/>
  <c r="BE88" i="5"/>
  <c r="BD40" i="5"/>
  <c r="BE40" i="5"/>
  <c r="BD247" i="5"/>
  <c r="BE247" i="5"/>
  <c r="BD56" i="5"/>
  <c r="BE56" i="5"/>
  <c r="BD47" i="5"/>
  <c r="BE47" i="5"/>
  <c r="BD85" i="5"/>
  <c r="BE85" i="5"/>
  <c r="BE302" i="5"/>
  <c r="BD302" i="5"/>
  <c r="BE265" i="5"/>
  <c r="BD265" i="5"/>
  <c r="BD161" i="5"/>
  <c r="BE161" i="5"/>
  <c r="BD185" i="5"/>
  <c r="BE185" i="5"/>
  <c r="BD221" i="5"/>
  <c r="BE163" i="5"/>
  <c r="BE234" i="5"/>
  <c r="BD115" i="5"/>
  <c r="BE122" i="5"/>
  <c r="BD166" i="5"/>
  <c r="BD84" i="5"/>
  <c r="BD23" i="5"/>
  <c r="BE536" i="5"/>
  <c r="BD543" i="5"/>
  <c r="BE469" i="5"/>
  <c r="BE481" i="5"/>
  <c r="BD329" i="5"/>
  <c r="BD138" i="5"/>
  <c r="BE138" i="5"/>
  <c r="BD140" i="5"/>
  <c r="BE140" i="5"/>
  <c r="BE245" i="5"/>
  <c r="BD145" i="5"/>
  <c r="BE145" i="5"/>
  <c r="BE149" i="5"/>
  <c r="BD149" i="5"/>
  <c r="BE75" i="5"/>
  <c r="BD97" i="5"/>
  <c r="BE43" i="5"/>
  <c r="BD71" i="5"/>
  <c r="BE338" i="5"/>
  <c r="BE168" i="5"/>
  <c r="BD210" i="5"/>
  <c r="BD72" i="5"/>
  <c r="BE72" i="5"/>
  <c r="BE393" i="5"/>
  <c r="BE113" i="5"/>
  <c r="BE65" i="5"/>
  <c r="BE356" i="5"/>
  <c r="BE521" i="5"/>
  <c r="BD555" i="5"/>
  <c r="BD80" i="5"/>
  <c r="BE80" i="5"/>
  <c r="BE197" i="5"/>
  <c r="BD197" i="5"/>
  <c r="BD495" i="5"/>
  <c r="BD175" i="5"/>
  <c r="BE141" i="5"/>
  <c r="BE278" i="5"/>
  <c r="BE34" i="5"/>
  <c r="BE337" i="5"/>
  <c r="BD549" i="5"/>
  <c r="BE70" i="5"/>
  <c r="BD21" i="5"/>
  <c r="BE379" i="5"/>
  <c r="BD379" i="5"/>
  <c r="BE61" i="5"/>
  <c r="BD344" i="5"/>
  <c r="BE286" i="5"/>
  <c r="BD286" i="5"/>
  <c r="BD300" i="5"/>
  <c r="BE90" i="5"/>
  <c r="BD90" i="5"/>
  <c r="BE440" i="5"/>
  <c r="BD440" i="5"/>
  <c r="BD231" i="5"/>
  <c r="BD188" i="5"/>
  <c r="BE303" i="5"/>
  <c r="BD303" i="5"/>
  <c r="BE244" i="5"/>
  <c r="BD244" i="5"/>
  <c r="BE193" i="5"/>
  <c r="BD193" i="5"/>
  <c r="BD229" i="5"/>
  <c r="BE229" i="5"/>
  <c r="BD405" i="5"/>
  <c r="BE405" i="5"/>
  <c r="BD275" i="5"/>
  <c r="BE275" i="5"/>
  <c r="BE294" i="5"/>
  <c r="BD294" i="5"/>
  <c r="BE182" i="5"/>
  <c r="BD182" i="5"/>
  <c r="BE365" i="5"/>
  <c r="BD365" i="5"/>
  <c r="BE445" i="5"/>
  <c r="BD445" i="5"/>
  <c r="BE515" i="5"/>
  <c r="BD515" i="5"/>
  <c r="BE448" i="5"/>
  <c r="BD448" i="5"/>
  <c r="BD106" i="5"/>
  <c r="BE106" i="5"/>
  <c r="BD282" i="5"/>
  <c r="BE282" i="5"/>
  <c r="BD239" i="5"/>
  <c r="BE239" i="5"/>
  <c r="BE505" i="5"/>
  <c r="BD505" i="5"/>
  <c r="BD396" i="5"/>
  <c r="BE396" i="5"/>
  <c r="BE407" i="5"/>
  <c r="BD407" i="5"/>
  <c r="BD547" i="5"/>
  <c r="BE547" i="5"/>
  <c r="BE94" i="5"/>
  <c r="BD46" i="5"/>
  <c r="BE46" i="5"/>
  <c r="BE162" i="5"/>
  <c r="BD162" i="5"/>
  <c r="BD167" i="5"/>
  <c r="BE167" i="5"/>
  <c r="BE277" i="5"/>
  <c r="BD277" i="5"/>
  <c r="BD340" i="5"/>
  <c r="BE340" i="5"/>
  <c r="BD409" i="5"/>
  <c r="BE409" i="5"/>
  <c r="BD496" i="5"/>
  <c r="BE496" i="5"/>
  <c r="BE475" i="5"/>
  <c r="BD475" i="5"/>
  <c r="BD362" i="5"/>
  <c r="BE362" i="5"/>
  <c r="BE410" i="5"/>
  <c r="BD410" i="5"/>
  <c r="BE361" i="5"/>
  <c r="BD361" i="5"/>
  <c r="BE433" i="5"/>
  <c r="BD433" i="5"/>
  <c r="BD473" i="5"/>
  <c r="BE473" i="5"/>
  <c r="BD517" i="5"/>
  <c r="BE517" i="5"/>
  <c r="BD493" i="5"/>
  <c r="BE493" i="5"/>
  <c r="BD339" i="5"/>
  <c r="BE339" i="5"/>
  <c r="BD280" i="5"/>
  <c r="BE280" i="5"/>
  <c r="BD124" i="5"/>
  <c r="BE124" i="5"/>
  <c r="BE461" i="5"/>
  <c r="BD461" i="5"/>
  <c r="BE358" i="5"/>
  <c r="BD358" i="5"/>
  <c r="BD457" i="5"/>
  <c r="BE457" i="5"/>
  <c r="BD348" i="5"/>
  <c r="BE348" i="5"/>
  <c r="BD256" i="5"/>
  <c r="BE256" i="5"/>
  <c r="BE503" i="5"/>
  <c r="BD503" i="5"/>
  <c r="BE58" i="5"/>
  <c r="BD58" i="5"/>
  <c r="BD187" i="5"/>
  <c r="BE187" i="5"/>
  <c r="BD20" i="5"/>
  <c r="BE20" i="5"/>
  <c r="BD416" i="5"/>
  <c r="BE416" i="5"/>
  <c r="BD57" i="5"/>
  <c r="BE57" i="5"/>
  <c r="BD355" i="5"/>
  <c r="BE355" i="5"/>
  <c r="BE62" i="5"/>
  <c r="BD62" i="5"/>
  <c r="BD128" i="5"/>
  <c r="BE128" i="5"/>
  <c r="BE376" i="5"/>
  <c r="BD376" i="5"/>
  <c r="BD527" i="5"/>
  <c r="BE527" i="5"/>
  <c r="BD431" i="5"/>
  <c r="BE431" i="5"/>
  <c r="BD439" i="5"/>
  <c r="BE439" i="5"/>
  <c r="BE492" i="5"/>
  <c r="BD492" i="5"/>
  <c r="BE541" i="5"/>
  <c r="BD541" i="5"/>
  <c r="BD447" i="5"/>
  <c r="BE447" i="5"/>
  <c r="BE28" i="5"/>
  <c r="BD28" i="5"/>
  <c r="BE181" i="5"/>
  <c r="BD181" i="5"/>
  <c r="BD95" i="5"/>
  <c r="BE95" i="5"/>
  <c r="BD120" i="5"/>
  <c r="BE120" i="5"/>
  <c r="BE413" i="5"/>
  <c r="BD413" i="5"/>
  <c r="V13" i="5"/>
  <c r="U13" i="5"/>
  <c r="BE96" i="5"/>
  <c r="BD96" i="5"/>
  <c r="BE331" i="5"/>
  <c r="BD331" i="5"/>
  <c r="BE377" i="5"/>
  <c r="BD377" i="5"/>
  <c r="BD186" i="5"/>
  <c r="BE186" i="5"/>
  <c r="BE293" i="5"/>
  <c r="BD293" i="5"/>
  <c r="BE406" i="5"/>
  <c r="BD406" i="5"/>
  <c r="BD415" i="5"/>
  <c r="BE415" i="5"/>
  <c r="BE402" i="5"/>
  <c r="BD402" i="5"/>
  <c r="BD420" i="5"/>
  <c r="BE420" i="5"/>
  <c r="BE449" i="5"/>
  <c r="BD449" i="5"/>
  <c r="BD464" i="5"/>
  <c r="BE464" i="5"/>
  <c r="BD531" i="5"/>
  <c r="BE531" i="5"/>
  <c r="BE529" i="5"/>
  <c r="BD529" i="5"/>
  <c r="BD176" i="5"/>
  <c r="BE176" i="5"/>
  <c r="BE253" i="5"/>
  <c r="BD253" i="5"/>
  <c r="BE370" i="5"/>
  <c r="BD370" i="5"/>
  <c r="BE389" i="5"/>
  <c r="BD389" i="5"/>
  <c r="BE417" i="5"/>
  <c r="BD417" i="5"/>
  <c r="BE514" i="5"/>
  <c r="BD514" i="5"/>
  <c r="BD530" i="5"/>
  <c r="BE530" i="5"/>
  <c r="BE364" i="5"/>
  <c r="BD364" i="5"/>
  <c r="BE107" i="5"/>
  <c r="BD107" i="5"/>
  <c r="BD271" i="5"/>
  <c r="BE271" i="5"/>
  <c r="BE104" i="5"/>
  <c r="BD104" i="5"/>
  <c r="BE165" i="5"/>
  <c r="BD165" i="5"/>
  <c r="BE291" i="5"/>
  <c r="BD291" i="5"/>
  <c r="BD544" i="5"/>
  <c r="BE544" i="5"/>
  <c r="BE451" i="5"/>
  <c r="BD451" i="5"/>
  <c r="BE472" i="5"/>
  <c r="BD472" i="5"/>
  <c r="BD155" i="5"/>
  <c r="BE155" i="5"/>
  <c r="BE67" i="5"/>
  <c r="BD67" i="5"/>
  <c r="BE423" i="5"/>
  <c r="BD423" i="5"/>
  <c r="BD539" i="5"/>
  <c r="BE539" i="5"/>
  <c r="BD436" i="5"/>
  <c r="BE436" i="5"/>
  <c r="BE397" i="5"/>
  <c r="BD397" i="5"/>
  <c r="BE467" i="5"/>
  <c r="BD467" i="5"/>
  <c r="BE347" i="5"/>
  <c r="BD347" i="5"/>
  <c r="BE330" i="5"/>
  <c r="BD330" i="5"/>
  <c r="BD304" i="5"/>
  <c r="BE304" i="5"/>
  <c r="BE153" i="5"/>
  <c r="BD153" i="5"/>
  <c r="BD500" i="5"/>
  <c r="BE500" i="5"/>
  <c r="BE391" i="5"/>
  <c r="BD391" i="5"/>
  <c r="BD554" i="5"/>
  <c r="BE554" i="5"/>
  <c r="BD502" i="5"/>
  <c r="BE502" i="5"/>
  <c r="BD33" i="5"/>
  <c r="BE33" i="5"/>
  <c r="BE403" i="5"/>
  <c r="BD403" i="5"/>
  <c r="BD318" i="5"/>
  <c r="BE318" i="5"/>
  <c r="BE372" i="5"/>
  <c r="BD372" i="5"/>
  <c r="BD322" i="5"/>
  <c r="BE322" i="5"/>
  <c r="BE129" i="5"/>
  <c r="BD129" i="5"/>
  <c r="BE312" i="5"/>
  <c r="BD312" i="5"/>
  <c r="BD480" i="5"/>
  <c r="BE480" i="5"/>
  <c r="BD205" i="5"/>
  <c r="BE205" i="5"/>
  <c r="BE224" i="5"/>
  <c r="BD224" i="5"/>
  <c r="BD333" i="5"/>
  <c r="BE333" i="5"/>
  <c r="BD37" i="5"/>
  <c r="BE37" i="5"/>
  <c r="BD408" i="5"/>
  <c r="BE408" i="5"/>
  <c r="BD320" i="5"/>
  <c r="BE320" i="5"/>
  <c r="BE343" i="5"/>
  <c r="BD343" i="5"/>
  <c r="BD425" i="5"/>
  <c r="BE425" i="5"/>
  <c r="BD516" i="5"/>
  <c r="BE516" i="5"/>
  <c r="BD520" i="5"/>
  <c r="BE520" i="5"/>
  <c r="BD368" i="5"/>
  <c r="BE368" i="5"/>
  <c r="BD367" i="5"/>
  <c r="BE367" i="5"/>
  <c r="BE435" i="5"/>
  <c r="BD435" i="5"/>
  <c r="BD486" i="5"/>
  <c r="BE486" i="5"/>
  <c r="BE386" i="5"/>
  <c r="BD386" i="5"/>
  <c r="BE468" i="5"/>
  <c r="BD468" i="5"/>
  <c r="BD135" i="5"/>
  <c r="BE135" i="5"/>
  <c r="BD525" i="5"/>
  <c r="BE525" i="5"/>
  <c r="BE228" i="5"/>
  <c r="BD228" i="5"/>
  <c r="BE327" i="5"/>
  <c r="BD327" i="5"/>
  <c r="BD77" i="5"/>
  <c r="BE77" i="5"/>
  <c r="BE349" i="5"/>
  <c r="BD349" i="5"/>
  <c r="BD383" i="5"/>
  <c r="BE383" i="5"/>
  <c r="BD354" i="5"/>
  <c r="BE354" i="5"/>
  <c r="BE490" i="5"/>
  <c r="BD490" i="5"/>
  <c r="BE400" i="5"/>
  <c r="BD400" i="5"/>
  <c r="BD373" i="5"/>
  <c r="BE373" i="5"/>
  <c r="BE99" i="5"/>
  <c r="BD99" i="5"/>
  <c r="BE328" i="5"/>
  <c r="BD328" i="5"/>
  <c r="BE345" i="5"/>
  <c r="BD345" i="5"/>
  <c r="BD203" i="5"/>
  <c r="BE203" i="5"/>
  <c r="BD359" i="5"/>
  <c r="BE359" i="5"/>
  <c r="BD63" i="5"/>
  <c r="BE63" i="5"/>
  <c r="BE419" i="5"/>
  <c r="BD419" i="5"/>
  <c r="BD215" i="5"/>
  <c r="BE215" i="5"/>
  <c r="BD394" i="5"/>
  <c r="BE394" i="5"/>
  <c r="BD418" i="5"/>
  <c r="BE418" i="5"/>
  <c r="BD442" i="5"/>
  <c r="BE442" i="5"/>
  <c r="BE504" i="5"/>
  <c r="BD504" i="5"/>
  <c r="BD381" i="5"/>
  <c r="BE381" i="5"/>
  <c r="BD428" i="5"/>
  <c r="BE428" i="5"/>
  <c r="BE484" i="5"/>
  <c r="BD484" i="5"/>
  <c r="BD452" i="5"/>
  <c r="BE452" i="5"/>
  <c r="BE429" i="5"/>
  <c r="BD429" i="5"/>
  <c r="BE459" i="5"/>
  <c r="BD459" i="5"/>
  <c r="BE388" i="5"/>
  <c r="BD388" i="5"/>
  <c r="BD266" i="5"/>
  <c r="BE266" i="5"/>
  <c r="BD207" i="5"/>
  <c r="BE207" i="5"/>
  <c r="BE319" i="5"/>
  <c r="BD319" i="5"/>
  <c r="BE390" i="5"/>
  <c r="BD390" i="5"/>
  <c r="BD556" i="5"/>
  <c r="BE556" i="5"/>
  <c r="BD218" i="5"/>
  <c r="BE218" i="5"/>
  <c r="AX13" i="5"/>
  <c r="AY13" i="5"/>
  <c r="BE143" i="5"/>
  <c r="BD143" i="5"/>
  <c r="BE146" i="5"/>
  <c r="BD146" i="5"/>
  <c r="BE307" i="5"/>
  <c r="BD307" i="5"/>
  <c r="BD494" i="5"/>
  <c r="BE494" i="5"/>
  <c r="BD538" i="5"/>
  <c r="BE538" i="5"/>
  <c r="BE444" i="5"/>
  <c r="BD444" i="5"/>
  <c r="BE499" i="5"/>
  <c r="BD499" i="5"/>
  <c r="BE342" i="5"/>
  <c r="BD342" i="5"/>
  <c r="BD506" i="5"/>
  <c r="BE506" i="5"/>
  <c r="BD548" i="5"/>
  <c r="BE548" i="5"/>
  <c r="BE456" i="5"/>
  <c r="BD456" i="5"/>
  <c r="BD471" i="5"/>
  <c r="BE471" i="5"/>
  <c r="BD421" i="5"/>
  <c r="BE421" i="5"/>
  <c r="BE297" i="5"/>
  <c r="BD297" i="5"/>
  <c r="BD260" i="5"/>
  <c r="BE260" i="5"/>
  <c r="BE142" i="5"/>
  <c r="BD142" i="5"/>
  <c r="BD512" i="5"/>
  <c r="BE512" i="5"/>
  <c r="BD558" i="5"/>
  <c r="BE558" i="5"/>
  <c r="BE511" i="5"/>
  <c r="BD511" i="5"/>
  <c r="BD200" i="5"/>
  <c r="BE200" i="5"/>
  <c r="BD334" i="5"/>
  <c r="BE334" i="5"/>
  <c r="BD466" i="5"/>
  <c r="BE466" i="5"/>
  <c r="BD522" i="5"/>
  <c r="BE522" i="5"/>
  <c r="BE524" i="5"/>
  <c r="BD524" i="5"/>
  <c r="BD509" i="5"/>
  <c r="BE509" i="5"/>
  <c r="BE485" i="5"/>
  <c r="BD485" i="5"/>
  <c r="BE220" i="5"/>
  <c r="BD220" i="5"/>
  <c r="BD341" i="5"/>
  <c r="BE341" i="5"/>
  <c r="BD321" i="5"/>
  <c r="BE321" i="5"/>
  <c r="BD385" i="5"/>
  <c r="BE385" i="5"/>
  <c r="BD488" i="5"/>
  <c r="BE488" i="5"/>
  <c r="BD398" i="5"/>
  <c r="BE398" i="5"/>
  <c r="BD430" i="5"/>
  <c r="BE430" i="5"/>
  <c r="BD93" i="5"/>
  <c r="BE93" i="5"/>
  <c r="BD519" i="5"/>
  <c r="BE519" i="5"/>
  <c r="BE474" i="5"/>
  <c r="BD474" i="5"/>
  <c r="BE310" i="5"/>
  <c r="BD310" i="5"/>
  <c r="BE357" i="5"/>
  <c r="BD357" i="5"/>
  <c r="AU13" i="5"/>
  <c r="AV13" i="5"/>
  <c r="BC13" i="5"/>
  <c r="BE434" i="5"/>
  <c r="BD434" i="5"/>
  <c r="BE250" i="5"/>
  <c r="BD250" i="5"/>
  <c r="BD336" i="5"/>
  <c r="BE336" i="5"/>
  <c r="BD460" i="5"/>
  <c r="BE460" i="5"/>
  <c r="BE557" i="5"/>
  <c r="BD557" i="5"/>
  <c r="BD542" i="5"/>
  <c r="BE542" i="5"/>
  <c r="BD384" i="5"/>
  <c r="BE384" i="5"/>
  <c r="BE267" i="5"/>
  <c r="BD267" i="5"/>
  <c r="BD179" i="5"/>
  <c r="BE179" i="5"/>
  <c r="BE272" i="5"/>
  <c r="BD272" i="5"/>
  <c r="BE123" i="5"/>
  <c r="BD123" i="5"/>
  <c r="BD87" i="5"/>
  <c r="BE87" i="5"/>
  <c r="BD50" i="5"/>
  <c r="BE50" i="5"/>
  <c r="BE252" i="5"/>
  <c r="BD252" i="5"/>
  <c r="BE311" i="5"/>
  <c r="BD311" i="5"/>
  <c r="BE380" i="5"/>
  <c r="BD380" i="5"/>
  <c r="BD254" i="5"/>
  <c r="BE254" i="5"/>
  <c r="BE399" i="5"/>
  <c r="BD399" i="5"/>
  <c r="BD49" i="5"/>
  <c r="BE49" i="5"/>
  <c r="BE192" i="5"/>
  <c r="BD192" i="5"/>
  <c r="BE350" i="5"/>
  <c r="BD350" i="5"/>
  <c r="BE42" i="5"/>
  <c r="BD42" i="5"/>
  <c r="BE257" i="5"/>
  <c r="BD257" i="5"/>
  <c r="BE366" i="5"/>
  <c r="BD366" i="5"/>
  <c r="BD518" i="5"/>
  <c r="BE518" i="5"/>
  <c r="BE374" i="5"/>
  <c r="BD374" i="5"/>
  <c r="BE378" i="5"/>
  <c r="BD378" i="5"/>
  <c r="BD479" i="5"/>
  <c r="BE479" i="5"/>
  <c r="BE528" i="5"/>
  <c r="BD528" i="5"/>
  <c r="BE498" i="5"/>
  <c r="BD498" i="5"/>
  <c r="BD259" i="5"/>
  <c r="BE259" i="5"/>
  <c r="BE463" i="5"/>
  <c r="BD463" i="5"/>
  <c r="BE510" i="5"/>
  <c r="BD510" i="5"/>
  <c r="BD301" i="5"/>
  <c r="BE301" i="5"/>
  <c r="BE25" i="5"/>
  <c r="BD25" i="5"/>
  <c r="BD325" i="5"/>
  <c r="BE325" i="5"/>
  <c r="BE483" i="5"/>
  <c r="BD483" i="5"/>
  <c r="BE455" i="5"/>
  <c r="BD455" i="5"/>
  <c r="BD196" i="5"/>
  <c r="BE196" i="5"/>
  <c r="BE177" i="5"/>
  <c r="BD177" i="5"/>
  <c r="BE36" i="5"/>
  <c r="BD36" i="5"/>
  <c r="BE102" i="5"/>
  <c r="BD102" i="5"/>
  <c r="BD270" i="5"/>
  <c r="BE270" i="5"/>
  <c r="BD353" i="5"/>
  <c r="BE353" i="5"/>
  <c r="BD204" i="5"/>
  <c r="BE204" i="5"/>
  <c r="BE292" i="5"/>
  <c r="BD292" i="5"/>
  <c r="BD426" i="5"/>
  <c r="BE426" i="5"/>
  <c r="BE482" i="5"/>
  <c r="BD482" i="5"/>
  <c r="BD335" i="5"/>
  <c r="BE335" i="5"/>
  <c r="BD535" i="5"/>
  <c r="BE535" i="5"/>
  <c r="BD395" i="5"/>
  <c r="BE395" i="5"/>
  <c r="BE382" i="5"/>
  <c r="BD382" i="5"/>
  <c r="BE489" i="5"/>
  <c r="BD489" i="5"/>
  <c r="BD534" i="5"/>
  <c r="BE534" i="5"/>
  <c r="BD526" i="5"/>
  <c r="BE526" i="5"/>
  <c r="BD375" i="5"/>
  <c r="BE375" i="5"/>
  <c r="BE173" i="5"/>
  <c r="BD173" i="5"/>
  <c r="BD258" i="5"/>
  <c r="BE258" i="5"/>
  <c r="BE248" i="5"/>
  <c r="BD248" i="5"/>
  <c r="BE508" i="5"/>
  <c r="BD508" i="5"/>
  <c r="BD552" i="5"/>
  <c r="BE552" i="5"/>
  <c r="BD507" i="5"/>
  <c r="BE507" i="5"/>
  <c r="BD422" i="5"/>
  <c r="BE422" i="5"/>
  <c r="BD513" i="5"/>
  <c r="BE513" i="5"/>
  <c r="BE281" i="5"/>
  <c r="BD281" i="5"/>
  <c r="BE54" i="5"/>
  <c r="BD54" i="5"/>
  <c r="BD170" i="5"/>
  <c r="BE170" i="5"/>
  <c r="BD233" i="5"/>
  <c r="BE233" i="5"/>
  <c r="BA13" i="5"/>
  <c r="BB13" i="5"/>
  <c r="BD217" i="5"/>
  <c r="BE217" i="5"/>
  <c r="BD371" i="5"/>
  <c r="BE371" i="5"/>
  <c r="BD79" i="5"/>
  <c r="BE79" i="5"/>
  <c r="BE308" i="5"/>
  <c r="BD308" i="5"/>
  <c r="BE441" i="5"/>
  <c r="BD441" i="5"/>
  <c r="BE458" i="5"/>
  <c r="BD458" i="5"/>
  <c r="BD551" i="5"/>
  <c r="BE551" i="5"/>
  <c r="BD443" i="5"/>
  <c r="BE443" i="5"/>
  <c r="BE540" i="5"/>
  <c r="BD540" i="5"/>
  <c r="BD446" i="5"/>
  <c r="BE446" i="5"/>
  <c r="BD550" i="5"/>
  <c r="BE550" i="5"/>
  <c r="BD404" i="5"/>
  <c r="BE404" i="5"/>
  <c r="BD523" i="5"/>
  <c r="BE523" i="5"/>
  <c r="BE427" i="5"/>
  <c r="BD427" i="5"/>
  <c r="BD216" i="5"/>
  <c r="BE216" i="5"/>
  <c r="BE151" i="5"/>
  <c r="BD151" i="5"/>
  <c r="BD497" i="5"/>
  <c r="BE497" i="5"/>
  <c r="BD454" i="5"/>
  <c r="BE454" i="5"/>
  <c r="BD438" i="5"/>
  <c r="BE438" i="5"/>
  <c r="BE12" i="5"/>
  <c r="BD12" i="5"/>
  <c r="B49" i="5"/>
  <c r="B52" i="5" s="1"/>
  <c r="B35" i="5"/>
  <c r="B155" i="2"/>
  <c r="B174" i="2"/>
  <c r="B177" i="2" s="1"/>
  <c r="Z7" i="5" s="1"/>
  <c r="B71" i="5"/>
  <c r="B93" i="2"/>
  <c r="O15" i="4"/>
  <c r="B23" i="5"/>
  <c r="B154" i="2"/>
  <c r="B34" i="5"/>
  <c r="J50" i="5"/>
  <c r="B195" i="2"/>
  <c r="BD13" i="5" l="1"/>
  <c r="BE13" i="5"/>
  <c r="Z350" i="5"/>
  <c r="Z375" i="5"/>
  <c r="Z252" i="5"/>
  <c r="Z353" i="5"/>
  <c r="Z459" i="5"/>
  <c r="Z80" i="5"/>
  <c r="Z308" i="5"/>
  <c r="Z452" i="5"/>
  <c r="Z528" i="5"/>
  <c r="Z246" i="5"/>
  <c r="Z455" i="5"/>
  <c r="Z343" i="5"/>
  <c r="Z211" i="5"/>
  <c r="Z337" i="5"/>
  <c r="Z203" i="5"/>
  <c r="Z406" i="5"/>
  <c r="Z379" i="5"/>
  <c r="Z378" i="5"/>
  <c r="Z511" i="5"/>
  <c r="Z512" i="5"/>
  <c r="Z417" i="5"/>
  <c r="Z34" i="5"/>
  <c r="Z148" i="5"/>
  <c r="Z539" i="5"/>
  <c r="Z554" i="5"/>
  <c r="Z107" i="5"/>
  <c r="Z525" i="5"/>
  <c r="Z170" i="5"/>
  <c r="Z233" i="5"/>
  <c r="Z288" i="5"/>
  <c r="Z199" i="5"/>
  <c r="Z260" i="5"/>
  <c r="Z509" i="5"/>
  <c r="Z510" i="5"/>
  <c r="Z206" i="5"/>
  <c r="Z244" i="5"/>
  <c r="Z376" i="5"/>
  <c r="Z348" i="5"/>
  <c r="Z393" i="5"/>
  <c r="Z31" i="5"/>
  <c r="Z78" i="5"/>
  <c r="Z98" i="5"/>
  <c r="Z467" i="5"/>
  <c r="Z501" i="5"/>
  <c r="Z181" i="5"/>
  <c r="Z435" i="5"/>
  <c r="Z33" i="5"/>
  <c r="Z175" i="5"/>
  <c r="Z259" i="5"/>
  <c r="Z182" i="5"/>
  <c r="Z122" i="5"/>
  <c r="Z405" i="5"/>
  <c r="Z57" i="5"/>
  <c r="Z202" i="5"/>
  <c r="Z87" i="5"/>
  <c r="Z91" i="5"/>
  <c r="Z62" i="5"/>
  <c r="Z543" i="5"/>
  <c r="Z39" i="5"/>
  <c r="Z529" i="5"/>
  <c r="Z490" i="5"/>
  <c r="Z542" i="5"/>
  <c r="Z139" i="5"/>
  <c r="Z401" i="5"/>
  <c r="Z432" i="5"/>
  <c r="Z196" i="5"/>
  <c r="Z515" i="5"/>
  <c r="Z45" i="5"/>
  <c r="Z530" i="5"/>
  <c r="Z431" i="5"/>
  <c r="Z347" i="5"/>
  <c r="Z149" i="5"/>
  <c r="Z278" i="5"/>
  <c r="Z352" i="5"/>
  <c r="Z446" i="5"/>
  <c r="Z264" i="5"/>
  <c r="Z342" i="5"/>
  <c r="Z119" i="5"/>
  <c r="Z229" i="5"/>
  <c r="Z410" i="5"/>
  <c r="Z223" i="5"/>
  <c r="Z13" i="5"/>
  <c r="Z324" i="5"/>
  <c r="Z274" i="5"/>
  <c r="Z88" i="5"/>
  <c r="Z409" i="5"/>
  <c r="Z269" i="5"/>
  <c r="Z460" i="5"/>
  <c r="Z363" i="5"/>
  <c r="Z63" i="5"/>
  <c r="Z422" i="5"/>
  <c r="Z82" i="5"/>
  <c r="Z346" i="5"/>
  <c r="Z414" i="5"/>
  <c r="Z50" i="5"/>
  <c r="Z239" i="5"/>
  <c r="Z486" i="5"/>
  <c r="Z449" i="5"/>
  <c r="Z141" i="5"/>
  <c r="Z257" i="5"/>
  <c r="Z192" i="5"/>
  <c r="Z65" i="5"/>
  <c r="Z332" i="5"/>
  <c r="Z20" i="5"/>
  <c r="Z447" i="5"/>
  <c r="Z222" i="5"/>
  <c r="Z368" i="5"/>
  <c r="Z71" i="5"/>
  <c r="Z549" i="5"/>
  <c r="Z450" i="5"/>
  <c r="Z262" i="5"/>
  <c r="Z232" i="5"/>
  <c r="Z335" i="5"/>
  <c r="Z408" i="5"/>
  <c r="Z152" i="5"/>
  <c r="Z197" i="5"/>
  <c r="Z402" i="5"/>
  <c r="Z169" i="5"/>
  <c r="Z412" i="5"/>
  <c r="Z492" i="5"/>
  <c r="Z299" i="5"/>
  <c r="Z84" i="5"/>
  <c r="Z306" i="5"/>
  <c r="Z331" i="5"/>
  <c r="Z205" i="5"/>
  <c r="Z320" i="5"/>
  <c r="Z275" i="5"/>
  <c r="Z51" i="5"/>
  <c r="Z488" i="5"/>
  <c r="Z317" i="5"/>
  <c r="Z399" i="5"/>
  <c r="Z377" i="5"/>
  <c r="Z241" i="5"/>
  <c r="Z483" i="5"/>
  <c r="Z482" i="5"/>
  <c r="Z436" i="5"/>
  <c r="Z100" i="5"/>
  <c r="Z159" i="5"/>
  <c r="Z386" i="5"/>
  <c r="Z191" i="5"/>
  <c r="Z81" i="5"/>
  <c r="Z8" i="5"/>
  <c r="Z313" i="5"/>
  <c r="Z500" i="5"/>
  <c r="Z312" i="5"/>
  <c r="Z106" i="5"/>
  <c r="Z533" i="5"/>
  <c r="Z68" i="5"/>
  <c r="Z361" i="5"/>
  <c r="Z234" i="5"/>
  <c r="Z296" i="5"/>
  <c r="Z461" i="5"/>
  <c r="Z129" i="5"/>
  <c r="Z24" i="5"/>
  <c r="Z198" i="5"/>
  <c r="Z514" i="5"/>
  <c r="Z218" i="5"/>
  <c r="Z137" i="5"/>
  <c r="Z493" i="5"/>
  <c r="Z283" i="5"/>
  <c r="Z138" i="5"/>
  <c r="Z190" i="5"/>
  <c r="Z280" i="5"/>
  <c r="Z135" i="5"/>
  <c r="Z327" i="5"/>
  <c r="Z184" i="5"/>
  <c r="Z85" i="5"/>
  <c r="Z44" i="5"/>
  <c r="Z322" i="5"/>
  <c r="Z503" i="5"/>
  <c r="Z349" i="5"/>
  <c r="Z89" i="5"/>
  <c r="Z439" i="5"/>
  <c r="Z165" i="5"/>
  <c r="Z64" i="5"/>
  <c r="Z76" i="5"/>
  <c r="Z131" i="5"/>
  <c r="Z522" i="5"/>
  <c r="Z498" i="5"/>
  <c r="Z245" i="5"/>
  <c r="Z163" i="5"/>
  <c r="Z124" i="5"/>
  <c r="Z110" i="5"/>
  <c r="Z95" i="5"/>
  <c r="Z356" i="5"/>
  <c r="Z516" i="5"/>
  <c r="Z25" i="5"/>
  <c r="Z183" i="5"/>
  <c r="Z43" i="5"/>
  <c r="Z161" i="5"/>
  <c r="Z171" i="5"/>
  <c r="Z430" i="5"/>
  <c r="Z484" i="5"/>
  <c r="Z146" i="5"/>
  <c r="Z59" i="5"/>
  <c r="Z237" i="5"/>
  <c r="Z433" i="5"/>
  <c r="Z26" i="5"/>
  <c r="Z415" i="5"/>
  <c r="Z319" i="5"/>
  <c r="Z200" i="5"/>
  <c r="Z336" i="5"/>
  <c r="Z265" i="5"/>
  <c r="Z96" i="5"/>
  <c r="Z365" i="5"/>
  <c r="Z507" i="5"/>
  <c r="Z407" i="5"/>
  <c r="Z448" i="5"/>
  <c r="Z429" i="5"/>
  <c r="Z116" i="5"/>
  <c r="Z315" i="5"/>
  <c r="Z546" i="5"/>
  <c r="Z362" i="5"/>
  <c r="Z187" i="5"/>
  <c r="Z143" i="5"/>
  <c r="Z555" i="5"/>
  <c r="Z473" i="5"/>
  <c r="Z242" i="5"/>
  <c r="Z55" i="5"/>
  <c r="Z35" i="5"/>
  <c r="Z354" i="5"/>
  <c r="Z230" i="5"/>
  <c r="Z506" i="5"/>
  <c r="Z72" i="5"/>
  <c r="Z177" i="5"/>
  <c r="Z77" i="5"/>
  <c r="Z236" i="5"/>
  <c r="Z69" i="5"/>
  <c r="Z487" i="5"/>
  <c r="Z207" i="5"/>
  <c r="Z38" i="5"/>
  <c r="Z193" i="5"/>
  <c r="Z300" i="5"/>
  <c r="Z465" i="5"/>
  <c r="Z445" i="5"/>
  <c r="Z338" i="5"/>
  <c r="Z134" i="5"/>
  <c r="Z395" i="5"/>
  <c r="Z311" i="5"/>
  <c r="Z240" i="5"/>
  <c r="Z537" i="5"/>
  <c r="Z302" i="5"/>
  <c r="Z180" i="5"/>
  <c r="Z79" i="5"/>
  <c r="Z367" i="5"/>
  <c r="Z208" i="5"/>
  <c r="Z373" i="5"/>
  <c r="Z66" i="5"/>
  <c r="Z112" i="5"/>
  <c r="Z22" i="5"/>
  <c r="Z513" i="5"/>
  <c r="Z144" i="5"/>
  <c r="Z505" i="5"/>
  <c r="Z442" i="5"/>
  <c r="Z387" i="5"/>
  <c r="Z470" i="5"/>
  <c r="Z456" i="5"/>
  <c r="Z279" i="5"/>
  <c r="Z351" i="5"/>
  <c r="Z221" i="5"/>
  <c r="Z285" i="5"/>
  <c r="Z127" i="5"/>
  <c r="Z428" i="5"/>
  <c r="Z19" i="5"/>
  <c r="Z215" i="5"/>
  <c r="Z400" i="5"/>
  <c r="Z270" i="5"/>
  <c r="Z518" i="5"/>
  <c r="Z114" i="5"/>
  <c r="Z28" i="5"/>
  <c r="Z287" i="5"/>
  <c r="Z426" i="5"/>
  <c r="Z47" i="5"/>
  <c r="Z325" i="5"/>
  <c r="Z195" i="5"/>
  <c r="Z440" i="5"/>
  <c r="Z130" i="5"/>
  <c r="Z256" i="5"/>
  <c r="Z266" i="5"/>
  <c r="Z204" i="5"/>
  <c r="Z90" i="5"/>
  <c r="Z310" i="5"/>
  <c r="Z118" i="5"/>
  <c r="Z475" i="5"/>
  <c r="Z552" i="5"/>
  <c r="Z380" i="5"/>
  <c r="Z272" i="5"/>
  <c r="Z27" i="5"/>
  <c r="Z186" i="5"/>
  <c r="Z46" i="5"/>
  <c r="Z61" i="5"/>
  <c r="Z471" i="5"/>
  <c r="Z115" i="5"/>
  <c r="Z75" i="5"/>
  <c r="Z369" i="5"/>
  <c r="Z464" i="5"/>
  <c r="Z499" i="5"/>
  <c r="Z247" i="5"/>
  <c r="Z103" i="5"/>
  <c r="Z494" i="5"/>
  <c r="Z23" i="5"/>
  <c r="Z254" i="5"/>
  <c r="Z126" i="5"/>
  <c r="Z480" i="5"/>
  <c r="Z527" i="5"/>
  <c r="Z458" i="5"/>
  <c r="Z168" i="5"/>
  <c r="Z166" i="5"/>
  <c r="Z502" i="5"/>
  <c r="Z521" i="5"/>
  <c r="Z421" i="5"/>
  <c r="Z282" i="5"/>
  <c r="Z496" i="5"/>
  <c r="Z30" i="5"/>
  <c r="Z251" i="5"/>
  <c r="Z179" i="5"/>
  <c r="Z12" i="5"/>
  <c r="Z228" i="5"/>
  <c r="Z290" i="5"/>
  <c r="Z318" i="5"/>
  <c r="Z485" i="5"/>
  <c r="Z476" i="5"/>
  <c r="Z147" i="5"/>
  <c r="Z226" i="5"/>
  <c r="Z142" i="5"/>
  <c r="Z474" i="5"/>
  <c r="Z37" i="5"/>
  <c r="Z457" i="5"/>
  <c r="Z216" i="5"/>
  <c r="Z212" i="5"/>
  <c r="Z227" i="5"/>
  <c r="Z276" i="5"/>
  <c r="Z273" i="5"/>
  <c r="Z321" i="5"/>
  <c r="Z123" i="5"/>
  <c r="Z330" i="5"/>
  <c r="Z172" i="5"/>
  <c r="Z156" i="5"/>
  <c r="Z391" i="5"/>
  <c r="Z94" i="5"/>
  <c r="Z366" i="5"/>
  <c r="Z36" i="5"/>
  <c r="Z292" i="5"/>
  <c r="Z263" i="5"/>
  <c r="Z418" i="5"/>
  <c r="Z547" i="5"/>
  <c r="Z189" i="5"/>
  <c r="Z178" i="5"/>
  <c r="Z536" i="5"/>
  <c r="Z48" i="5"/>
  <c r="Z472" i="5"/>
  <c r="Z504" i="5"/>
  <c r="Z128" i="5"/>
  <c r="Z534" i="5"/>
  <c r="Z86" i="5"/>
  <c r="Z524" i="5"/>
  <c r="Z411" i="5"/>
  <c r="Z413" i="5"/>
  <c r="Z56" i="5"/>
  <c r="Z443" i="5"/>
  <c r="Z531" i="5"/>
  <c r="Z301" i="5"/>
  <c r="Z155" i="5"/>
  <c r="Z104" i="5"/>
  <c r="Z145" i="5"/>
  <c r="Z466" i="5"/>
  <c r="Z167" i="5"/>
  <c r="Z481" i="5"/>
  <c r="Z194" i="5"/>
  <c r="Z517" i="5"/>
  <c r="Z550" i="5"/>
  <c r="Z120" i="5"/>
  <c r="Z111" i="5"/>
  <c r="Z508" i="5"/>
  <c r="Z478" i="5"/>
  <c r="Z303" i="5"/>
  <c r="Z495" i="5"/>
  <c r="Z258" i="5"/>
  <c r="Z437" i="5"/>
  <c r="Z355" i="5"/>
  <c r="Z54" i="5"/>
  <c r="Z339" i="5"/>
  <c r="Z220" i="5"/>
  <c r="Z372" i="5"/>
  <c r="Z390" i="5"/>
  <c r="Z73" i="5"/>
  <c r="Z519" i="5"/>
  <c r="Z374" i="5"/>
  <c r="Z389" i="5"/>
  <c r="Z213" i="5"/>
  <c r="Z117" i="5"/>
  <c r="Z497" i="5"/>
  <c r="Z469" i="5"/>
  <c r="Z326" i="5"/>
  <c r="Z340" i="5"/>
  <c r="Z314" i="5"/>
  <c r="Z333" i="5"/>
  <c r="Z140" i="5"/>
  <c r="Z160" i="5"/>
  <c r="Z97" i="5"/>
  <c r="Z462" i="5"/>
  <c r="Z214" i="5"/>
  <c r="Z551" i="5"/>
  <c r="Z558" i="5"/>
  <c r="Z60" i="5"/>
  <c r="Z523" i="5"/>
  <c r="Z489" i="5"/>
  <c r="Z305" i="5"/>
  <c r="Z491" i="5"/>
  <c r="Z384" i="5"/>
  <c r="Z250" i="5"/>
  <c r="Z291" i="5"/>
  <c r="Z416" i="5"/>
  <c r="Z231" i="5"/>
  <c r="Z158" i="5"/>
  <c r="Z559" i="5"/>
  <c r="Z271" i="5"/>
  <c r="Z370" i="5"/>
  <c r="Z392" i="5"/>
  <c r="Z209" i="5"/>
  <c r="Z438" i="5"/>
  <c r="Z74" i="5"/>
  <c r="Z286" i="5"/>
  <c r="Z267" i="5"/>
  <c r="Z382" i="5"/>
  <c r="Z298" i="5"/>
  <c r="Z268" i="5"/>
  <c r="Z133" i="5"/>
  <c r="Z255" i="5"/>
  <c r="Z540" i="5"/>
  <c r="Z42" i="5"/>
  <c r="Z544" i="5"/>
  <c r="Z92" i="5"/>
  <c r="Z538" i="5"/>
  <c r="Z284" i="5"/>
  <c r="Z553" i="5"/>
  <c r="Z297" i="5"/>
  <c r="Z381" i="5"/>
  <c r="Z70" i="5"/>
  <c r="Z217" i="5"/>
  <c r="Z403" i="5"/>
  <c r="Z328" i="5"/>
  <c r="Z294" i="5"/>
  <c r="Z309" i="5"/>
  <c r="Z53" i="5"/>
  <c r="Z235" i="5"/>
  <c r="Z423" i="5"/>
  <c r="Z125" i="5"/>
  <c r="Z93" i="5"/>
  <c r="Z261" i="5"/>
  <c r="Z541" i="5"/>
  <c r="Z40" i="5"/>
  <c r="Z434" i="5"/>
  <c r="Z151" i="5"/>
  <c r="Z396" i="5"/>
  <c r="Z238" i="5"/>
  <c r="Z424" i="5"/>
  <c r="Z477" i="5"/>
  <c r="Z32" i="5"/>
  <c r="Z548" i="5"/>
  <c r="Z52" i="5"/>
  <c r="Z83" i="5"/>
  <c r="Z113" i="5"/>
  <c r="Z468" i="5"/>
  <c r="Z535" i="5"/>
  <c r="Z295" i="5"/>
  <c r="Z307" i="5"/>
  <c r="Z121" i="5"/>
  <c r="Z526" i="5"/>
  <c r="Z532" i="5"/>
  <c r="Z108" i="5"/>
  <c r="Z316" i="5"/>
  <c r="Z277" i="5"/>
  <c r="Z29" i="5"/>
  <c r="Z173" i="5"/>
  <c r="Z364" i="5"/>
  <c r="Z334" i="5"/>
  <c r="Z58" i="5"/>
  <c r="Z176" i="5"/>
  <c r="Z358" i="5"/>
  <c r="Z359" i="5"/>
  <c r="Z360" i="5"/>
  <c r="Z394" i="5"/>
  <c r="Z109" i="5"/>
  <c r="Z132" i="5"/>
  <c r="Z174" i="5"/>
  <c r="Z224" i="5"/>
  <c r="Z463" i="5"/>
  <c r="Z154" i="5"/>
  <c r="Z545" i="5"/>
  <c r="Z479" i="5"/>
  <c r="Z397" i="5"/>
  <c r="Z404" i="5"/>
  <c r="Z425" i="5"/>
  <c r="Z153" i="5"/>
  <c r="Z560" i="5"/>
  <c r="Z329" i="5"/>
  <c r="Z105" i="5"/>
  <c r="Z383" i="5"/>
  <c r="Z253" i="5"/>
  <c r="Z21" i="5"/>
  <c r="Z398" i="5"/>
  <c r="Z201" i="5"/>
  <c r="Z102" i="5"/>
  <c r="Z427" i="5"/>
  <c r="Z185" i="5"/>
  <c r="Z49" i="5"/>
  <c r="Z188" i="5"/>
  <c r="Z341" i="5"/>
  <c r="Z293" i="5"/>
  <c r="Z210" i="5"/>
  <c r="Z225" i="5"/>
  <c r="Z219" i="5"/>
  <c r="Z101" i="5"/>
  <c r="Z157" i="5"/>
  <c r="Z289" i="5"/>
  <c r="Z249" i="5"/>
  <c r="Z150" i="5"/>
  <c r="Z136" i="5"/>
  <c r="Z557" i="5"/>
  <c r="Z419" i="5"/>
  <c r="Z164" i="5"/>
  <c r="Z99" i="5"/>
  <c r="Z162" i="5"/>
  <c r="Z453" i="5"/>
  <c r="Z371" i="5"/>
  <c r="Z323" i="5"/>
  <c r="Z520" i="5"/>
  <c r="Z248" i="5"/>
  <c r="Z344" i="5"/>
  <c r="Z385" i="5"/>
  <c r="Z345" i="5"/>
  <c r="Z281" i="5"/>
  <c r="Z67" i="5"/>
  <c r="Z444" i="5"/>
  <c r="Z388" i="5"/>
  <c r="Z454" i="5"/>
  <c r="Z441" i="5"/>
  <c r="Z451" i="5"/>
  <c r="Z420" i="5"/>
  <c r="Z304" i="5"/>
  <c r="Z556" i="5"/>
  <c r="Z243" i="5"/>
  <c r="Z41" i="5"/>
  <c r="Z357" i="5"/>
  <c r="AB7" i="5"/>
  <c r="AA7" i="5"/>
  <c r="AB357" i="5" l="1"/>
  <c r="AA357" i="5"/>
  <c r="AA304" i="5"/>
  <c r="AB304" i="5"/>
  <c r="AB454" i="5"/>
  <c r="AA454" i="5"/>
  <c r="AA281" i="5"/>
  <c r="AB281" i="5"/>
  <c r="AB248" i="5"/>
  <c r="AA248" i="5"/>
  <c r="AB453" i="5"/>
  <c r="AA453" i="5"/>
  <c r="AB419" i="5"/>
  <c r="AA419" i="5"/>
  <c r="AB249" i="5"/>
  <c r="AA249" i="5"/>
  <c r="AB219" i="5"/>
  <c r="AA219" i="5"/>
  <c r="AB341" i="5"/>
  <c r="AA341" i="5"/>
  <c r="AB427" i="5"/>
  <c r="AA427" i="5"/>
  <c r="AA21" i="5"/>
  <c r="AB21" i="5"/>
  <c r="AA329" i="5"/>
  <c r="AB329" i="5"/>
  <c r="AB404" i="5"/>
  <c r="AA404" i="5"/>
  <c r="AB154" i="5"/>
  <c r="AA154" i="5"/>
  <c r="AB132" i="5"/>
  <c r="AA132" i="5"/>
  <c r="AB359" i="5"/>
  <c r="AA359" i="5"/>
  <c r="AB334" i="5"/>
  <c r="AA334" i="5"/>
  <c r="AA277" i="5"/>
  <c r="AB277" i="5"/>
  <c r="AA526" i="5"/>
  <c r="AB526" i="5"/>
  <c r="AB535" i="5"/>
  <c r="AA535" i="5"/>
  <c r="AB52" i="5"/>
  <c r="AA52" i="5"/>
  <c r="AB424" i="5"/>
  <c r="AA424" i="5"/>
  <c r="AA434" i="5"/>
  <c r="AB434" i="5"/>
  <c r="AB93" i="5"/>
  <c r="AA93" i="5"/>
  <c r="AB53" i="5"/>
  <c r="AA53" i="5"/>
  <c r="AA403" i="5"/>
  <c r="AB403" i="5"/>
  <c r="AA297" i="5"/>
  <c r="AB297" i="5"/>
  <c r="AA92" i="5"/>
  <c r="AB92" i="5"/>
  <c r="AA255" i="5"/>
  <c r="AB255" i="5"/>
  <c r="AA382" i="5"/>
  <c r="AB382" i="5"/>
  <c r="AA438" i="5"/>
  <c r="AB438" i="5"/>
  <c r="AA271" i="5"/>
  <c r="AB271" i="5"/>
  <c r="AA416" i="5"/>
  <c r="AB416" i="5"/>
  <c r="AA491" i="5"/>
  <c r="AB491" i="5"/>
  <c r="AB60" i="5"/>
  <c r="AA60" i="5"/>
  <c r="AA462" i="5"/>
  <c r="AB462" i="5"/>
  <c r="AA333" i="5"/>
  <c r="AB333" i="5"/>
  <c r="AB469" i="5"/>
  <c r="AA469" i="5"/>
  <c r="AA389" i="5"/>
  <c r="AB389" i="5"/>
  <c r="AA390" i="5"/>
  <c r="AB390" i="5"/>
  <c r="AA54" i="5"/>
  <c r="AB54" i="5"/>
  <c r="AA495" i="5"/>
  <c r="AB495" i="5"/>
  <c r="AB111" i="5"/>
  <c r="AA111" i="5"/>
  <c r="AB194" i="5"/>
  <c r="AA194" i="5"/>
  <c r="AB145" i="5"/>
  <c r="AA145" i="5"/>
  <c r="AA531" i="5"/>
  <c r="AB531" i="5"/>
  <c r="AA411" i="5"/>
  <c r="AB411" i="5"/>
  <c r="AB128" i="5"/>
  <c r="AA128" i="5"/>
  <c r="AB536" i="5"/>
  <c r="AA536" i="5"/>
  <c r="AB418" i="5"/>
  <c r="AA418" i="5"/>
  <c r="AB366" i="5"/>
  <c r="AA366" i="5"/>
  <c r="AA172" i="5"/>
  <c r="AB172" i="5"/>
  <c r="AA273" i="5"/>
  <c r="AB273" i="5"/>
  <c r="AA216" i="5"/>
  <c r="AB216" i="5"/>
  <c r="AB142" i="5"/>
  <c r="AA142" i="5"/>
  <c r="AA485" i="5"/>
  <c r="AB485" i="5"/>
  <c r="AB12" i="5"/>
  <c r="AA12" i="5"/>
  <c r="AB496" i="5"/>
  <c r="AA496" i="5"/>
  <c r="AA502" i="5"/>
  <c r="AB502" i="5"/>
  <c r="AA527" i="5"/>
  <c r="AB527" i="5"/>
  <c r="AA23" i="5"/>
  <c r="AB23" i="5"/>
  <c r="AB499" i="5"/>
  <c r="AA499" i="5"/>
  <c r="AA115" i="5"/>
  <c r="AB115" i="5"/>
  <c r="AA186" i="5"/>
  <c r="AB186" i="5"/>
  <c r="AB552" i="5"/>
  <c r="AA552" i="5"/>
  <c r="AA90" i="5"/>
  <c r="AB90" i="5"/>
  <c r="AB130" i="5"/>
  <c r="AA130" i="5"/>
  <c r="AA47" i="5"/>
  <c r="AB47" i="5"/>
  <c r="AA114" i="5"/>
  <c r="AB114" i="5"/>
  <c r="AA215" i="5"/>
  <c r="AB215" i="5"/>
  <c r="AA285" i="5"/>
  <c r="AB285" i="5"/>
  <c r="AA456" i="5"/>
  <c r="AB456" i="5"/>
  <c r="AA505" i="5"/>
  <c r="AB505" i="5"/>
  <c r="AB112" i="5"/>
  <c r="AA112" i="5"/>
  <c r="AB367" i="5"/>
  <c r="AA367" i="5"/>
  <c r="AA537" i="5"/>
  <c r="AB537" i="5"/>
  <c r="AA134" i="5"/>
  <c r="AB134" i="5"/>
  <c r="AB300" i="5"/>
  <c r="AA300" i="5"/>
  <c r="AB487" i="5"/>
  <c r="AA487" i="5"/>
  <c r="AB77" i="5"/>
  <c r="AA77" i="5"/>
  <c r="AA230" i="5"/>
  <c r="AB230" i="5"/>
  <c r="AB242" i="5"/>
  <c r="AA242" i="5"/>
  <c r="AA187" i="5"/>
  <c r="AB187" i="5"/>
  <c r="AA116" i="5"/>
  <c r="AB116" i="5"/>
  <c r="AA507" i="5"/>
  <c r="AB507" i="5"/>
  <c r="AB336" i="5"/>
  <c r="AA336" i="5"/>
  <c r="AA26" i="5"/>
  <c r="AB26" i="5"/>
  <c r="AA146" i="5"/>
  <c r="AB146" i="5"/>
  <c r="AB161" i="5"/>
  <c r="AA161" i="5"/>
  <c r="AA516" i="5"/>
  <c r="AB516" i="5"/>
  <c r="AA124" i="5"/>
  <c r="AB124" i="5"/>
  <c r="AA522" i="5"/>
  <c r="AB522" i="5"/>
  <c r="AB165" i="5"/>
  <c r="AA165" i="5"/>
  <c r="AB503" i="5"/>
  <c r="AA503" i="5"/>
  <c r="AA184" i="5"/>
  <c r="AB184" i="5"/>
  <c r="AB190" i="5"/>
  <c r="AA190" i="5"/>
  <c r="AA137" i="5"/>
  <c r="AB137" i="5"/>
  <c r="AA24" i="5"/>
  <c r="AB24" i="5"/>
  <c r="AB234" i="5"/>
  <c r="AA234" i="5"/>
  <c r="AA106" i="5"/>
  <c r="AB106" i="5"/>
  <c r="AB8" i="5"/>
  <c r="AA8" i="5"/>
  <c r="AB159" i="5"/>
  <c r="AA159" i="5"/>
  <c r="AB483" i="5"/>
  <c r="AA483" i="5"/>
  <c r="AA317" i="5"/>
  <c r="AB317" i="5"/>
  <c r="AB320" i="5"/>
  <c r="AA320" i="5"/>
  <c r="AB84" i="5"/>
  <c r="AA84" i="5"/>
  <c r="AA169" i="5"/>
  <c r="AB169" i="5"/>
  <c r="AA408" i="5"/>
  <c r="AB408" i="5"/>
  <c r="AA450" i="5"/>
  <c r="AB450" i="5"/>
  <c r="AA222" i="5"/>
  <c r="AB222" i="5"/>
  <c r="AB65" i="5"/>
  <c r="AA65" i="5"/>
  <c r="AA449" i="5"/>
  <c r="AB449" i="5"/>
  <c r="AA414" i="5"/>
  <c r="AB414" i="5"/>
  <c r="AB63" i="5"/>
  <c r="AA63" i="5"/>
  <c r="AB409" i="5"/>
  <c r="AA409" i="5"/>
  <c r="AA13" i="5"/>
  <c r="AB13" i="5"/>
  <c r="AA119" i="5"/>
  <c r="AB119" i="5"/>
  <c r="AB352" i="5"/>
  <c r="AA352" i="5"/>
  <c r="AA431" i="5"/>
  <c r="AB431" i="5"/>
  <c r="AB196" i="5"/>
  <c r="AA196" i="5"/>
  <c r="AB542" i="5"/>
  <c r="AA542" i="5"/>
  <c r="AB543" i="5"/>
  <c r="AA543" i="5"/>
  <c r="AA202" i="5"/>
  <c r="AB202" i="5"/>
  <c r="AB182" i="5"/>
  <c r="AA182" i="5"/>
  <c r="AA435" i="5"/>
  <c r="AB435" i="5"/>
  <c r="AA98" i="5"/>
  <c r="AB98" i="5"/>
  <c r="AB348" i="5"/>
  <c r="AA348" i="5"/>
  <c r="AB510" i="5"/>
  <c r="AA510" i="5"/>
  <c r="AA288" i="5"/>
  <c r="AB288" i="5"/>
  <c r="AB107" i="5"/>
  <c r="AA107" i="5"/>
  <c r="AA34" i="5"/>
  <c r="AB34" i="5"/>
  <c r="AA378" i="5"/>
  <c r="AB378" i="5"/>
  <c r="AA337" i="5"/>
  <c r="AB337" i="5"/>
  <c r="AA246" i="5"/>
  <c r="AB246" i="5"/>
  <c r="AA80" i="5"/>
  <c r="AB80" i="5"/>
  <c r="AB375" i="5"/>
  <c r="AA375" i="5"/>
  <c r="AA41" i="5"/>
  <c r="AB41" i="5"/>
  <c r="AB420" i="5"/>
  <c r="AA420" i="5"/>
  <c r="AB388" i="5"/>
  <c r="AA388" i="5"/>
  <c r="AB345" i="5"/>
  <c r="AA345" i="5"/>
  <c r="AA520" i="5"/>
  <c r="AB520" i="5"/>
  <c r="AA162" i="5"/>
  <c r="AB162" i="5"/>
  <c r="AA557" i="5"/>
  <c r="AB557" i="5"/>
  <c r="AB289" i="5"/>
  <c r="AA289" i="5"/>
  <c r="AB225" i="5"/>
  <c r="AA225" i="5"/>
  <c r="AB188" i="5"/>
  <c r="AA188" i="5"/>
  <c r="AA102" i="5"/>
  <c r="AB102" i="5"/>
  <c r="AB253" i="5"/>
  <c r="AA253" i="5"/>
  <c r="AB560" i="5"/>
  <c r="AA560" i="5"/>
  <c r="AA397" i="5"/>
  <c r="AB397" i="5"/>
  <c r="AB463" i="5"/>
  <c r="AA463" i="5"/>
  <c r="AB109" i="5"/>
  <c r="AA109" i="5"/>
  <c r="AB358" i="5"/>
  <c r="AA358" i="5"/>
  <c r="AA364" i="5"/>
  <c r="AB364" i="5"/>
  <c r="AA316" i="5"/>
  <c r="AB316" i="5"/>
  <c r="AA121" i="5"/>
  <c r="AB121" i="5"/>
  <c r="AA468" i="5"/>
  <c r="AB468" i="5"/>
  <c r="AB548" i="5"/>
  <c r="AA548" i="5"/>
  <c r="AB238" i="5"/>
  <c r="AA238" i="5"/>
  <c r="AB40" i="5"/>
  <c r="AA40" i="5"/>
  <c r="AA125" i="5"/>
  <c r="AB125" i="5"/>
  <c r="AB309" i="5"/>
  <c r="AA309" i="5"/>
  <c r="AB217" i="5"/>
  <c r="AA217" i="5"/>
  <c r="AA553" i="5"/>
  <c r="AB553" i="5"/>
  <c r="AB544" i="5"/>
  <c r="AA544" i="5"/>
  <c r="AA133" i="5"/>
  <c r="AB133" i="5"/>
  <c r="AA267" i="5"/>
  <c r="AB267" i="5"/>
  <c r="AB209" i="5"/>
  <c r="AA209" i="5"/>
  <c r="AA559" i="5"/>
  <c r="AB559" i="5"/>
  <c r="AB291" i="5"/>
  <c r="AA291" i="5"/>
  <c r="AA305" i="5"/>
  <c r="AB305" i="5"/>
  <c r="AB558" i="5"/>
  <c r="AA558" i="5"/>
  <c r="AB97" i="5"/>
  <c r="AA97" i="5"/>
  <c r="AA314" i="5"/>
  <c r="AB314" i="5"/>
  <c r="AB497" i="5"/>
  <c r="AA497" i="5"/>
  <c r="AB374" i="5"/>
  <c r="AA374" i="5"/>
  <c r="AB372" i="5"/>
  <c r="AA372" i="5"/>
  <c r="AA355" i="5"/>
  <c r="AB355" i="5"/>
  <c r="AB303" i="5"/>
  <c r="AA303" i="5"/>
  <c r="AA120" i="5"/>
  <c r="AB120" i="5"/>
  <c r="AB481" i="5"/>
  <c r="AA481" i="5"/>
  <c r="AA104" i="5"/>
  <c r="AB104" i="5"/>
  <c r="AB443" i="5"/>
  <c r="AA443" i="5"/>
  <c r="AA524" i="5"/>
  <c r="AB524" i="5"/>
  <c r="AB504" i="5"/>
  <c r="AA504" i="5"/>
  <c r="AA178" i="5"/>
  <c r="AB178" i="5"/>
  <c r="AB263" i="5"/>
  <c r="AA263" i="5"/>
  <c r="AA94" i="5"/>
  <c r="AB94" i="5"/>
  <c r="AA330" i="5"/>
  <c r="AB330" i="5"/>
  <c r="AB276" i="5"/>
  <c r="AA276" i="5"/>
  <c r="AB457" i="5"/>
  <c r="AA457" i="5"/>
  <c r="AB226" i="5"/>
  <c r="AA226" i="5"/>
  <c r="AA318" i="5"/>
  <c r="AB318" i="5"/>
  <c r="AB179" i="5"/>
  <c r="AA179" i="5"/>
  <c r="AA282" i="5"/>
  <c r="AB282" i="5"/>
  <c r="AB166" i="5"/>
  <c r="AA166" i="5"/>
  <c r="AA480" i="5"/>
  <c r="AB480" i="5"/>
  <c r="AB494" i="5"/>
  <c r="AA494" i="5"/>
  <c r="AA464" i="5"/>
  <c r="AB464" i="5"/>
  <c r="AA471" i="5"/>
  <c r="AB471" i="5"/>
  <c r="AA27" i="5"/>
  <c r="AB27" i="5"/>
  <c r="AB475" i="5"/>
  <c r="AA475" i="5"/>
  <c r="AB204" i="5"/>
  <c r="AA204" i="5"/>
  <c r="AA440" i="5"/>
  <c r="AB440" i="5"/>
  <c r="AB426" i="5"/>
  <c r="AA426" i="5"/>
  <c r="AA518" i="5"/>
  <c r="AB518" i="5"/>
  <c r="AA19" i="5"/>
  <c r="AB19" i="5"/>
  <c r="AB221" i="5"/>
  <c r="AA221" i="5"/>
  <c r="AA470" i="5"/>
  <c r="AB470" i="5"/>
  <c r="AA144" i="5"/>
  <c r="AB144" i="5"/>
  <c r="AA66" i="5"/>
  <c r="AB66" i="5"/>
  <c r="AA79" i="5"/>
  <c r="AB79" i="5"/>
  <c r="AB240" i="5"/>
  <c r="AA240" i="5"/>
  <c r="AB338" i="5"/>
  <c r="AA338" i="5"/>
  <c r="AB193" i="5"/>
  <c r="AA193" i="5"/>
  <c r="AA177" i="5"/>
  <c r="AB177" i="5"/>
  <c r="AA354" i="5"/>
  <c r="AB354" i="5"/>
  <c r="AB473" i="5"/>
  <c r="AA473" i="5"/>
  <c r="AB362" i="5"/>
  <c r="AA362" i="5"/>
  <c r="AA429" i="5"/>
  <c r="AB429" i="5"/>
  <c r="AB365" i="5"/>
  <c r="AA365" i="5"/>
  <c r="AB200" i="5"/>
  <c r="AA200" i="5"/>
  <c r="AB433" i="5"/>
  <c r="AA433" i="5"/>
  <c r="AB484" i="5"/>
  <c r="AA484" i="5"/>
  <c r="AB43" i="5"/>
  <c r="AA43" i="5"/>
  <c r="AA356" i="5"/>
  <c r="AB356" i="5"/>
  <c r="AA163" i="5"/>
  <c r="AB163" i="5"/>
  <c r="AA131" i="5"/>
  <c r="AB131" i="5"/>
  <c r="AA439" i="5"/>
  <c r="AB439" i="5"/>
  <c r="AA322" i="5"/>
  <c r="AB322" i="5"/>
  <c r="AA327" i="5"/>
  <c r="AB327" i="5"/>
  <c r="AA138" i="5"/>
  <c r="AB138" i="5"/>
  <c r="AB218" i="5"/>
  <c r="AA218" i="5"/>
  <c r="AB129" i="5"/>
  <c r="AA129" i="5"/>
  <c r="AA361" i="5"/>
  <c r="AB361" i="5"/>
  <c r="AA312" i="5"/>
  <c r="AB312" i="5"/>
  <c r="AA81" i="5"/>
  <c r="AB81" i="5"/>
  <c r="AA100" i="5"/>
  <c r="AB100" i="5"/>
  <c r="AA241" i="5"/>
  <c r="AB241" i="5"/>
  <c r="AB488" i="5"/>
  <c r="AA488" i="5"/>
  <c r="AB205" i="5"/>
  <c r="AA205" i="5"/>
  <c r="AB299" i="5"/>
  <c r="AA299" i="5"/>
  <c r="AB402" i="5"/>
  <c r="AA402" i="5"/>
  <c r="AA335" i="5"/>
  <c r="AB335" i="5"/>
  <c r="AB549" i="5"/>
  <c r="AA549" i="5"/>
  <c r="AB447" i="5"/>
  <c r="AA447" i="5"/>
  <c r="AA192" i="5"/>
  <c r="AB192" i="5"/>
  <c r="AB486" i="5"/>
  <c r="AA486" i="5"/>
  <c r="AA346" i="5"/>
  <c r="AB346" i="5"/>
  <c r="AA363" i="5"/>
  <c r="AB363" i="5"/>
  <c r="AB88" i="5"/>
  <c r="AA88" i="5"/>
  <c r="AB223" i="5"/>
  <c r="AA223" i="5"/>
  <c r="AA342" i="5"/>
  <c r="AB342" i="5"/>
  <c r="AB278" i="5"/>
  <c r="AA278" i="5"/>
  <c r="AA530" i="5"/>
  <c r="AB530" i="5"/>
  <c r="AB432" i="5"/>
  <c r="AA432" i="5"/>
  <c r="AA490" i="5"/>
  <c r="AB490" i="5"/>
  <c r="AB62" i="5"/>
  <c r="AA62" i="5"/>
  <c r="AA57" i="5"/>
  <c r="AB57" i="5"/>
  <c r="AB259" i="5"/>
  <c r="AA259" i="5"/>
  <c r="AA181" i="5"/>
  <c r="AB181" i="5"/>
  <c r="AA78" i="5"/>
  <c r="AB78" i="5"/>
  <c r="AA376" i="5"/>
  <c r="AB376" i="5"/>
  <c r="AA509" i="5"/>
  <c r="AB509" i="5"/>
  <c r="AA233" i="5"/>
  <c r="AB233" i="5"/>
  <c r="AA554" i="5"/>
  <c r="AB554" i="5"/>
  <c r="AA417" i="5"/>
  <c r="AB417" i="5"/>
  <c r="AB379" i="5"/>
  <c r="AA379" i="5"/>
  <c r="AB211" i="5"/>
  <c r="AA211" i="5"/>
  <c r="AB528" i="5"/>
  <c r="AA528" i="5"/>
  <c r="AA459" i="5"/>
  <c r="AB459" i="5"/>
  <c r="AB350" i="5"/>
  <c r="AA350" i="5"/>
  <c r="AA243" i="5"/>
  <c r="AB243" i="5"/>
  <c r="AB451" i="5"/>
  <c r="AA451" i="5"/>
  <c r="AA444" i="5"/>
  <c r="AB444" i="5"/>
  <c r="AB385" i="5"/>
  <c r="AA385" i="5"/>
  <c r="AA323" i="5"/>
  <c r="AB323" i="5"/>
  <c r="AA99" i="5"/>
  <c r="AB99" i="5"/>
  <c r="AB136" i="5"/>
  <c r="AA136" i="5"/>
  <c r="AA157" i="5"/>
  <c r="AB157" i="5"/>
  <c r="AB210" i="5"/>
  <c r="AA210" i="5"/>
  <c r="AB49" i="5"/>
  <c r="AA49" i="5"/>
  <c r="AB201" i="5"/>
  <c r="AA201" i="5"/>
  <c r="AB383" i="5"/>
  <c r="AA383" i="5"/>
  <c r="AA153" i="5"/>
  <c r="AB153" i="5"/>
  <c r="AB479" i="5"/>
  <c r="AA479" i="5"/>
  <c r="AB224" i="5"/>
  <c r="AA224" i="5"/>
  <c r="AB394" i="5"/>
  <c r="AA394" i="5"/>
  <c r="AB176" i="5"/>
  <c r="AA176" i="5"/>
  <c r="AB173" i="5"/>
  <c r="AA173" i="5"/>
  <c r="AB108" i="5"/>
  <c r="AA108" i="5"/>
  <c r="AA307" i="5"/>
  <c r="AB307" i="5"/>
  <c r="AA113" i="5"/>
  <c r="AB113" i="5"/>
  <c r="AB32" i="5"/>
  <c r="AA32" i="5"/>
  <c r="AB396" i="5"/>
  <c r="AA396" i="5"/>
  <c r="AA541" i="5"/>
  <c r="AB541" i="5"/>
  <c r="AA423" i="5"/>
  <c r="AB423" i="5"/>
  <c r="AB294" i="5"/>
  <c r="AA294" i="5"/>
  <c r="AB70" i="5"/>
  <c r="AA70" i="5"/>
  <c r="AB284" i="5"/>
  <c r="AA284" i="5"/>
  <c r="AB42" i="5"/>
  <c r="AA42" i="5"/>
  <c r="AA268" i="5"/>
  <c r="AB268" i="5"/>
  <c r="AB286" i="5"/>
  <c r="AA286" i="5"/>
  <c r="AB392" i="5"/>
  <c r="AA392" i="5"/>
  <c r="AA158" i="5"/>
  <c r="AB158" i="5"/>
  <c r="AB250" i="5"/>
  <c r="AA250" i="5"/>
  <c r="AA489" i="5"/>
  <c r="AB489" i="5"/>
  <c r="AA551" i="5"/>
  <c r="AB551" i="5"/>
  <c r="AA160" i="5"/>
  <c r="AB160" i="5"/>
  <c r="AB340" i="5"/>
  <c r="AA340" i="5"/>
  <c r="AB117" i="5"/>
  <c r="AA117" i="5"/>
  <c r="AB519" i="5"/>
  <c r="AA519" i="5"/>
  <c r="AA220" i="5"/>
  <c r="AB220" i="5"/>
  <c r="AB437" i="5"/>
  <c r="AA437" i="5"/>
  <c r="AA478" i="5"/>
  <c r="AB478" i="5"/>
  <c r="AA550" i="5"/>
  <c r="AB550" i="5"/>
  <c r="AB167" i="5"/>
  <c r="AA167" i="5"/>
  <c r="AB155" i="5"/>
  <c r="AA155" i="5"/>
  <c r="AA56" i="5"/>
  <c r="AB56" i="5"/>
  <c r="AA86" i="5"/>
  <c r="AB86" i="5"/>
  <c r="AA472" i="5"/>
  <c r="AB472" i="5"/>
  <c r="AB189" i="5"/>
  <c r="AA189" i="5"/>
  <c r="AA292" i="5"/>
  <c r="AB292" i="5"/>
  <c r="AB391" i="5"/>
  <c r="AA391" i="5"/>
  <c r="AB123" i="5"/>
  <c r="AA123" i="5"/>
  <c r="AA227" i="5"/>
  <c r="AB227" i="5"/>
  <c r="AB37" i="5"/>
  <c r="AA37" i="5"/>
  <c r="AB147" i="5"/>
  <c r="AA147" i="5"/>
  <c r="AB290" i="5"/>
  <c r="AA290" i="5"/>
  <c r="AB251" i="5"/>
  <c r="AA251" i="5"/>
  <c r="AB421" i="5"/>
  <c r="AA421" i="5"/>
  <c r="AA168" i="5"/>
  <c r="AB168" i="5"/>
  <c r="AA126" i="5"/>
  <c r="AB126" i="5"/>
  <c r="AA103" i="5"/>
  <c r="AB103" i="5"/>
  <c r="AB369" i="5"/>
  <c r="AA369" i="5"/>
  <c r="AA61" i="5"/>
  <c r="AB61" i="5"/>
  <c r="AB272" i="5"/>
  <c r="AA272" i="5"/>
  <c r="AA118" i="5"/>
  <c r="AB118" i="5"/>
  <c r="AA266" i="5"/>
  <c r="AB266" i="5"/>
  <c r="AB195" i="5"/>
  <c r="AA195" i="5"/>
  <c r="AA287" i="5"/>
  <c r="AB287" i="5"/>
  <c r="AB270" i="5"/>
  <c r="AA270" i="5"/>
  <c r="AA428" i="5"/>
  <c r="AB428" i="5"/>
  <c r="AB351" i="5"/>
  <c r="AA351" i="5"/>
  <c r="AA387" i="5"/>
  <c r="AB387" i="5"/>
  <c r="AB513" i="5"/>
  <c r="AA513" i="5"/>
  <c r="AA373" i="5"/>
  <c r="AB373" i="5"/>
  <c r="AA180" i="5"/>
  <c r="AB180" i="5"/>
  <c r="AB311" i="5"/>
  <c r="AA311" i="5"/>
  <c r="AA445" i="5"/>
  <c r="AB445" i="5"/>
  <c r="AA38" i="5"/>
  <c r="AB38" i="5"/>
  <c r="AB69" i="5"/>
  <c r="AA69" i="5"/>
  <c r="AA72" i="5"/>
  <c r="AB72" i="5"/>
  <c r="AA35" i="5"/>
  <c r="AB35" i="5"/>
  <c r="AB555" i="5"/>
  <c r="AA555" i="5"/>
  <c r="AA546" i="5"/>
  <c r="AB546" i="5"/>
  <c r="AA448" i="5"/>
  <c r="AB448" i="5"/>
  <c r="AB96" i="5"/>
  <c r="AA96" i="5"/>
  <c r="AB319" i="5"/>
  <c r="AA319" i="5"/>
  <c r="AA237" i="5"/>
  <c r="AB237" i="5"/>
  <c r="AA430" i="5"/>
  <c r="AB430" i="5"/>
  <c r="AB183" i="5"/>
  <c r="AA183" i="5"/>
  <c r="AA95" i="5"/>
  <c r="AB95" i="5"/>
  <c r="AA245" i="5"/>
  <c r="AB245" i="5"/>
  <c r="AA76" i="5"/>
  <c r="AB76" i="5"/>
  <c r="AB89" i="5"/>
  <c r="AA89" i="5"/>
  <c r="AB44" i="5"/>
  <c r="AA44" i="5"/>
  <c r="AB135" i="5"/>
  <c r="AA135" i="5"/>
  <c r="AB283" i="5"/>
  <c r="AA283" i="5"/>
  <c r="AB514" i="5"/>
  <c r="AA514" i="5"/>
  <c r="AA461" i="5"/>
  <c r="AB461" i="5"/>
  <c r="AB68" i="5"/>
  <c r="AA68" i="5"/>
  <c r="AA500" i="5"/>
  <c r="AB500" i="5"/>
  <c r="AA191" i="5"/>
  <c r="AB191" i="5"/>
  <c r="AA436" i="5"/>
  <c r="AB436" i="5"/>
  <c r="AA377" i="5"/>
  <c r="AB377" i="5"/>
  <c r="AB51" i="5"/>
  <c r="AA51" i="5"/>
  <c r="AA331" i="5"/>
  <c r="AB331" i="5"/>
  <c r="AA492" i="5"/>
  <c r="AB492" i="5"/>
  <c r="AB197" i="5"/>
  <c r="AA197" i="5"/>
  <c r="AA232" i="5"/>
  <c r="AB232" i="5"/>
  <c r="AB71" i="5"/>
  <c r="AA71" i="5"/>
  <c r="AB20" i="5"/>
  <c r="AA20" i="5"/>
  <c r="AA257" i="5"/>
  <c r="AB257" i="5"/>
  <c r="AA239" i="5"/>
  <c r="AB239" i="5"/>
  <c r="AA82" i="5"/>
  <c r="AB82" i="5"/>
  <c r="AB460" i="5"/>
  <c r="AA460" i="5"/>
  <c r="AB274" i="5"/>
  <c r="AA274" i="5"/>
  <c r="AB410" i="5"/>
  <c r="AA410" i="5"/>
  <c r="AB264" i="5"/>
  <c r="AA264" i="5"/>
  <c r="AA149" i="5"/>
  <c r="AB149" i="5"/>
  <c r="AB45" i="5"/>
  <c r="AA45" i="5"/>
  <c r="AA401" i="5"/>
  <c r="AB401" i="5"/>
  <c r="AA529" i="5"/>
  <c r="AB529" i="5"/>
  <c r="AA91" i="5"/>
  <c r="AB91" i="5"/>
  <c r="AB405" i="5"/>
  <c r="AA405" i="5"/>
  <c r="AB175" i="5"/>
  <c r="AA175" i="5"/>
  <c r="AA501" i="5"/>
  <c r="AB501" i="5"/>
  <c r="AA31" i="5"/>
  <c r="AB31" i="5"/>
  <c r="AA244" i="5"/>
  <c r="AB244" i="5"/>
  <c r="AB260" i="5"/>
  <c r="AA260" i="5"/>
  <c r="AB170" i="5"/>
  <c r="AA170" i="5"/>
  <c r="AA539" i="5"/>
  <c r="AB539" i="5"/>
  <c r="AB512" i="5"/>
  <c r="AA512" i="5"/>
  <c r="AA406" i="5"/>
  <c r="AB406" i="5"/>
  <c r="AB343" i="5"/>
  <c r="AA343" i="5"/>
  <c r="AB452" i="5"/>
  <c r="AA452" i="5"/>
  <c r="AA353" i="5"/>
  <c r="AB353" i="5"/>
  <c r="AA556" i="5"/>
  <c r="AB556" i="5"/>
  <c r="AB441" i="5"/>
  <c r="AA441" i="5"/>
  <c r="AB67" i="5"/>
  <c r="AA67" i="5"/>
  <c r="AA344" i="5"/>
  <c r="AB344" i="5"/>
  <c r="AA371" i="5"/>
  <c r="AB371" i="5"/>
  <c r="AA164" i="5"/>
  <c r="AB164" i="5"/>
  <c r="AB150" i="5"/>
  <c r="AA150" i="5"/>
  <c r="AA101" i="5"/>
  <c r="AB101" i="5"/>
  <c r="AA293" i="5"/>
  <c r="AB293" i="5"/>
  <c r="AB185" i="5"/>
  <c r="AA185" i="5"/>
  <c r="AB398" i="5"/>
  <c r="AA398" i="5"/>
  <c r="AA105" i="5"/>
  <c r="AB105" i="5"/>
  <c r="AB425" i="5"/>
  <c r="AA425" i="5"/>
  <c r="AA545" i="5"/>
  <c r="AB545" i="5"/>
  <c r="AA174" i="5"/>
  <c r="AB174" i="5"/>
  <c r="AA360" i="5"/>
  <c r="AB360" i="5"/>
  <c r="AB58" i="5"/>
  <c r="AA58" i="5"/>
  <c r="AA29" i="5"/>
  <c r="AB29" i="5"/>
  <c r="AA532" i="5"/>
  <c r="AB532" i="5"/>
  <c r="AB295" i="5"/>
  <c r="AA295" i="5"/>
  <c r="AB83" i="5"/>
  <c r="AA83" i="5"/>
  <c r="AB477" i="5"/>
  <c r="AA477" i="5"/>
  <c r="AA151" i="5"/>
  <c r="AB151" i="5"/>
  <c r="AB261" i="5"/>
  <c r="AA261" i="5"/>
  <c r="AA235" i="5"/>
  <c r="AB235" i="5"/>
  <c r="AB328" i="5"/>
  <c r="AA328" i="5"/>
  <c r="AB381" i="5"/>
  <c r="AA381" i="5"/>
  <c r="AA538" i="5"/>
  <c r="AB538" i="5"/>
  <c r="AB540" i="5"/>
  <c r="AA540" i="5"/>
  <c r="AA298" i="5"/>
  <c r="AB298" i="5"/>
  <c r="AA74" i="5"/>
  <c r="AB74" i="5"/>
  <c r="AB370" i="5"/>
  <c r="AA370" i="5"/>
  <c r="AA231" i="5"/>
  <c r="AB231" i="5"/>
  <c r="AA384" i="5"/>
  <c r="AB384" i="5"/>
  <c r="AA523" i="5"/>
  <c r="AB523" i="5"/>
  <c r="AA214" i="5"/>
  <c r="AB214" i="5"/>
  <c r="AA140" i="5"/>
  <c r="AB140" i="5"/>
  <c r="AA326" i="5"/>
  <c r="AB326" i="5"/>
  <c r="AA213" i="5"/>
  <c r="AB213" i="5"/>
  <c r="AA73" i="5"/>
  <c r="AB73" i="5"/>
  <c r="AA339" i="5"/>
  <c r="AB339" i="5"/>
  <c r="AA258" i="5"/>
  <c r="AB258" i="5"/>
  <c r="AA508" i="5"/>
  <c r="AB508" i="5"/>
  <c r="AA517" i="5"/>
  <c r="AB517" i="5"/>
  <c r="AB466" i="5"/>
  <c r="AA466" i="5"/>
  <c r="AA301" i="5"/>
  <c r="AB301" i="5"/>
  <c r="AA413" i="5"/>
  <c r="AB413" i="5"/>
  <c r="AA534" i="5"/>
  <c r="AB534" i="5"/>
  <c r="AA48" i="5"/>
  <c r="AB48" i="5"/>
  <c r="AA547" i="5"/>
  <c r="AB547" i="5"/>
  <c r="AB36" i="5"/>
  <c r="AA36" i="5"/>
  <c r="AB156" i="5"/>
  <c r="AA156" i="5"/>
  <c r="AB321" i="5"/>
  <c r="AA321" i="5"/>
  <c r="AA212" i="5"/>
  <c r="AB212" i="5"/>
  <c r="AB474" i="5"/>
  <c r="AA474" i="5"/>
  <c r="AB476" i="5"/>
  <c r="AA476" i="5"/>
  <c r="AA228" i="5"/>
  <c r="AB228" i="5"/>
  <c r="AB30" i="5"/>
  <c r="AA30" i="5"/>
  <c r="AA521" i="5"/>
  <c r="AB521" i="5"/>
  <c r="AA458" i="5"/>
  <c r="AB458" i="5"/>
  <c r="AA254" i="5"/>
  <c r="AB254" i="5"/>
  <c r="AB247" i="5"/>
  <c r="AA247" i="5"/>
  <c r="AA75" i="5"/>
  <c r="AB75" i="5"/>
  <c r="AB46" i="5"/>
  <c r="AA46" i="5"/>
  <c r="AB380" i="5"/>
  <c r="AA380" i="5"/>
  <c r="AB310" i="5"/>
  <c r="AA310" i="5"/>
  <c r="AB256" i="5"/>
  <c r="AA256" i="5"/>
  <c r="AA325" i="5"/>
  <c r="AB325" i="5"/>
  <c r="AB28" i="5"/>
  <c r="AA28" i="5"/>
  <c r="AB400" i="5"/>
  <c r="AA400" i="5"/>
  <c r="AA127" i="5"/>
  <c r="AB127" i="5"/>
  <c r="AB279" i="5"/>
  <c r="AA279" i="5"/>
  <c r="AB442" i="5"/>
  <c r="AA442" i="5"/>
  <c r="AA22" i="5"/>
  <c r="AB22" i="5"/>
  <c r="AA208" i="5"/>
  <c r="AB208" i="5"/>
  <c r="AB302" i="5"/>
  <c r="AA302" i="5"/>
  <c r="AB395" i="5"/>
  <c r="AA395" i="5"/>
  <c r="AA465" i="5"/>
  <c r="AB465" i="5"/>
  <c r="AB207" i="5"/>
  <c r="AA207" i="5"/>
  <c r="AB236" i="5"/>
  <c r="AA236" i="5"/>
  <c r="AA506" i="5"/>
  <c r="AB506" i="5"/>
  <c r="AA55" i="5"/>
  <c r="AB55" i="5"/>
  <c r="AA143" i="5"/>
  <c r="AB143" i="5"/>
  <c r="AA315" i="5"/>
  <c r="AB315" i="5"/>
  <c r="AA407" i="5"/>
  <c r="AB407" i="5"/>
  <c r="AB265" i="5"/>
  <c r="AA265" i="5"/>
  <c r="AA415" i="5"/>
  <c r="AB415" i="5"/>
  <c r="AA59" i="5"/>
  <c r="AB59" i="5"/>
  <c r="AB171" i="5"/>
  <c r="AA171" i="5"/>
  <c r="AB25" i="5"/>
  <c r="AA25" i="5"/>
  <c r="AA110" i="5"/>
  <c r="AB110" i="5"/>
  <c r="AA498" i="5"/>
  <c r="AB498" i="5"/>
  <c r="AA64" i="5"/>
  <c r="AB64" i="5"/>
  <c r="AB349" i="5"/>
  <c r="AA349" i="5"/>
  <c r="AA85" i="5"/>
  <c r="AB85" i="5"/>
  <c r="AA280" i="5"/>
  <c r="AB280" i="5"/>
  <c r="AA493" i="5"/>
  <c r="AB493" i="5"/>
  <c r="AA198" i="5"/>
  <c r="AB198" i="5"/>
  <c r="AB296" i="5"/>
  <c r="AA296" i="5"/>
  <c r="AA533" i="5"/>
  <c r="AB533" i="5"/>
  <c r="AB313" i="5"/>
  <c r="AA313" i="5"/>
  <c r="AB386" i="5"/>
  <c r="AA386" i="5"/>
  <c r="AB482" i="5"/>
  <c r="AA482" i="5"/>
  <c r="AA399" i="5"/>
  <c r="AB399" i="5"/>
  <c r="AA275" i="5"/>
  <c r="AB275" i="5"/>
  <c r="AB306" i="5"/>
  <c r="AA306" i="5"/>
  <c r="AB412" i="5"/>
  <c r="AA412" i="5"/>
  <c r="AA152" i="5"/>
  <c r="AB152" i="5"/>
  <c r="AB262" i="5"/>
  <c r="AA262" i="5"/>
  <c r="AB368" i="5"/>
  <c r="AA368" i="5"/>
  <c r="AA332" i="5"/>
  <c r="AB332" i="5"/>
  <c r="AB141" i="5"/>
  <c r="AA141" i="5"/>
  <c r="AA50" i="5"/>
  <c r="AB50" i="5"/>
  <c r="AA422" i="5"/>
  <c r="AB422" i="5"/>
  <c r="AB269" i="5"/>
  <c r="AA269" i="5"/>
  <c r="AB324" i="5"/>
  <c r="AA324" i="5"/>
  <c r="AB229" i="5"/>
  <c r="AA229" i="5"/>
  <c r="AA446" i="5"/>
  <c r="AB446" i="5"/>
  <c r="AB347" i="5"/>
  <c r="AA347" i="5"/>
  <c r="AB515" i="5"/>
  <c r="AA515" i="5"/>
  <c r="AA139" i="5"/>
  <c r="AB139" i="5"/>
  <c r="AA39" i="5"/>
  <c r="AB39" i="5"/>
  <c r="AB87" i="5"/>
  <c r="AA87" i="5"/>
  <c r="AB122" i="5"/>
  <c r="AA122" i="5"/>
  <c r="AB33" i="5"/>
  <c r="AA33" i="5"/>
  <c r="AB467" i="5"/>
  <c r="AA467" i="5"/>
  <c r="AB393" i="5"/>
  <c r="AA393" i="5"/>
  <c r="AB206" i="5"/>
  <c r="AA206" i="5"/>
  <c r="AB199" i="5"/>
  <c r="AA199" i="5"/>
  <c r="AA525" i="5"/>
  <c r="AB525" i="5"/>
  <c r="AB148" i="5"/>
  <c r="AA148" i="5"/>
  <c r="AA511" i="5"/>
  <c r="AB511" i="5"/>
  <c r="AB203" i="5"/>
  <c r="AA203" i="5"/>
  <c r="AA455" i="5"/>
  <c r="AB455" i="5"/>
  <c r="AA308" i="5"/>
  <c r="AB308" i="5"/>
  <c r="AA252" i="5"/>
  <c r="AB252" i="5"/>
  <c r="B13" i="2" l="1"/>
  <c r="B31" i="5" l="1"/>
  <c r="O10" i="5" s="1"/>
  <c r="B70" i="2"/>
  <c r="B71" i="2" s="1"/>
  <c r="B54" i="2"/>
  <c r="B55" i="2" s="1"/>
  <c r="B62" i="2"/>
  <c r="B20" i="5"/>
  <c r="B14" i="2"/>
  <c r="B156" i="2"/>
  <c r="B162" i="2" s="1"/>
  <c r="B42" i="2"/>
  <c r="B168" i="2"/>
  <c r="B57" i="2"/>
  <c r="B70" i="5"/>
  <c r="O12" i="4"/>
  <c r="B248" i="2"/>
  <c r="B17" i="5"/>
  <c r="B197" i="2"/>
  <c r="B198" i="2" s="1"/>
  <c r="B206" i="2" s="1"/>
  <c r="B117" i="2"/>
  <c r="H41" i="1" s="1"/>
  <c r="B15" i="2"/>
  <c r="H15" i="1" s="1"/>
  <c r="B42" i="5"/>
  <c r="B65" i="2"/>
  <c r="B73" i="2"/>
  <c r="B35" i="2"/>
  <c r="B36" i="2" s="1"/>
  <c r="B45" i="2" s="1"/>
  <c r="H22" i="1" s="1"/>
  <c r="B40" i="2"/>
  <c r="B107" i="2"/>
  <c r="B266" i="2"/>
  <c r="B43" i="2" l="1"/>
  <c r="B104" i="2"/>
  <c r="B105" i="2" s="1"/>
  <c r="B63" i="2"/>
  <c r="K93" i="2"/>
  <c r="B204" i="2"/>
  <c r="B201" i="2"/>
  <c r="B202" i="2" s="1"/>
  <c r="B56" i="2"/>
  <c r="B94" i="2"/>
  <c r="B83" i="2"/>
  <c r="B58" i="2"/>
  <c r="B109" i="2" s="1"/>
  <c r="B196" i="2"/>
  <c r="B72" i="2"/>
  <c r="B95" i="2"/>
  <c r="B74" i="2"/>
  <c r="B75" i="2" s="1"/>
  <c r="AW10" i="5"/>
  <c r="AZ10" i="5"/>
  <c r="AT10" i="5"/>
  <c r="T10" i="5"/>
  <c r="AJ10" i="5"/>
  <c r="Z10" i="5"/>
  <c r="B43" i="5"/>
  <c r="W231" i="5"/>
  <c r="W249" i="5"/>
  <c r="W400" i="5"/>
  <c r="W436" i="5"/>
  <c r="W148" i="5"/>
  <c r="W20" i="5"/>
  <c r="W376" i="5"/>
  <c r="W410" i="5"/>
  <c r="W499" i="5"/>
  <c r="W109" i="5"/>
  <c r="W501" i="5"/>
  <c r="W262" i="5"/>
  <c r="W416" i="5"/>
  <c r="W83" i="5"/>
  <c r="W23" i="5"/>
  <c r="W511" i="5"/>
  <c r="W168" i="5"/>
  <c r="W317" i="5"/>
  <c r="W151" i="5"/>
  <c r="W212" i="5"/>
  <c r="W229" i="5"/>
  <c r="W541" i="5"/>
  <c r="W388" i="5"/>
  <c r="W305" i="5"/>
  <c r="W466" i="5"/>
  <c r="W381" i="5"/>
  <c r="W343" i="5"/>
  <c r="W239" i="5"/>
  <c r="W89" i="5"/>
  <c r="W115" i="5"/>
  <c r="W187" i="5"/>
  <c r="W497" i="5"/>
  <c r="W140" i="5"/>
  <c r="W253" i="5"/>
  <c r="W179" i="5"/>
  <c r="W207" i="5"/>
  <c r="W379" i="5"/>
  <c r="W217" i="5"/>
  <c r="W10" i="5"/>
  <c r="W293" i="5"/>
  <c r="W413" i="5"/>
  <c r="W415" i="5"/>
  <c r="W418" i="5"/>
  <c r="W297" i="5"/>
  <c r="W160" i="5"/>
  <c r="W110" i="5"/>
  <c r="W180" i="5"/>
  <c r="W144" i="5"/>
  <c r="W339" i="5"/>
  <c r="W36" i="5"/>
  <c r="W480" i="5"/>
  <c r="W42" i="5"/>
  <c r="W311" i="5"/>
  <c r="W198" i="5"/>
  <c r="W101" i="5"/>
  <c r="W422" i="5"/>
  <c r="W485" i="5"/>
  <c r="W30" i="5"/>
  <c r="W19" i="5"/>
  <c r="W552" i="5"/>
  <c r="W348" i="5"/>
  <c r="W166" i="5"/>
  <c r="W215" i="5"/>
  <c r="W414" i="5"/>
  <c r="W246" i="5"/>
  <c r="W121" i="5"/>
  <c r="W368" i="5"/>
  <c r="W84" i="5"/>
  <c r="W200" i="5"/>
  <c r="W393" i="5"/>
  <c r="W173" i="5"/>
  <c r="W443" i="5"/>
  <c r="W74" i="5"/>
  <c r="W296" i="5"/>
  <c r="W267" i="5"/>
  <c r="W133" i="5"/>
  <c r="W334" i="5"/>
  <c r="W25" i="5"/>
  <c r="W165" i="5"/>
  <c r="W142" i="5"/>
  <c r="W437" i="5"/>
  <c r="W295" i="5"/>
  <c r="W369" i="5"/>
  <c r="W278" i="5"/>
  <c r="W92" i="5"/>
  <c r="W482" i="5"/>
  <c r="W105" i="5"/>
  <c r="W351" i="5"/>
  <c r="W208" i="5"/>
  <c r="W507" i="5"/>
  <c r="W233" i="5"/>
  <c r="W438" i="5"/>
  <c r="W221" i="5"/>
  <c r="W395" i="5"/>
  <c r="W98" i="5"/>
  <c r="W52" i="5"/>
  <c r="W269" i="5"/>
  <c r="W209" i="5"/>
  <c r="W122" i="5"/>
  <c r="W540" i="5"/>
  <c r="W145" i="5"/>
  <c r="W440" i="5"/>
  <c r="W237" i="5"/>
  <c r="W314" i="5"/>
  <c r="W301" i="5"/>
  <c r="W352" i="5"/>
  <c r="W548" i="5"/>
  <c r="W412" i="5"/>
  <c r="W177" i="5"/>
  <c r="W248" i="5"/>
  <c r="W93" i="5"/>
  <c r="W327" i="5"/>
  <c r="W34" i="5"/>
  <c r="W555" i="5"/>
  <c r="W522" i="5"/>
  <c r="W409" i="5"/>
  <c r="W199" i="5"/>
  <c r="W335" i="5"/>
  <c r="W329" i="5"/>
  <c r="W473" i="5"/>
  <c r="W312" i="5"/>
  <c r="W238" i="5"/>
  <c r="W150" i="5"/>
  <c r="W380" i="5"/>
  <c r="W322" i="5"/>
  <c r="W331" i="5"/>
  <c r="W255" i="5"/>
  <c r="W474" i="5"/>
  <c r="W29" i="5"/>
  <c r="W556" i="5"/>
  <c r="W386" i="5"/>
  <c r="W375" i="5"/>
  <c r="W471" i="5"/>
  <c r="W80" i="5"/>
  <c r="W515" i="5"/>
  <c r="W87" i="5"/>
  <c r="W472" i="5"/>
  <c r="W496" i="5"/>
  <c r="W226" i="5"/>
  <c r="W508" i="5"/>
  <c r="W408" i="5"/>
  <c r="W65" i="5"/>
  <c r="W519" i="5"/>
  <c r="W182" i="5"/>
  <c r="W542" i="5"/>
  <c r="W433" i="5"/>
  <c r="W28" i="5"/>
  <c r="W154" i="5"/>
  <c r="W38" i="5"/>
  <c r="W242" i="5"/>
  <c r="W169" i="5"/>
  <c r="W90" i="5"/>
  <c r="W68" i="5"/>
  <c r="W271" i="5"/>
  <c r="W40" i="5"/>
  <c r="W423" i="5"/>
  <c r="W385" i="5"/>
  <c r="W315" i="5"/>
  <c r="W323" i="5"/>
  <c r="W453" i="5"/>
  <c r="W359" i="5"/>
  <c r="W69" i="5"/>
  <c r="W94" i="5"/>
  <c r="W537" i="5"/>
  <c r="W491" i="5"/>
  <c r="W70" i="5"/>
  <c r="W425" i="5"/>
  <c r="W158" i="5"/>
  <c r="W178" i="5"/>
  <c r="W476" i="5"/>
  <c r="W203" i="5"/>
  <c r="W44" i="5"/>
  <c r="W294" i="5"/>
  <c r="W60" i="5"/>
  <c r="W131" i="5"/>
  <c r="W454" i="5"/>
  <c r="W75" i="5"/>
  <c r="W426" i="5"/>
  <c r="W172" i="5"/>
  <c r="W256" i="5"/>
  <c r="W326" i="5"/>
  <c r="W553" i="5"/>
  <c r="W447" i="5"/>
  <c r="W434" i="5"/>
  <c r="W467" i="5"/>
  <c r="W37" i="5"/>
  <c r="W464" i="5"/>
  <c r="W358" i="5"/>
  <c r="W228" i="5"/>
  <c r="W300" i="5"/>
  <c r="W407" i="5"/>
  <c r="W486" i="5"/>
  <c r="W350" i="5"/>
  <c r="W549" i="5"/>
  <c r="W536" i="5"/>
  <c r="W117" i="5"/>
  <c r="W390" i="5"/>
  <c r="W214" i="5"/>
  <c r="W399" i="5"/>
  <c r="W371" i="5"/>
  <c r="W273" i="5"/>
  <c r="W492" i="5"/>
  <c r="W532" i="5"/>
  <c r="W204" i="5"/>
  <c r="W136" i="5"/>
  <c r="W243" i="5"/>
  <c r="W95" i="5"/>
  <c r="W216" i="5"/>
  <c r="W282" i="5"/>
  <c r="W302" i="5"/>
  <c r="W279" i="5"/>
  <c r="W31" i="5"/>
  <c r="W543" i="5"/>
  <c r="W106" i="5"/>
  <c r="W251" i="5"/>
  <c r="W245" i="5"/>
  <c r="W506" i="5"/>
  <c r="W505" i="5"/>
  <c r="W502" i="5"/>
  <c r="W235" i="5"/>
  <c r="W62" i="5"/>
  <c r="W224" i="5"/>
  <c r="W487" i="5"/>
  <c r="W47" i="5"/>
  <c r="W382" i="5"/>
  <c r="W220" i="5"/>
  <c r="W35" i="5"/>
  <c r="W420" i="5"/>
  <c r="W266" i="5"/>
  <c r="W394" i="5"/>
  <c r="W364" i="5"/>
  <c r="W435" i="5"/>
  <c r="W164" i="5"/>
  <c r="W114" i="5"/>
  <c r="W392" i="5"/>
  <c r="W465" i="5"/>
  <c r="W59" i="5"/>
  <c r="W349" i="5"/>
  <c r="W211" i="5"/>
  <c r="W167" i="5"/>
  <c r="W138" i="5"/>
  <c r="W504" i="5"/>
  <c r="W257" i="5"/>
  <c r="W247" i="5"/>
  <c r="W517" i="5"/>
  <c r="W461" i="5"/>
  <c r="W360" i="5"/>
  <c r="W64" i="5"/>
  <c r="W123" i="5"/>
  <c r="W298" i="5"/>
  <c r="W141" i="5"/>
  <c r="W307" i="5"/>
  <c r="W325" i="5"/>
  <c r="W452" i="5"/>
  <c r="W32" i="5"/>
  <c r="W442" i="5"/>
  <c r="W469" i="5"/>
  <c r="W196" i="5"/>
  <c r="W367" i="5"/>
  <c r="W459" i="5"/>
  <c r="W421" i="5"/>
  <c r="W281" i="5"/>
  <c r="W355" i="5"/>
  <c r="W85" i="5"/>
  <c r="W139" i="5"/>
  <c r="W76" i="5"/>
  <c r="W526" i="5"/>
  <c r="W309" i="5"/>
  <c r="W468" i="5"/>
  <c r="W191" i="5"/>
  <c r="W176" i="5"/>
  <c r="W265" i="5"/>
  <c r="W374" i="5"/>
  <c r="W332" i="5"/>
  <c r="W272" i="5"/>
  <c r="W346" i="5"/>
  <c r="W67" i="5"/>
  <c r="W481" i="5"/>
  <c r="W450" i="5"/>
  <c r="W488" i="5"/>
  <c r="W189" i="5"/>
  <c r="W119" i="5"/>
  <c r="W197" i="5"/>
  <c r="W304" i="5"/>
  <c r="W299" i="5"/>
  <c r="W558" i="5"/>
  <c r="W268" i="5"/>
  <c r="W88" i="5"/>
  <c r="W523" i="5"/>
  <c r="W503" i="5"/>
  <c r="W303" i="5"/>
  <c r="W403" i="5"/>
  <c r="W475" i="5"/>
  <c r="W157" i="5"/>
  <c r="W50" i="5"/>
  <c r="W71" i="5"/>
  <c r="W56" i="5"/>
  <c r="W338" i="5"/>
  <c r="W186" i="5"/>
  <c r="W125" i="5"/>
  <c r="W354" i="5"/>
  <c r="W545" i="5"/>
  <c r="W111" i="5"/>
  <c r="W306" i="5"/>
  <c r="W33" i="5"/>
  <c r="W223" i="5"/>
  <c r="W534" i="5"/>
  <c r="W328" i="5"/>
  <c r="W82" i="5"/>
  <c r="W455" i="5"/>
  <c r="W49" i="5"/>
  <c r="W366" i="5"/>
  <c r="W183" i="5"/>
  <c r="W318" i="5"/>
  <c r="W533" i="5"/>
  <c r="W39" i="5"/>
  <c r="W495" i="5"/>
  <c r="W361" i="5"/>
  <c r="W402" i="5"/>
  <c r="W73" i="5"/>
  <c r="W405" i="5"/>
  <c r="W554" i="5"/>
  <c r="W58" i="5"/>
  <c r="W21" i="5"/>
  <c r="W97" i="5"/>
  <c r="W149" i="5"/>
  <c r="W347" i="5"/>
  <c r="W383" i="5"/>
  <c r="W451" i="5"/>
  <c r="W518" i="5"/>
  <c r="W406" i="5"/>
  <c r="W557" i="5"/>
  <c r="W462" i="5"/>
  <c r="W330" i="5"/>
  <c r="W100" i="5"/>
  <c r="W477" i="5"/>
  <c r="W108" i="5"/>
  <c r="W241" i="5"/>
  <c r="W77" i="5"/>
  <c r="W286" i="5"/>
  <c r="W490" i="5"/>
  <c r="W547" i="5"/>
  <c r="W458" i="5"/>
  <c r="W377" i="5"/>
  <c r="W72" i="5"/>
  <c r="W550" i="5"/>
  <c r="W512" i="5"/>
  <c r="W146" i="5"/>
  <c r="W270" i="5"/>
  <c r="W290" i="5"/>
  <c r="W531" i="5"/>
  <c r="W86" i="5"/>
  <c r="W161" i="5"/>
  <c r="W484" i="5"/>
  <c r="W356" i="5"/>
  <c r="W45" i="5"/>
  <c r="W539" i="5"/>
  <c r="W538" i="5"/>
  <c r="W316" i="5"/>
  <c r="W171" i="5"/>
  <c r="W24" i="5"/>
  <c r="W521" i="5"/>
  <c r="W446" i="5"/>
  <c r="W320" i="5"/>
  <c r="W510" i="5"/>
  <c r="W276" i="5"/>
  <c r="W46" i="5"/>
  <c r="W353" i="5"/>
  <c r="W188" i="5"/>
  <c r="W373" i="5"/>
  <c r="W513" i="5"/>
  <c r="W130" i="5"/>
  <c r="W127" i="5"/>
  <c r="W254" i="5"/>
  <c r="W288" i="5"/>
  <c r="W365" i="5"/>
  <c r="W193" i="5"/>
  <c r="W8" i="5"/>
  <c r="W258" i="5"/>
  <c r="W184" i="5"/>
  <c r="W509" i="5"/>
  <c r="W192" i="5"/>
  <c r="W124" i="5"/>
  <c r="W259" i="5"/>
  <c r="W551" i="5"/>
  <c r="W524" i="5"/>
  <c r="W389" i="5"/>
  <c r="W274" i="5"/>
  <c r="W120" i="5"/>
  <c r="W126" i="5"/>
  <c r="W12" i="5"/>
  <c r="W319" i="5"/>
  <c r="W457" i="5"/>
  <c r="W396" i="5"/>
  <c r="W53" i="5"/>
  <c r="W205" i="5"/>
  <c r="W445" i="5"/>
  <c r="W357" i="5"/>
  <c r="W287" i="5"/>
  <c r="W341" i="5"/>
  <c r="W308" i="5"/>
  <c r="W285" i="5"/>
  <c r="W345" i="5"/>
  <c r="W283" i="5"/>
  <c r="W61" i="5"/>
  <c r="W559" i="5"/>
  <c r="W132" i="5"/>
  <c r="W498" i="5"/>
  <c r="W63" i="5"/>
  <c r="W54" i="5"/>
  <c r="W181" i="5"/>
  <c r="W419" i="5"/>
  <c r="W48" i="5"/>
  <c r="W560" i="5"/>
  <c r="W91" i="5"/>
  <c r="W155" i="5"/>
  <c r="W222" i="5"/>
  <c r="W234" i="5"/>
  <c r="W170" i="5"/>
  <c r="W516" i="5"/>
  <c r="W236" i="5"/>
  <c r="W147" i="5"/>
  <c r="W444" i="5"/>
  <c r="W493" i="5"/>
  <c r="W252" i="5"/>
  <c r="W227" i="5"/>
  <c r="W225" i="5"/>
  <c r="W143" i="5"/>
  <c r="W194" i="5"/>
  <c r="W479" i="5"/>
  <c r="W404" i="5"/>
  <c r="W372" i="5"/>
  <c r="W441" i="5"/>
  <c r="W41" i="5"/>
  <c r="W213" i="5"/>
  <c r="W280" i="5"/>
  <c r="W162" i="5"/>
  <c r="W128" i="5"/>
  <c r="W107" i="5"/>
  <c r="W275" i="5"/>
  <c r="W134" i="5"/>
  <c r="W201" i="5"/>
  <c r="W514" i="5"/>
  <c r="W546" i="5"/>
  <c r="W470" i="5"/>
  <c r="W277" i="5"/>
  <c r="W289" i="5"/>
  <c r="W378" i="5"/>
  <c r="W432" i="5"/>
  <c r="W99" i="5"/>
  <c r="W51" i="5"/>
  <c r="W118" i="5"/>
  <c r="W78" i="5"/>
  <c r="W324" i="5"/>
  <c r="W460" i="5"/>
  <c r="W219" i="5"/>
  <c r="W313" i="5"/>
  <c r="W113" i="5"/>
  <c r="W363" i="5"/>
  <c r="W195" i="5"/>
  <c r="W528" i="5"/>
  <c r="W57" i="5"/>
  <c r="W103" i="5"/>
  <c r="W337" i="5"/>
  <c r="W244" i="5"/>
  <c r="W163" i="5"/>
  <c r="W439" i="5"/>
  <c r="W384" i="5"/>
  <c r="W342" i="5"/>
  <c r="W529" i="5"/>
  <c r="W431" i="5"/>
  <c r="W417" i="5"/>
  <c r="W478" i="5"/>
  <c r="W260" i="5"/>
  <c r="W261" i="5"/>
  <c r="W210" i="5"/>
  <c r="W153" i="5"/>
  <c r="W291" i="5"/>
  <c r="W500" i="5"/>
  <c r="W55" i="5"/>
  <c r="W530" i="5"/>
  <c r="W430" i="5"/>
  <c r="W232" i="5"/>
  <c r="W520" i="5"/>
  <c r="W240" i="5"/>
  <c r="W174" i="5"/>
  <c r="W340" i="5"/>
  <c r="W190" i="5"/>
  <c r="W387" i="5"/>
  <c r="W43" i="5"/>
  <c r="W250" i="5"/>
  <c r="W27" i="5"/>
  <c r="W401" i="5"/>
  <c r="O9" i="5"/>
  <c r="W333" i="5"/>
  <c r="W81" i="5"/>
  <c r="W427" i="5"/>
  <c r="W292" i="5"/>
  <c r="W456" i="5"/>
  <c r="W397" i="5"/>
  <c r="W129" i="5"/>
  <c r="W230" i="5"/>
  <c r="W489" i="5"/>
  <c r="W66" i="5"/>
  <c r="W362" i="5"/>
  <c r="W535" i="5"/>
  <c r="W424" i="5"/>
  <c r="W483" i="5"/>
  <c r="W391" i="5"/>
  <c r="W104" i="5"/>
  <c r="W22" i="5"/>
  <c r="W398" i="5"/>
  <c r="W159" i="5"/>
  <c r="W218" i="5"/>
  <c r="W202" i="5"/>
  <c r="W544" i="5"/>
  <c r="W429" i="5"/>
  <c r="W137" i="5"/>
  <c r="W449" i="5"/>
  <c r="W116" i="5"/>
  <c r="W96" i="5"/>
  <c r="W206" i="5"/>
  <c r="W264" i="5"/>
  <c r="W411" i="5"/>
  <c r="W102" i="5"/>
  <c r="W152" i="5"/>
  <c r="W525" i="5"/>
  <c r="W527" i="5"/>
  <c r="W284" i="5"/>
  <c r="W13" i="5"/>
  <c r="W336" i="5"/>
  <c r="W112" i="5"/>
  <c r="W321" i="5"/>
  <c r="W370" i="5"/>
  <c r="W310" i="5"/>
  <c r="W156" i="5"/>
  <c r="W263" i="5"/>
  <c r="W463" i="5"/>
  <c r="W428" i="5"/>
  <c r="W175" i="5"/>
  <c r="W79" i="5"/>
  <c r="W494" i="5"/>
  <c r="W448" i="5"/>
  <c r="W135" i="5"/>
  <c r="W26" i="5"/>
  <c r="W344" i="5"/>
  <c r="W185" i="5"/>
  <c r="B211" i="2"/>
  <c r="B216" i="2" s="1"/>
  <c r="B77" i="5"/>
  <c r="B72" i="5"/>
  <c r="B160" i="2"/>
  <c r="P7" i="5" s="1"/>
  <c r="B36" i="5"/>
  <c r="B73" i="5"/>
  <c r="B112" i="2"/>
  <c r="S21" i="4"/>
  <c r="V21" i="4" s="1"/>
  <c r="S61" i="4"/>
  <c r="V61" i="4" s="1"/>
  <c r="S142" i="4"/>
  <c r="V142" i="4" s="1"/>
  <c r="S9" i="4"/>
  <c r="V9" i="4" s="1"/>
  <c r="S12" i="4"/>
  <c r="V12" i="4" s="1"/>
  <c r="S154" i="4"/>
  <c r="V154" i="4" s="1"/>
  <c r="S80" i="4"/>
  <c r="V80" i="4" s="1"/>
  <c r="S25" i="4"/>
  <c r="V25" i="4" s="1"/>
  <c r="S103" i="4"/>
  <c r="V103" i="4" s="1"/>
  <c r="S67" i="4"/>
  <c r="V67" i="4" s="1"/>
  <c r="S150" i="4"/>
  <c r="V150" i="4" s="1"/>
  <c r="S39" i="4"/>
  <c r="V39" i="4" s="1"/>
  <c r="S71" i="4"/>
  <c r="V71" i="4" s="1"/>
  <c r="S36" i="4"/>
  <c r="V36" i="4" s="1"/>
  <c r="S54" i="4"/>
  <c r="V54" i="4" s="1"/>
  <c r="S95" i="4"/>
  <c r="V95" i="4" s="1"/>
  <c r="S19" i="4"/>
  <c r="V19" i="4" s="1"/>
  <c r="S141" i="4"/>
  <c r="V141" i="4" s="1"/>
  <c r="S57" i="4"/>
  <c r="V57" i="4" s="1"/>
  <c r="S108" i="4"/>
  <c r="V108" i="4" s="1"/>
  <c r="S49" i="4"/>
  <c r="V49" i="4" s="1"/>
  <c r="S143" i="4"/>
  <c r="V143" i="4" s="1"/>
  <c r="S138" i="4"/>
  <c r="V138" i="4" s="1"/>
  <c r="S62" i="4"/>
  <c r="V62" i="4" s="1"/>
  <c r="S111" i="4"/>
  <c r="V111" i="4" s="1"/>
  <c r="S31" i="4"/>
  <c r="V31" i="4" s="1"/>
  <c r="S70" i="4"/>
  <c r="V70" i="4" s="1"/>
  <c r="S102" i="4"/>
  <c r="V102" i="4" s="1"/>
  <c r="S157" i="4"/>
  <c r="V157" i="4" s="1"/>
  <c r="S14" i="4"/>
  <c r="V14" i="4" s="1"/>
  <c r="S51" i="4"/>
  <c r="V51" i="4" s="1"/>
  <c r="S28" i="4"/>
  <c r="V28" i="4" s="1"/>
  <c r="S13" i="4"/>
  <c r="V13" i="4" s="1"/>
  <c r="S33" i="4"/>
  <c r="V33" i="4" s="1"/>
  <c r="S148" i="4"/>
  <c r="V148" i="4" s="1"/>
  <c r="S46" i="4"/>
  <c r="V46" i="4" s="1"/>
  <c r="S155" i="4"/>
  <c r="V155" i="4" s="1"/>
  <c r="S52" i="4"/>
  <c r="V52" i="4" s="1"/>
  <c r="S10" i="4"/>
  <c r="V10" i="4" s="1"/>
  <c r="S56" i="4"/>
  <c r="V56" i="4" s="1"/>
  <c r="S92" i="4"/>
  <c r="V92" i="4" s="1"/>
  <c r="S145" i="4"/>
  <c r="V145" i="4" s="1"/>
  <c r="S84" i="4"/>
  <c r="V84" i="4" s="1"/>
  <c r="S50" i="4"/>
  <c r="V50" i="4" s="1"/>
  <c r="S73" i="4"/>
  <c r="V73" i="4" s="1"/>
  <c r="S101" i="4"/>
  <c r="V101" i="4" s="1"/>
  <c r="S24" i="4"/>
  <c r="V24" i="4" s="1"/>
  <c r="S68" i="4"/>
  <c r="V68" i="4" s="1"/>
  <c r="S133" i="4"/>
  <c r="V133" i="4" s="1"/>
  <c r="S117" i="4"/>
  <c r="V117" i="4" s="1"/>
  <c r="S144" i="4"/>
  <c r="V144" i="4" s="1"/>
  <c r="S96" i="4"/>
  <c r="V96" i="4" s="1"/>
  <c r="S152" i="4"/>
  <c r="V152" i="4" s="1"/>
  <c r="S44" i="4"/>
  <c r="V44" i="4" s="1"/>
  <c r="S35" i="4"/>
  <c r="V35" i="4" s="1"/>
  <c r="S37" i="4"/>
  <c r="V37" i="4" s="1"/>
  <c r="S38" i="4"/>
  <c r="V38" i="4" s="1"/>
  <c r="S17" i="4"/>
  <c r="V17" i="4" s="1"/>
  <c r="S128" i="4"/>
  <c r="V128" i="4" s="1"/>
  <c r="S48" i="4"/>
  <c r="V48" i="4" s="1"/>
  <c r="S124" i="4"/>
  <c r="V124" i="4" s="1"/>
  <c r="S93" i="4"/>
  <c r="V93" i="4" s="1"/>
  <c r="S118" i="4"/>
  <c r="V118" i="4" s="1"/>
  <c r="S41" i="4"/>
  <c r="V41" i="4" s="1"/>
  <c r="S75" i="4"/>
  <c r="V75" i="4" s="1"/>
  <c r="S7" i="4"/>
  <c r="V7" i="4" s="1"/>
  <c r="S106" i="4"/>
  <c r="V106" i="4" s="1"/>
  <c r="S83" i="4"/>
  <c r="V83" i="4" s="1"/>
  <c r="S26" i="4"/>
  <c r="V26" i="4" s="1"/>
  <c r="S30" i="4"/>
  <c r="V30" i="4" s="1"/>
  <c r="S97" i="4"/>
  <c r="V97" i="4" s="1"/>
  <c r="S76" i="4"/>
  <c r="V76" i="4" s="1"/>
  <c r="S127" i="4"/>
  <c r="V127" i="4" s="1"/>
  <c r="S132" i="4"/>
  <c r="V132" i="4" s="1"/>
  <c r="S88" i="4"/>
  <c r="V88" i="4" s="1"/>
  <c r="S34" i="4"/>
  <c r="V34" i="4" s="1"/>
  <c r="S110" i="4"/>
  <c r="V110" i="4" s="1"/>
  <c r="S59" i="4"/>
  <c r="V59" i="4" s="1"/>
  <c r="S114" i="4"/>
  <c r="V114" i="4" s="1"/>
  <c r="S53" i="4"/>
  <c r="V53" i="4" s="1"/>
  <c r="S18" i="4"/>
  <c r="V18" i="4" s="1"/>
  <c r="S42" i="4"/>
  <c r="V42" i="4" s="1"/>
  <c r="S140" i="4"/>
  <c r="V140" i="4" s="1"/>
  <c r="S113" i="4"/>
  <c r="V113" i="4" s="1"/>
  <c r="S123" i="4"/>
  <c r="V123" i="4" s="1"/>
  <c r="S15" i="4"/>
  <c r="V15" i="4" s="1"/>
  <c r="S69" i="4"/>
  <c r="V69" i="4" s="1"/>
  <c r="S87" i="4"/>
  <c r="V87" i="4" s="1"/>
  <c r="S156" i="4"/>
  <c r="V156" i="4" s="1"/>
  <c r="S94" i="4"/>
  <c r="V94" i="4" s="1"/>
  <c r="S20" i="4"/>
  <c r="V20" i="4" s="1"/>
  <c r="S109" i="4"/>
  <c r="V109" i="4" s="1"/>
  <c r="S60" i="4"/>
  <c r="V60" i="4" s="1"/>
  <c r="S86" i="4"/>
  <c r="V86" i="4" s="1"/>
  <c r="S27" i="4"/>
  <c r="V27" i="4" s="1"/>
  <c r="S91" i="4"/>
  <c r="V91" i="4" s="1"/>
  <c r="S77" i="4"/>
  <c r="V77" i="4" s="1"/>
  <c r="S8" i="4"/>
  <c r="V8" i="4" s="1"/>
  <c r="S135" i="4"/>
  <c r="V135" i="4" s="1"/>
  <c r="S136" i="4"/>
  <c r="V136" i="4" s="1"/>
  <c r="S58" i="4"/>
  <c r="V58" i="4" s="1"/>
  <c r="S120" i="4"/>
  <c r="V120" i="4" s="1"/>
  <c r="S47" i="4"/>
  <c r="V47" i="4" s="1"/>
  <c r="S151" i="4"/>
  <c r="V151" i="4" s="1"/>
  <c r="S40" i="4"/>
  <c r="V40" i="4" s="1"/>
  <c r="S32" i="4"/>
  <c r="V32" i="4" s="1"/>
  <c r="S55" i="4"/>
  <c r="V55" i="4" s="1"/>
  <c r="S89" i="4"/>
  <c r="V89" i="4" s="1"/>
  <c r="S153" i="4"/>
  <c r="V153" i="4" s="1"/>
  <c r="S121" i="4"/>
  <c r="V121" i="4" s="1"/>
  <c r="S104" i="4"/>
  <c r="V104" i="4" s="1"/>
  <c r="S129" i="4"/>
  <c r="V129" i="4" s="1"/>
  <c r="S22" i="4"/>
  <c r="V22" i="4" s="1"/>
  <c r="S90" i="4"/>
  <c r="V90" i="4" s="1"/>
  <c r="S105" i="4"/>
  <c r="V105" i="4" s="1"/>
  <c r="S122" i="4"/>
  <c r="V122" i="4" s="1"/>
  <c r="S149" i="4"/>
  <c r="V149" i="4" s="1"/>
  <c r="S147" i="4"/>
  <c r="V147" i="4" s="1"/>
  <c r="S78" i="4"/>
  <c r="V78" i="4" s="1"/>
  <c r="S98" i="4"/>
  <c r="V98" i="4" s="1"/>
  <c r="S125" i="4"/>
  <c r="V125" i="4" s="1"/>
  <c r="S72" i="4"/>
  <c r="V72" i="4" s="1"/>
  <c r="S16" i="4"/>
  <c r="V16" i="4" s="1"/>
  <c r="S29" i="4"/>
  <c r="V29" i="4" s="1"/>
  <c r="S66" i="4"/>
  <c r="V66" i="4" s="1"/>
  <c r="S126" i="4"/>
  <c r="V126" i="4" s="1"/>
  <c r="S82" i="4"/>
  <c r="V82" i="4" s="1"/>
  <c r="S64" i="4"/>
  <c r="V64" i="4" s="1"/>
  <c r="S115" i="4"/>
  <c r="V115" i="4" s="1"/>
  <c r="S45" i="4"/>
  <c r="V45" i="4" s="1"/>
  <c r="S130" i="4"/>
  <c r="V130" i="4" s="1"/>
  <c r="S99" i="4"/>
  <c r="V99" i="4" s="1"/>
  <c r="S23" i="4"/>
  <c r="V23" i="4" s="1"/>
  <c r="S116" i="4"/>
  <c r="V116" i="4" s="1"/>
  <c r="S139" i="4"/>
  <c r="V139" i="4" s="1"/>
  <c r="S146" i="4"/>
  <c r="V146" i="4" s="1"/>
  <c r="S134" i="4"/>
  <c r="V134" i="4" s="1"/>
  <c r="S81" i="4"/>
  <c r="V81" i="4" s="1"/>
  <c r="S43" i="4"/>
  <c r="V43" i="4" s="1"/>
  <c r="S79" i="4"/>
  <c r="V79" i="4" s="1"/>
  <c r="S112" i="4"/>
  <c r="V112" i="4" s="1"/>
  <c r="S137" i="4"/>
  <c r="V137" i="4" s="1"/>
  <c r="S100" i="4"/>
  <c r="V100" i="4" s="1"/>
  <c r="S65" i="4"/>
  <c r="V65" i="4" s="1"/>
  <c r="S11" i="4"/>
  <c r="V11" i="4" s="1"/>
  <c r="S107" i="4"/>
  <c r="V107" i="4" s="1"/>
  <c r="S119" i="4"/>
  <c r="V119" i="4" s="1"/>
  <c r="S85" i="4"/>
  <c r="V85" i="4" s="1"/>
  <c r="S131" i="4"/>
  <c r="V131" i="4" s="1"/>
  <c r="S74" i="4"/>
  <c r="V74" i="4" s="1"/>
  <c r="S63" i="4"/>
  <c r="V63" i="4" s="1"/>
  <c r="B268" i="2"/>
  <c r="B267" i="2"/>
  <c r="B249" i="2"/>
  <c r="B250" i="2"/>
  <c r="B169" i="2"/>
  <c r="W7" i="5"/>
  <c r="Q7" i="5"/>
  <c r="B163" i="2"/>
  <c r="B181" i="2" s="1"/>
  <c r="B80" i="2" l="1"/>
  <c r="B108" i="2"/>
  <c r="H36" i="1" s="1"/>
  <c r="B59" i="2"/>
  <c r="H25" i="1" s="1"/>
  <c r="W79" i="4"/>
  <c r="AM79" i="4"/>
  <c r="W64" i="4"/>
  <c r="Y64" i="4" s="1"/>
  <c r="AR64" i="4" s="1"/>
  <c r="AM64" i="4"/>
  <c r="AM122" i="4"/>
  <c r="W122" i="4"/>
  <c r="AM151" i="4"/>
  <c r="W151" i="4"/>
  <c r="W109" i="4"/>
  <c r="AM109" i="4"/>
  <c r="W53" i="4"/>
  <c r="Y53" i="4" s="1"/>
  <c r="AR53" i="4" s="1"/>
  <c r="AM53" i="4"/>
  <c r="AM83" i="4"/>
  <c r="W83" i="4"/>
  <c r="Y83" i="4" s="1"/>
  <c r="AR83" i="4" s="1"/>
  <c r="W37" i="4"/>
  <c r="Y37" i="4" s="1"/>
  <c r="AR37" i="4" s="1"/>
  <c r="AM37" i="4"/>
  <c r="W50" i="4"/>
  <c r="Y50" i="4" s="1"/>
  <c r="AR50" i="4" s="1"/>
  <c r="AM50" i="4"/>
  <c r="AM28" i="4"/>
  <c r="W28" i="4"/>
  <c r="Y28" i="4" s="1"/>
  <c r="AR28" i="4" s="1"/>
  <c r="W108" i="4"/>
  <c r="AM108" i="4"/>
  <c r="W25" i="4"/>
  <c r="Y25" i="4" s="1"/>
  <c r="AR25" i="4" s="1"/>
  <c r="AM25" i="4"/>
  <c r="W63" i="4"/>
  <c r="AM63" i="4"/>
  <c r="AM119" i="4"/>
  <c r="W119" i="4"/>
  <c r="Y119" i="4" s="1"/>
  <c r="AR119" i="4" s="1"/>
  <c r="AM139" i="4"/>
  <c r="W139" i="4"/>
  <c r="Y139" i="4" s="1"/>
  <c r="AR139" i="4" s="1"/>
  <c r="W16" i="4"/>
  <c r="Y16" i="4" s="1"/>
  <c r="AR16" i="4" s="1"/>
  <c r="AM16" i="4"/>
  <c r="W104" i="4"/>
  <c r="Y104" i="4" s="1"/>
  <c r="AR104" i="4" s="1"/>
  <c r="AM104" i="4"/>
  <c r="AM135" i="4"/>
  <c r="W135" i="4"/>
  <c r="AM69" i="4"/>
  <c r="W69" i="4"/>
  <c r="W88" i="4"/>
  <c r="Y88" i="4" s="1"/>
  <c r="AR88" i="4" s="1"/>
  <c r="AM88" i="4"/>
  <c r="AM97" i="4"/>
  <c r="W97" i="4"/>
  <c r="AM128" i="4"/>
  <c r="W128" i="4"/>
  <c r="W24" i="4"/>
  <c r="Y24" i="4" s="1"/>
  <c r="AR24" i="4" s="1"/>
  <c r="AM24" i="4"/>
  <c r="AM148" i="4"/>
  <c r="W148" i="4"/>
  <c r="W138" i="4"/>
  <c r="Y138" i="4" s="1"/>
  <c r="AR138" i="4" s="1"/>
  <c r="AM138" i="4"/>
  <c r="W150" i="4"/>
  <c r="Y150" i="4" s="1"/>
  <c r="AR150" i="4" s="1"/>
  <c r="AM150" i="4"/>
  <c r="AM80" i="4"/>
  <c r="W80" i="4"/>
  <c r="Y80" i="4" s="1"/>
  <c r="AR80" i="4" s="1"/>
  <c r="AM74" i="4"/>
  <c r="W74" i="4"/>
  <c r="W107" i="4"/>
  <c r="Y107" i="4" s="1"/>
  <c r="AR107" i="4" s="1"/>
  <c r="AM107" i="4"/>
  <c r="W137" i="4"/>
  <c r="AM137" i="4"/>
  <c r="W81" i="4"/>
  <c r="AM81" i="4"/>
  <c r="AM116" i="4"/>
  <c r="W116" i="4"/>
  <c r="AM45" i="4"/>
  <c r="W45" i="4"/>
  <c r="Y45" i="4" s="1"/>
  <c r="AR45" i="4" s="1"/>
  <c r="W126" i="4"/>
  <c r="AM126" i="4"/>
  <c r="AM72" i="4"/>
  <c r="W72" i="4"/>
  <c r="Y72" i="4" s="1"/>
  <c r="AR72" i="4" s="1"/>
  <c r="AM147" i="4"/>
  <c r="W147" i="4"/>
  <c r="Y147" i="4" s="1"/>
  <c r="AR147" i="4" s="1"/>
  <c r="AM90" i="4"/>
  <c r="W90" i="4"/>
  <c r="W121" i="4"/>
  <c r="AM121" i="4"/>
  <c r="AM32" i="4"/>
  <c r="W32" i="4"/>
  <c r="Y32" i="4" s="1"/>
  <c r="AR32" i="4" s="1"/>
  <c r="W120" i="4"/>
  <c r="Y120" i="4" s="1"/>
  <c r="AR120" i="4" s="1"/>
  <c r="AM120" i="4"/>
  <c r="W8" i="4"/>
  <c r="Y8" i="4" s="1"/>
  <c r="AR8" i="4" s="1"/>
  <c r="AM8" i="4"/>
  <c r="AM86" i="4"/>
  <c r="W86" i="4"/>
  <c r="W94" i="4"/>
  <c r="AM94" i="4"/>
  <c r="W15" i="4"/>
  <c r="Y15" i="4" s="1"/>
  <c r="AR15" i="4" s="1"/>
  <c r="AM15" i="4"/>
  <c r="AM42" i="4"/>
  <c r="W42" i="4"/>
  <c r="Y42" i="4" s="1"/>
  <c r="AR42" i="4" s="1"/>
  <c r="W59" i="4"/>
  <c r="AM59" i="4"/>
  <c r="W132" i="4"/>
  <c r="Y132" i="4" s="1"/>
  <c r="AR132" i="4" s="1"/>
  <c r="AM132" i="4"/>
  <c r="W30" i="4"/>
  <c r="Y30" i="4" s="1"/>
  <c r="AR30" i="4" s="1"/>
  <c r="AM30" i="4"/>
  <c r="AM7" i="4"/>
  <c r="W7" i="4"/>
  <c r="Y7" i="4" s="1"/>
  <c r="AR7" i="4" s="1"/>
  <c r="AM93" i="4"/>
  <c r="W93" i="4"/>
  <c r="W17" i="4"/>
  <c r="Y17" i="4" s="1"/>
  <c r="AR17" i="4" s="1"/>
  <c r="AM17" i="4"/>
  <c r="W44" i="4"/>
  <c r="Y44" i="4" s="1"/>
  <c r="AR44" i="4" s="1"/>
  <c r="AM44" i="4"/>
  <c r="AM117" i="4"/>
  <c r="W117" i="4"/>
  <c r="AM101" i="4"/>
  <c r="W101" i="4"/>
  <c r="W145" i="4"/>
  <c r="AM145" i="4"/>
  <c r="AM52" i="4"/>
  <c r="W52" i="4"/>
  <c r="Y52" i="4" s="1"/>
  <c r="AR52" i="4" s="1"/>
  <c r="AM33" i="4"/>
  <c r="W33" i="4"/>
  <c r="Y33" i="4" s="1"/>
  <c r="AR33" i="4" s="1"/>
  <c r="AM14" i="4"/>
  <c r="W14" i="4"/>
  <c r="Y14" i="4" s="1"/>
  <c r="AR14" i="4" s="1"/>
  <c r="AM31" i="4"/>
  <c r="W31" i="4"/>
  <c r="Y31" i="4" s="1"/>
  <c r="AR31" i="4" s="1"/>
  <c r="W143" i="4"/>
  <c r="AM143" i="4"/>
  <c r="W141" i="4"/>
  <c r="AM141" i="4"/>
  <c r="AM36" i="4"/>
  <c r="W36" i="4"/>
  <c r="Y36" i="4" s="1"/>
  <c r="AR36" i="4" s="1"/>
  <c r="AM67" i="4"/>
  <c r="W67" i="4"/>
  <c r="W154" i="4"/>
  <c r="AM154" i="4"/>
  <c r="W61" i="4"/>
  <c r="AM61" i="4"/>
  <c r="AA10" i="5"/>
  <c r="AB10" i="5"/>
  <c r="BA10" i="5"/>
  <c r="BB10" i="5"/>
  <c r="H32" i="1"/>
  <c r="B97" i="2"/>
  <c r="AM85" i="4"/>
  <c r="W85" i="4"/>
  <c r="AM99" i="4"/>
  <c r="W99" i="4"/>
  <c r="Y99" i="4" s="1"/>
  <c r="AR99" i="4" s="1"/>
  <c r="W29" i="4"/>
  <c r="Y29" i="4" s="1"/>
  <c r="AR29" i="4" s="1"/>
  <c r="AM29" i="4"/>
  <c r="W89" i="4"/>
  <c r="AM89" i="4"/>
  <c r="AM91" i="4"/>
  <c r="W91" i="4"/>
  <c r="Y91" i="4" s="1"/>
  <c r="AR91" i="4" s="1"/>
  <c r="W113" i="4"/>
  <c r="AM113" i="4"/>
  <c r="AM76" i="4"/>
  <c r="W76" i="4"/>
  <c r="W41" i="4"/>
  <c r="Y41" i="4" s="1"/>
  <c r="AR41" i="4" s="1"/>
  <c r="AM41" i="4"/>
  <c r="AM96" i="4"/>
  <c r="W96" i="4"/>
  <c r="AM56" i="4"/>
  <c r="W56" i="4"/>
  <c r="AM102" i="4"/>
  <c r="W102" i="4"/>
  <c r="AM95" i="4"/>
  <c r="W95" i="4"/>
  <c r="W43" i="4"/>
  <c r="Y43" i="4" s="1"/>
  <c r="AR43" i="4" s="1"/>
  <c r="AM43" i="4"/>
  <c r="W82" i="4"/>
  <c r="AM82" i="4"/>
  <c r="AM105" i="4"/>
  <c r="W105" i="4"/>
  <c r="W47" i="4"/>
  <c r="Y47" i="4" s="1"/>
  <c r="AR47" i="4" s="1"/>
  <c r="AM47" i="4"/>
  <c r="W20" i="4"/>
  <c r="Y20" i="4" s="1"/>
  <c r="AR20" i="4" s="1"/>
  <c r="AM20" i="4"/>
  <c r="W114" i="4"/>
  <c r="AM114" i="4"/>
  <c r="AM118" i="4"/>
  <c r="W118" i="4"/>
  <c r="AM144" i="4"/>
  <c r="W144" i="4"/>
  <c r="W84" i="4"/>
  <c r="Y84" i="4" s="1"/>
  <c r="AR84" i="4" s="1"/>
  <c r="AM84" i="4"/>
  <c r="W70" i="4"/>
  <c r="Y70" i="4" s="1"/>
  <c r="AR70" i="4" s="1"/>
  <c r="AM70" i="4"/>
  <c r="AM54" i="4"/>
  <c r="W54" i="4"/>
  <c r="AM131" i="4"/>
  <c r="W131" i="4"/>
  <c r="W11" i="4"/>
  <c r="Y11" i="4" s="1"/>
  <c r="AR11" i="4" s="1"/>
  <c r="AM11" i="4"/>
  <c r="AM112" i="4"/>
  <c r="W112" i="4"/>
  <c r="W134" i="4"/>
  <c r="AM134" i="4"/>
  <c r="W23" i="4"/>
  <c r="Y23" i="4" s="1"/>
  <c r="AR23" i="4" s="1"/>
  <c r="AM23" i="4"/>
  <c r="AM115" i="4"/>
  <c r="W115" i="4"/>
  <c r="Y115" i="4" s="1"/>
  <c r="AR115" i="4" s="1"/>
  <c r="W66" i="4"/>
  <c r="AM66" i="4"/>
  <c r="AM125" i="4"/>
  <c r="W125" i="4"/>
  <c r="AM149" i="4"/>
  <c r="W149" i="4"/>
  <c r="W22" i="4"/>
  <c r="Y22" i="4" s="1"/>
  <c r="AR22" i="4" s="1"/>
  <c r="AM22" i="4"/>
  <c r="AM153" i="4"/>
  <c r="W153" i="4"/>
  <c r="Y153" i="4" s="1"/>
  <c r="AR153" i="4" s="1"/>
  <c r="W40" i="4"/>
  <c r="Y40" i="4" s="1"/>
  <c r="AR40" i="4" s="1"/>
  <c r="AM40" i="4"/>
  <c r="AM58" i="4"/>
  <c r="W58" i="4"/>
  <c r="AM77" i="4"/>
  <c r="W77" i="4"/>
  <c r="W60" i="4"/>
  <c r="AM60" i="4"/>
  <c r="W156" i="4"/>
  <c r="AM156" i="4"/>
  <c r="W123" i="4"/>
  <c r="AM123" i="4"/>
  <c r="AM18" i="4"/>
  <c r="W18" i="4"/>
  <c r="Y18" i="4" s="1"/>
  <c r="AR18" i="4" s="1"/>
  <c r="W110" i="4"/>
  <c r="AM110" i="4"/>
  <c r="AM127" i="4"/>
  <c r="W127" i="4"/>
  <c r="W26" i="4"/>
  <c r="Y26" i="4" s="1"/>
  <c r="AR26" i="4" s="1"/>
  <c r="AM26" i="4"/>
  <c r="AM75" i="4"/>
  <c r="W75" i="4"/>
  <c r="W124" i="4"/>
  <c r="AM124" i="4"/>
  <c r="AM38" i="4"/>
  <c r="W38" i="4"/>
  <c r="Y38" i="4" s="1"/>
  <c r="AR38" i="4" s="1"/>
  <c r="AM152" i="4"/>
  <c r="W152" i="4"/>
  <c r="AM133" i="4"/>
  <c r="W133" i="4"/>
  <c r="W73" i="4"/>
  <c r="AM73" i="4"/>
  <c r="AM92" i="4"/>
  <c r="W92" i="4"/>
  <c r="AM155" i="4"/>
  <c r="W155" i="4"/>
  <c r="W13" i="4"/>
  <c r="Y13" i="4" s="1"/>
  <c r="AR13" i="4" s="1"/>
  <c r="AM13" i="4"/>
  <c r="W157" i="4"/>
  <c r="Y157" i="4" s="1"/>
  <c r="AR157" i="4" s="1"/>
  <c r="AM157" i="4"/>
  <c r="AM111" i="4"/>
  <c r="W111" i="4"/>
  <c r="W49" i="4"/>
  <c r="Y49" i="4" s="1"/>
  <c r="AR49" i="4" s="1"/>
  <c r="AM49" i="4"/>
  <c r="AM19" i="4"/>
  <c r="W19" i="4"/>
  <c r="Y19" i="4" s="1"/>
  <c r="AR19" i="4" s="1"/>
  <c r="W71" i="4"/>
  <c r="Y71" i="4" s="1"/>
  <c r="AR71" i="4" s="1"/>
  <c r="AM71" i="4"/>
  <c r="AM103" i="4"/>
  <c r="W103" i="4"/>
  <c r="Y103" i="4" s="1"/>
  <c r="AR103" i="4" s="1"/>
  <c r="W12" i="4"/>
  <c r="Y12" i="4" s="1"/>
  <c r="AR12" i="4" s="1"/>
  <c r="AM12" i="4"/>
  <c r="W21" i="4"/>
  <c r="Y21" i="4" s="1"/>
  <c r="AR21" i="4" s="1"/>
  <c r="AM21" i="4"/>
  <c r="AL10" i="5"/>
  <c r="AK10" i="5"/>
  <c r="AX10" i="5"/>
  <c r="AY10" i="5"/>
  <c r="U10" i="5"/>
  <c r="V10" i="5"/>
  <c r="AM65" i="4"/>
  <c r="W65" i="4"/>
  <c r="AM146" i="4"/>
  <c r="W146" i="4"/>
  <c r="Y146" i="4" s="1"/>
  <c r="AR146" i="4" s="1"/>
  <c r="W98" i="4"/>
  <c r="AM98" i="4"/>
  <c r="AM129" i="4"/>
  <c r="W129" i="4"/>
  <c r="AM136" i="4"/>
  <c r="W136" i="4"/>
  <c r="W87" i="4"/>
  <c r="Y87" i="4" s="1"/>
  <c r="AR87" i="4" s="1"/>
  <c r="AM87" i="4"/>
  <c r="W34" i="4"/>
  <c r="Y34" i="4" s="1"/>
  <c r="AR34" i="4" s="1"/>
  <c r="AM34" i="4"/>
  <c r="W48" i="4"/>
  <c r="Y48" i="4" s="1"/>
  <c r="AR48" i="4" s="1"/>
  <c r="AM48" i="4"/>
  <c r="W68" i="4"/>
  <c r="Y68" i="4" s="1"/>
  <c r="AR68" i="4" s="1"/>
  <c r="AM68" i="4"/>
  <c r="AM46" i="4"/>
  <c r="W46" i="4"/>
  <c r="Y46" i="4" s="1"/>
  <c r="AR46" i="4" s="1"/>
  <c r="AM62" i="4"/>
  <c r="W62" i="4"/>
  <c r="W39" i="4"/>
  <c r="Y39" i="4" s="1"/>
  <c r="AR39" i="4" s="1"/>
  <c r="AM39" i="4"/>
  <c r="W9" i="4"/>
  <c r="Y9" i="4" s="1"/>
  <c r="AR9" i="4" s="1"/>
  <c r="AM9" i="4"/>
  <c r="AM100" i="4"/>
  <c r="W100" i="4"/>
  <c r="Y100" i="4" s="1"/>
  <c r="AR100" i="4" s="1"/>
  <c r="AM130" i="4"/>
  <c r="W130" i="4"/>
  <c r="AM78" i="4"/>
  <c r="W78" i="4"/>
  <c r="W55" i="4"/>
  <c r="AM55" i="4"/>
  <c r="W27" i="4"/>
  <c r="Y27" i="4" s="1"/>
  <c r="AR27" i="4" s="1"/>
  <c r="AM27" i="4"/>
  <c r="AM140" i="4"/>
  <c r="W140" i="4"/>
  <c r="W106" i="4"/>
  <c r="AM106" i="4"/>
  <c r="W35" i="4"/>
  <c r="Y35" i="4" s="1"/>
  <c r="AR35" i="4" s="1"/>
  <c r="AM35" i="4"/>
  <c r="W10" i="4"/>
  <c r="Y10" i="4" s="1"/>
  <c r="AR10" i="4" s="1"/>
  <c r="AM10" i="4"/>
  <c r="W51" i="4"/>
  <c r="Y51" i="4" s="1"/>
  <c r="AR51" i="4" s="1"/>
  <c r="AM51" i="4"/>
  <c r="W57" i="4"/>
  <c r="AM57" i="4"/>
  <c r="AM142" i="4"/>
  <c r="W142" i="4"/>
  <c r="AV10" i="5"/>
  <c r="AU10" i="5"/>
  <c r="BC10" i="5"/>
  <c r="B64" i="2"/>
  <c r="B66" i="2"/>
  <c r="B67" i="2" s="1"/>
  <c r="AV107" i="4"/>
  <c r="U107" i="4"/>
  <c r="AV116" i="4"/>
  <c r="U116" i="4"/>
  <c r="AV45" i="4"/>
  <c r="U45" i="4"/>
  <c r="AV72" i="4"/>
  <c r="U72" i="4"/>
  <c r="AV90" i="4"/>
  <c r="U90" i="4"/>
  <c r="AV32" i="4"/>
  <c r="U32" i="4"/>
  <c r="AV86" i="4"/>
  <c r="U86" i="4"/>
  <c r="AV42" i="4"/>
  <c r="U42" i="4"/>
  <c r="AV132" i="4"/>
  <c r="U132" i="4"/>
  <c r="U7" i="4"/>
  <c r="AV7" i="4"/>
  <c r="AV17" i="4"/>
  <c r="U17" i="4"/>
  <c r="U101" i="4"/>
  <c r="AV101" i="4"/>
  <c r="AV52" i="4"/>
  <c r="U52" i="4"/>
  <c r="AV14" i="4"/>
  <c r="U14" i="4"/>
  <c r="AV143" i="4"/>
  <c r="U143" i="4"/>
  <c r="AV36" i="4"/>
  <c r="U36" i="4"/>
  <c r="AV154" i="4"/>
  <c r="U154" i="4"/>
  <c r="X185" i="5"/>
  <c r="Y185" i="5"/>
  <c r="X310" i="5"/>
  <c r="Y310" i="5"/>
  <c r="X264" i="5"/>
  <c r="Y264" i="5"/>
  <c r="Y202" i="5"/>
  <c r="X202" i="5"/>
  <c r="X489" i="5"/>
  <c r="Y489" i="5"/>
  <c r="Y250" i="5"/>
  <c r="X250" i="5"/>
  <c r="X232" i="5"/>
  <c r="Y232" i="5"/>
  <c r="X431" i="5"/>
  <c r="Y431" i="5"/>
  <c r="Y363" i="5"/>
  <c r="X363" i="5"/>
  <c r="Y51" i="5"/>
  <c r="X51" i="5"/>
  <c r="X107" i="5"/>
  <c r="Y107" i="5"/>
  <c r="X225" i="5"/>
  <c r="Y225" i="5"/>
  <c r="X91" i="5"/>
  <c r="Y91" i="5"/>
  <c r="X132" i="5"/>
  <c r="Y132" i="5"/>
  <c r="X12" i="5"/>
  <c r="Y12" i="5"/>
  <c r="X258" i="5"/>
  <c r="Y258" i="5"/>
  <c r="Y513" i="5"/>
  <c r="X513" i="5"/>
  <c r="Y316" i="5"/>
  <c r="X316" i="5"/>
  <c r="X512" i="5"/>
  <c r="Y512" i="5"/>
  <c r="X100" i="5"/>
  <c r="Y100" i="5"/>
  <c r="X347" i="5"/>
  <c r="Y347" i="5"/>
  <c r="Y533" i="5"/>
  <c r="X533" i="5"/>
  <c r="X111" i="5"/>
  <c r="Y111" i="5"/>
  <c r="X303" i="5"/>
  <c r="Y303" i="5"/>
  <c r="X197" i="5"/>
  <c r="Y197" i="5"/>
  <c r="Y176" i="5"/>
  <c r="X176" i="5"/>
  <c r="Y367" i="5"/>
  <c r="X367" i="5"/>
  <c r="X141" i="5"/>
  <c r="Y141" i="5"/>
  <c r="X211" i="5"/>
  <c r="Y211" i="5"/>
  <c r="Y35" i="5"/>
  <c r="X35" i="5"/>
  <c r="X502" i="5"/>
  <c r="Y502" i="5"/>
  <c r="X95" i="5"/>
  <c r="Y95" i="5"/>
  <c r="Y407" i="5"/>
  <c r="X407" i="5"/>
  <c r="X172" i="5"/>
  <c r="Y172" i="5"/>
  <c r="X203" i="5"/>
  <c r="Y203" i="5"/>
  <c r="Y323" i="5"/>
  <c r="X323" i="5"/>
  <c r="Y28" i="5"/>
  <c r="X28" i="5"/>
  <c r="Y515" i="5"/>
  <c r="X515" i="5"/>
  <c r="Y255" i="5"/>
  <c r="X255" i="5"/>
  <c r="Y522" i="5"/>
  <c r="X522" i="5"/>
  <c r="X237" i="5"/>
  <c r="Y237" i="5"/>
  <c r="Y98" i="5"/>
  <c r="X98" i="5"/>
  <c r="Y233" i="5"/>
  <c r="X233" i="5"/>
  <c r="Y165" i="5"/>
  <c r="X165" i="5"/>
  <c r="X267" i="5"/>
  <c r="Y267" i="5"/>
  <c r="X173" i="5"/>
  <c r="Y173" i="5"/>
  <c r="X368" i="5"/>
  <c r="Y368" i="5"/>
  <c r="X215" i="5"/>
  <c r="Y215" i="5"/>
  <c r="X19" i="5"/>
  <c r="Y19" i="5"/>
  <c r="Y101" i="5"/>
  <c r="X101" i="5"/>
  <c r="Y480" i="5"/>
  <c r="X480" i="5"/>
  <c r="Y180" i="5"/>
  <c r="X180" i="5"/>
  <c r="Y418" i="5"/>
  <c r="X418" i="5"/>
  <c r="Y10" i="5"/>
  <c r="X10" i="5"/>
  <c r="X179" i="5"/>
  <c r="Y179" i="5"/>
  <c r="Y187" i="5"/>
  <c r="X187" i="5"/>
  <c r="Y343" i="5"/>
  <c r="X343" i="5"/>
  <c r="X388" i="5"/>
  <c r="Y388" i="5"/>
  <c r="X151" i="5"/>
  <c r="Y151" i="5"/>
  <c r="X23" i="5"/>
  <c r="Y23" i="5"/>
  <c r="X501" i="5"/>
  <c r="Y501" i="5"/>
  <c r="Y376" i="5"/>
  <c r="X376" i="5"/>
  <c r="X400" i="5"/>
  <c r="Y400" i="5"/>
  <c r="Y7" i="5"/>
  <c r="X7" i="5"/>
  <c r="AV131" i="4"/>
  <c r="U131" i="4"/>
  <c r="AV11" i="4"/>
  <c r="U11" i="4"/>
  <c r="AV112" i="4"/>
  <c r="U112" i="4"/>
  <c r="AV134" i="4"/>
  <c r="U134" i="4"/>
  <c r="AV23" i="4"/>
  <c r="U23" i="4"/>
  <c r="AV115" i="4"/>
  <c r="U115" i="4"/>
  <c r="AV66" i="4"/>
  <c r="U66" i="4"/>
  <c r="AV125" i="4"/>
  <c r="U125" i="4"/>
  <c r="AV149" i="4"/>
  <c r="U149" i="4"/>
  <c r="AV22" i="4"/>
  <c r="U22" i="4"/>
  <c r="AV153" i="4"/>
  <c r="U153" i="4"/>
  <c r="AV40" i="4"/>
  <c r="U40" i="4"/>
  <c r="AV58" i="4"/>
  <c r="U58" i="4"/>
  <c r="AV77" i="4"/>
  <c r="U77" i="4"/>
  <c r="AV60" i="4"/>
  <c r="U60" i="4"/>
  <c r="AV156" i="4"/>
  <c r="U156" i="4"/>
  <c r="AV123" i="4"/>
  <c r="U123" i="4"/>
  <c r="AV18" i="4"/>
  <c r="U18" i="4"/>
  <c r="AV110" i="4"/>
  <c r="U110" i="4"/>
  <c r="AV127" i="4"/>
  <c r="U127" i="4"/>
  <c r="AV26" i="4"/>
  <c r="U26" i="4"/>
  <c r="U75" i="4"/>
  <c r="AV75" i="4"/>
  <c r="AV124" i="4"/>
  <c r="U124" i="4"/>
  <c r="AV38" i="4"/>
  <c r="U38" i="4"/>
  <c r="AV152" i="4"/>
  <c r="U152" i="4"/>
  <c r="AV133" i="4"/>
  <c r="U133" i="4"/>
  <c r="AV73" i="4"/>
  <c r="U73" i="4"/>
  <c r="AV92" i="4"/>
  <c r="U92" i="4"/>
  <c r="AV155" i="4"/>
  <c r="U155" i="4"/>
  <c r="AV13" i="4"/>
  <c r="U13" i="4"/>
  <c r="AV157" i="4"/>
  <c r="U157" i="4"/>
  <c r="AV111" i="4"/>
  <c r="U111" i="4"/>
  <c r="AV49" i="4"/>
  <c r="U49" i="4"/>
  <c r="AV19" i="4"/>
  <c r="U19" i="4"/>
  <c r="AV71" i="4"/>
  <c r="U71" i="4"/>
  <c r="U103" i="4"/>
  <c r="AV103" i="4"/>
  <c r="AV12" i="4"/>
  <c r="U12" i="4"/>
  <c r="AV21" i="4"/>
  <c r="U21" i="4"/>
  <c r="AG393" i="5"/>
  <c r="AG181" i="5"/>
  <c r="AG352" i="5"/>
  <c r="AG96" i="5"/>
  <c r="AG367" i="5"/>
  <c r="AG324" i="5"/>
  <c r="AG72" i="5"/>
  <c r="AG220" i="5"/>
  <c r="AG158" i="5"/>
  <c r="AG463" i="5"/>
  <c r="AG184" i="5"/>
  <c r="AG247" i="5"/>
  <c r="AG164" i="5"/>
  <c r="B74" i="5"/>
  <c r="AG88" i="5"/>
  <c r="AG134" i="5"/>
  <c r="AG192" i="5"/>
  <c r="AG165" i="5"/>
  <c r="AG13" i="5"/>
  <c r="AG411" i="5"/>
  <c r="AG298" i="5"/>
  <c r="AG29" i="5"/>
  <c r="AG155" i="5"/>
  <c r="AG112" i="5"/>
  <c r="AG213" i="5"/>
  <c r="AG84" i="5"/>
  <c r="AG374" i="5"/>
  <c r="AG186" i="5"/>
  <c r="AG274" i="5"/>
  <c r="AG89" i="5"/>
  <c r="AG450" i="5"/>
  <c r="AG448" i="5"/>
  <c r="AG483" i="5"/>
  <c r="AG94" i="5"/>
  <c r="AG30" i="5"/>
  <c r="AG236" i="5"/>
  <c r="AG321" i="5"/>
  <c r="AG170" i="5"/>
  <c r="AG98" i="5"/>
  <c r="AG416" i="5"/>
  <c r="AG378" i="5"/>
  <c r="AG22" i="5"/>
  <c r="AG243" i="5"/>
  <c r="AG116" i="5"/>
  <c r="AG66" i="5"/>
  <c r="AG377" i="5"/>
  <c r="AG110" i="5"/>
  <c r="AG195" i="5"/>
  <c r="AG355" i="5"/>
  <c r="AG219" i="5"/>
  <c r="AG149" i="5"/>
  <c r="AG35" i="5"/>
  <c r="AG143" i="5"/>
  <c r="AG360" i="5"/>
  <c r="AG252" i="5"/>
  <c r="AG468" i="5"/>
  <c r="AG269" i="5"/>
  <c r="AG266" i="5"/>
  <c r="AG150" i="5"/>
  <c r="AG451" i="5"/>
  <c r="AG364" i="5"/>
  <c r="AG383" i="5"/>
  <c r="AG182" i="5"/>
  <c r="AG496" i="5"/>
  <c r="AG510" i="5"/>
  <c r="AG46" i="5"/>
  <c r="AG418" i="5"/>
  <c r="AG199" i="5"/>
  <c r="AG81" i="5"/>
  <c r="AG71" i="5"/>
  <c r="AG249" i="5"/>
  <c r="AG459" i="5"/>
  <c r="AG331" i="5"/>
  <c r="AG441" i="5"/>
  <c r="AG508" i="5"/>
  <c r="AG458" i="5"/>
  <c r="AG506" i="5"/>
  <c r="AG144" i="5"/>
  <c r="AG351" i="5"/>
  <c r="AG261" i="5"/>
  <c r="AG407" i="5"/>
  <c r="AG348" i="5"/>
  <c r="AG500" i="5"/>
  <c r="AG415" i="5"/>
  <c r="AG344" i="5"/>
  <c r="AG555" i="5"/>
  <c r="AG193" i="5"/>
  <c r="AG54" i="5"/>
  <c r="AG521" i="5"/>
  <c r="AG73" i="5"/>
  <c r="AG311" i="5"/>
  <c r="AG163" i="5"/>
  <c r="AG504" i="5"/>
  <c r="AG542" i="5"/>
  <c r="AG475" i="5"/>
  <c r="AG502" i="5"/>
  <c r="AG467" i="5"/>
  <c r="AG205" i="5"/>
  <c r="AG400" i="5"/>
  <c r="AG420" i="5"/>
  <c r="AG290" i="5"/>
  <c r="AG47" i="5"/>
  <c r="AG145" i="5"/>
  <c r="AG267" i="5"/>
  <c r="AG361" i="5"/>
  <c r="AG142" i="5"/>
  <c r="AG183" i="5"/>
  <c r="AG226" i="5"/>
  <c r="AG187" i="5"/>
  <c r="AG75" i="5"/>
  <c r="AG68" i="5"/>
  <c r="AG52" i="5"/>
  <c r="AG224" i="5"/>
  <c r="AG547" i="5"/>
  <c r="AG190" i="5"/>
  <c r="AG173" i="5"/>
  <c r="AG437" i="5"/>
  <c r="AG436" i="5"/>
  <c r="AG172" i="5"/>
  <c r="AG40" i="5"/>
  <c r="AG336" i="5"/>
  <c r="AG390" i="5"/>
  <c r="AG202" i="5"/>
  <c r="AG534" i="5"/>
  <c r="AG365" i="5"/>
  <c r="AG325" i="5"/>
  <c r="AG117" i="5"/>
  <c r="AG526" i="5"/>
  <c r="AG453" i="5"/>
  <c r="AG97" i="5"/>
  <c r="AG101" i="5"/>
  <c r="AG515" i="5"/>
  <c r="AG303" i="5"/>
  <c r="AG211" i="5"/>
  <c r="AG301" i="5"/>
  <c r="AG215" i="5"/>
  <c r="AG412" i="5"/>
  <c r="AG295" i="5"/>
  <c r="AG346" i="5"/>
  <c r="AG402" i="5"/>
  <c r="AG42" i="5"/>
  <c r="AG503" i="5"/>
  <c r="AG449" i="5"/>
  <c r="AG85" i="5"/>
  <c r="AG131" i="5"/>
  <c r="AG111" i="5"/>
  <c r="AG532" i="5"/>
  <c r="AG341" i="5"/>
  <c r="AG241" i="5"/>
  <c r="AG345" i="5"/>
  <c r="AG263" i="5"/>
  <c r="AG444" i="5"/>
  <c r="AG105" i="5"/>
  <c r="AG552" i="5"/>
  <c r="AG357" i="5"/>
  <c r="AG371" i="5"/>
  <c r="AG498" i="5"/>
  <c r="AG93" i="5"/>
  <c r="AG197" i="5"/>
  <c r="AG27" i="5"/>
  <c r="AG80" i="5"/>
  <c r="AG115" i="5"/>
  <c r="AG489" i="5"/>
  <c r="AG442" i="5"/>
  <c r="AG476" i="5"/>
  <c r="AG531" i="5"/>
  <c r="AG545" i="5"/>
  <c r="AG512" i="5"/>
  <c r="AG445" i="5"/>
  <c r="AG353" i="5"/>
  <c r="AG179" i="5"/>
  <c r="AG39" i="5"/>
  <c r="AG235" i="5"/>
  <c r="AG491" i="5"/>
  <c r="AG537" i="5"/>
  <c r="AG517" i="5"/>
  <c r="AG394" i="5"/>
  <c r="AG25" i="5"/>
  <c r="AG139" i="5"/>
  <c r="AG315" i="5"/>
  <c r="AG556" i="5"/>
  <c r="AG369" i="5"/>
  <c r="AG559" i="5"/>
  <c r="AG388" i="5"/>
  <c r="AG434" i="5"/>
  <c r="AG514" i="5"/>
  <c r="AG44" i="5"/>
  <c r="AG160" i="5"/>
  <c r="AG466" i="5"/>
  <c r="AG395" i="5"/>
  <c r="AG191" i="5"/>
  <c r="AG140" i="5"/>
  <c r="AG478" i="5"/>
  <c r="AG76" i="5"/>
  <c r="AG95" i="5"/>
  <c r="AG350" i="5"/>
  <c r="AG106" i="5"/>
  <c r="AG340" i="5"/>
  <c r="AG232" i="5"/>
  <c r="AG404" i="5"/>
  <c r="AG318" i="5"/>
  <c r="AG276" i="5"/>
  <c r="AG544" i="5"/>
  <c r="AG379" i="5"/>
  <c r="AG399" i="5"/>
  <c r="AG154" i="5"/>
  <c r="AG471" i="5"/>
  <c r="AG138" i="5"/>
  <c r="AG372" i="5"/>
  <c r="AG530" i="5"/>
  <c r="AG157" i="5"/>
  <c r="AG20" i="5"/>
  <c r="AG306" i="5"/>
  <c r="AG322" i="5"/>
  <c r="AG148" i="5"/>
  <c r="AG310" i="5"/>
  <c r="AG465" i="5"/>
  <c r="AG258" i="5"/>
  <c r="AG501" i="5"/>
  <c r="AG147" i="5"/>
  <c r="AG285" i="5"/>
  <c r="AG505" i="5"/>
  <c r="AG49" i="5"/>
  <c r="AG535" i="5"/>
  <c r="AG177" i="5"/>
  <c r="AG329" i="5"/>
  <c r="AG487" i="5"/>
  <c r="AG440" i="5"/>
  <c r="AG278" i="5"/>
  <c r="AG171" i="5"/>
  <c r="AG474" i="5"/>
  <c r="AG438" i="5"/>
  <c r="AG273" i="5"/>
  <c r="AG349" i="5"/>
  <c r="AG516" i="5"/>
  <c r="AG507" i="5"/>
  <c r="AG433" i="5"/>
  <c r="AG107" i="5"/>
  <c r="AG86" i="5"/>
  <c r="AG53" i="5"/>
  <c r="AG221" i="5"/>
  <c r="AG79" i="5"/>
  <c r="AG533" i="5"/>
  <c r="AG370" i="5"/>
  <c r="AG100" i="5"/>
  <c r="AG12" i="5"/>
  <c r="AG338" i="5"/>
  <c r="AG228" i="5"/>
  <c r="AG282" i="5"/>
  <c r="AG188" i="5"/>
  <c r="AG122" i="5"/>
  <c r="AG426" i="5"/>
  <c r="AG166" i="5"/>
  <c r="AG334" i="5"/>
  <c r="AG246" i="5"/>
  <c r="AG203" i="5"/>
  <c r="AG244" i="5"/>
  <c r="AG366" i="5"/>
  <c r="AG135" i="5"/>
  <c r="AG114" i="5"/>
  <c r="AG391" i="5"/>
  <c r="AG271" i="5"/>
  <c r="AG169" i="5"/>
  <c r="AG196" i="5"/>
  <c r="AG41" i="5"/>
  <c r="AG527" i="5"/>
  <c r="AG528" i="5"/>
  <c r="AG132" i="5"/>
  <c r="AG330" i="5"/>
  <c r="AG55" i="5"/>
  <c r="AG245" i="5"/>
  <c r="AG206" i="5"/>
  <c r="AG408" i="5"/>
  <c r="AG262" i="5"/>
  <c r="AG461" i="5"/>
  <c r="AG470" i="5"/>
  <c r="AG541" i="5"/>
  <c r="AG396" i="5"/>
  <c r="AG477" i="5"/>
  <c r="AG554" i="5"/>
  <c r="AG121" i="5"/>
  <c r="AG33" i="5"/>
  <c r="AG485" i="5"/>
  <c r="AG64" i="5"/>
  <c r="AG230" i="5"/>
  <c r="AG120" i="5"/>
  <c r="AG137" i="5"/>
  <c r="AG289" i="5"/>
  <c r="AG560" i="5"/>
  <c r="AG540" i="5"/>
  <c r="AG223" i="5"/>
  <c r="AG287" i="5"/>
  <c r="AG189" i="5"/>
  <c r="AG61" i="5"/>
  <c r="AG387" i="5"/>
  <c r="AG293" i="5"/>
  <c r="AG439" i="5"/>
  <c r="AG422" i="5"/>
  <c r="AG525" i="5"/>
  <c r="AG380" i="5"/>
  <c r="AG292" i="5"/>
  <c r="AG494" i="5"/>
  <c r="AG104" i="5"/>
  <c r="AG119" i="5"/>
  <c r="AG34" i="5"/>
  <c r="AG495" i="5"/>
  <c r="AG279" i="5"/>
  <c r="AG397" i="5"/>
  <c r="AG259" i="5"/>
  <c r="AG410" i="5"/>
  <c r="AG109" i="5"/>
  <c r="AG339" i="5"/>
  <c r="AG354" i="5"/>
  <c r="AG45" i="5"/>
  <c r="AG256" i="5"/>
  <c r="AG26" i="5"/>
  <c r="AG82" i="5"/>
  <c r="AG430" i="5"/>
  <c r="AG65" i="5"/>
  <c r="AG307" i="5"/>
  <c r="AG208" i="5"/>
  <c r="AG314" i="5"/>
  <c r="AG214" i="5"/>
  <c r="AG456" i="5"/>
  <c r="AG136" i="5"/>
  <c r="AG543" i="5"/>
  <c r="AG304" i="5"/>
  <c r="AG272" i="5"/>
  <c r="AG48" i="5"/>
  <c r="AG457" i="5"/>
  <c r="AG180" i="5"/>
  <c r="AG62" i="5"/>
  <c r="AG405" i="5"/>
  <c r="AG553" i="5"/>
  <c r="AG275" i="5"/>
  <c r="AG257" i="5"/>
  <c r="AG233" i="5"/>
  <c r="AG37" i="5"/>
  <c r="AG99" i="5"/>
  <c r="AG58" i="5"/>
  <c r="AG239" i="5"/>
  <c r="AG429" i="5"/>
  <c r="AG201" i="5"/>
  <c r="AG67" i="5"/>
  <c r="AG36" i="5"/>
  <c r="AG60" i="5"/>
  <c r="AG227" i="5"/>
  <c r="AG92" i="5"/>
  <c r="AG43" i="5"/>
  <c r="AG337" i="5"/>
  <c r="AG251" i="5"/>
  <c r="AG432" i="5"/>
  <c r="AG519" i="5"/>
  <c r="AG392" i="5"/>
  <c r="AG305" i="5"/>
  <c r="AG469" i="5"/>
  <c r="AG493" i="5"/>
  <c r="AG320" i="5"/>
  <c r="AG481" i="5"/>
  <c r="AG490" i="5"/>
  <c r="AG21" i="5"/>
  <c r="AG300" i="5"/>
  <c r="AG124" i="5"/>
  <c r="AG435" i="5"/>
  <c r="AG447" i="5"/>
  <c r="AG123" i="5"/>
  <c r="AG332" i="5"/>
  <c r="AG240" i="5"/>
  <c r="AG87" i="5"/>
  <c r="AG102" i="5"/>
  <c r="AG452" i="5"/>
  <c r="AG520" i="5"/>
  <c r="AG425" i="5"/>
  <c r="AG381" i="5"/>
  <c r="AG492" i="5"/>
  <c r="AG359" i="5"/>
  <c r="AG462" i="5"/>
  <c r="AG294" i="5"/>
  <c r="AG277" i="5"/>
  <c r="AG557" i="5"/>
  <c r="AG317" i="5"/>
  <c r="AG523" i="5"/>
  <c r="AG130" i="5"/>
  <c r="AG128" i="5"/>
  <c r="AG253" i="5"/>
  <c r="AG57" i="5"/>
  <c r="AG362" i="5"/>
  <c r="AG486" i="5"/>
  <c r="AG10" i="5"/>
  <c r="AG242" i="5"/>
  <c r="AG428" i="5"/>
  <c r="AG141" i="5"/>
  <c r="AG59" i="5"/>
  <c r="AG327" i="5"/>
  <c r="AG185" i="5"/>
  <c r="AG209" i="5"/>
  <c r="AG319" i="5"/>
  <c r="AG255" i="5"/>
  <c r="AG129" i="5"/>
  <c r="AG175" i="5"/>
  <c r="AG63" i="5"/>
  <c r="AG347" i="5"/>
  <c r="AG238" i="5"/>
  <c r="AG419" i="5"/>
  <c r="AG382" i="5"/>
  <c r="AG316" i="5"/>
  <c r="AG363" i="5"/>
  <c r="AG151" i="5"/>
  <c r="AG499" i="5"/>
  <c r="AG356" i="5"/>
  <c r="AG159" i="5"/>
  <c r="AG312" i="5"/>
  <c r="AG146" i="5"/>
  <c r="AG413" i="5"/>
  <c r="AG133" i="5"/>
  <c r="AG313" i="5"/>
  <c r="AG174" i="5"/>
  <c r="AG7" i="5"/>
  <c r="AG403" i="5"/>
  <c r="AG443" i="5"/>
  <c r="AG50" i="5"/>
  <c r="AG125" i="5"/>
  <c r="AG302" i="5"/>
  <c r="AG473" i="5"/>
  <c r="AG283" i="5"/>
  <c r="AG161" i="5"/>
  <c r="AG24" i="5"/>
  <c r="AG231" i="5"/>
  <c r="AG69" i="5"/>
  <c r="AG91" i="5"/>
  <c r="AG70" i="5"/>
  <c r="AG156" i="5"/>
  <c r="AG389" i="5"/>
  <c r="AG250" i="5"/>
  <c r="AG168" i="5"/>
  <c r="AG333" i="5"/>
  <c r="AG291" i="5"/>
  <c r="AG77" i="5"/>
  <c r="AG207" i="5"/>
  <c r="AG222" i="5"/>
  <c r="AG78" i="5"/>
  <c r="AG56" i="5"/>
  <c r="AG19" i="5"/>
  <c r="AG167" i="5"/>
  <c r="AG178" i="5"/>
  <c r="AG225" i="5"/>
  <c r="AG472" i="5"/>
  <c r="AG200" i="5"/>
  <c r="AG518" i="5"/>
  <c r="AG342" i="5"/>
  <c r="AG260" i="5"/>
  <c r="AG539" i="5"/>
  <c r="AG152" i="5"/>
  <c r="AG28" i="5"/>
  <c r="AG511" i="5"/>
  <c r="AG153" i="5"/>
  <c r="AG268" i="5"/>
  <c r="AG308" i="5"/>
  <c r="AG509" i="5"/>
  <c r="AG118" i="5"/>
  <c r="AG103" i="5"/>
  <c r="AG558" i="5"/>
  <c r="AG270" i="5"/>
  <c r="AG323" i="5"/>
  <c r="AG212" i="5"/>
  <c r="AG113" i="5"/>
  <c r="AG284" i="5"/>
  <c r="AG488" i="5"/>
  <c r="AG358" i="5"/>
  <c r="AG204" i="5"/>
  <c r="AG538" i="5"/>
  <c r="AG234" i="5"/>
  <c r="AG548" i="5"/>
  <c r="AG409" i="5"/>
  <c r="AG237" i="5"/>
  <c r="AG522" i="5"/>
  <c r="AG296" i="5"/>
  <c r="AG427" i="5"/>
  <c r="AG176" i="5"/>
  <c r="AG127" i="5"/>
  <c r="AG265" i="5"/>
  <c r="AG368" i="5"/>
  <c r="AG281" i="5"/>
  <c r="AG38" i="5"/>
  <c r="AG23" i="5"/>
  <c r="AG248" i="5"/>
  <c r="AG108" i="5"/>
  <c r="AG217" i="5"/>
  <c r="AG385" i="5"/>
  <c r="AG254" i="5"/>
  <c r="AG373" i="5"/>
  <c r="AG297" i="5"/>
  <c r="AG549" i="5"/>
  <c r="AG328" i="5"/>
  <c r="AG32" i="5"/>
  <c r="AG210" i="5"/>
  <c r="AG74" i="5"/>
  <c r="AG384" i="5"/>
  <c r="AG126" i="5"/>
  <c r="AG83" i="5"/>
  <c r="AG31" i="5"/>
  <c r="AG280" i="5"/>
  <c r="AG431" i="5"/>
  <c r="AG479" i="5"/>
  <c r="AG198" i="5"/>
  <c r="AG536" i="5"/>
  <c r="AG90" i="5"/>
  <c r="AG454" i="5"/>
  <c r="AG406" i="5"/>
  <c r="AG229" i="5"/>
  <c r="AG309" i="5"/>
  <c r="AG551" i="5"/>
  <c r="AG464" i="5"/>
  <c r="AG401" i="5"/>
  <c r="AG529" i="5"/>
  <c r="AG376" i="5"/>
  <c r="AG550" i="5"/>
  <c r="AG484" i="5"/>
  <c r="AG455" i="5"/>
  <c r="AG326" i="5"/>
  <c r="AG414" i="5"/>
  <c r="AG375" i="5"/>
  <c r="AG497" i="5"/>
  <c r="AG288" i="5"/>
  <c r="AG421" i="5"/>
  <c r="AG460" i="5"/>
  <c r="AG8" i="5"/>
  <c r="AG480" i="5"/>
  <c r="AG417" i="5"/>
  <c r="AG546" i="5"/>
  <c r="AG162" i="5"/>
  <c r="AG423" i="5"/>
  <c r="AG286" i="5"/>
  <c r="AG194" i="5"/>
  <c r="AG386" i="5"/>
  <c r="AG398" i="5"/>
  <c r="AG51" i="5"/>
  <c r="AG524" i="5"/>
  <c r="AG446" i="5"/>
  <c r="AG299" i="5"/>
  <c r="AG424" i="5"/>
  <c r="AG513" i="5"/>
  <c r="AG482" i="5"/>
  <c r="AG343" i="5"/>
  <c r="AG216" i="5"/>
  <c r="AG264" i="5"/>
  <c r="AG335" i="5"/>
  <c r="AG218" i="5"/>
  <c r="AM430" i="5"/>
  <c r="AM417" i="5"/>
  <c r="AM516" i="5"/>
  <c r="AM232" i="5"/>
  <c r="AM467" i="5"/>
  <c r="AM175" i="5"/>
  <c r="AM245" i="5"/>
  <c r="AM280" i="5"/>
  <c r="AM373" i="5"/>
  <c r="AM257" i="5"/>
  <c r="AM261" i="5"/>
  <c r="AM235" i="5"/>
  <c r="AM139" i="5"/>
  <c r="AM157" i="5"/>
  <c r="AM114" i="5"/>
  <c r="AM40" i="5"/>
  <c r="AM429" i="5"/>
  <c r="AM424" i="5"/>
  <c r="AM80" i="5"/>
  <c r="AM212" i="5"/>
  <c r="AM322" i="5"/>
  <c r="AM489" i="5"/>
  <c r="AM60" i="5"/>
  <c r="AM221" i="5"/>
  <c r="AM546" i="5"/>
  <c r="AM21" i="5"/>
  <c r="AM92" i="5"/>
  <c r="AM298" i="5"/>
  <c r="AM288" i="5"/>
  <c r="AM514" i="5"/>
  <c r="AM486" i="5"/>
  <c r="AM321" i="5"/>
  <c r="AM376" i="5"/>
  <c r="AM525" i="5"/>
  <c r="AM441" i="5"/>
  <c r="AM307" i="5"/>
  <c r="AM226" i="5"/>
  <c r="AM87" i="5"/>
  <c r="AM188" i="5"/>
  <c r="AM364" i="5"/>
  <c r="AM418" i="5"/>
  <c r="AM272" i="5"/>
  <c r="AM330" i="5"/>
  <c r="AM51" i="5"/>
  <c r="AM182" i="5"/>
  <c r="AM345" i="5"/>
  <c r="AM395" i="5"/>
  <c r="AM278" i="5"/>
  <c r="AM380" i="5"/>
  <c r="AM391" i="5"/>
  <c r="AM121" i="5"/>
  <c r="AM405" i="5"/>
  <c r="AM374" i="5"/>
  <c r="AM390" i="5"/>
  <c r="AM89" i="5"/>
  <c r="AM350" i="5"/>
  <c r="AM124" i="5"/>
  <c r="AM409" i="5"/>
  <c r="AM253" i="5"/>
  <c r="AM487" i="5"/>
  <c r="AM224" i="5"/>
  <c r="AM246" i="5"/>
  <c r="AM534" i="5"/>
  <c r="AM269" i="5"/>
  <c r="AM539" i="5"/>
  <c r="AM351" i="5"/>
  <c r="AM289" i="5"/>
  <c r="AM142" i="5"/>
  <c r="AM48" i="5"/>
  <c r="AM63" i="5"/>
  <c r="AM130" i="5"/>
  <c r="AM204" i="5"/>
  <c r="AM171" i="5"/>
  <c r="AM478" i="5"/>
  <c r="AM8" i="5"/>
  <c r="AM147" i="5"/>
  <c r="AM31" i="5"/>
  <c r="AM211" i="5"/>
  <c r="AM484" i="5"/>
  <c r="AM96" i="5"/>
  <c r="AM133" i="5"/>
  <c r="AM132" i="5"/>
  <c r="AM346" i="5"/>
  <c r="AM191" i="5"/>
  <c r="AM277" i="5"/>
  <c r="AM483" i="5"/>
  <c r="AM7" i="5"/>
  <c r="AM315" i="5"/>
  <c r="AM445" i="5"/>
  <c r="AM531" i="5"/>
  <c r="AM493" i="5"/>
  <c r="AM381" i="5"/>
  <c r="AM201" i="5"/>
  <c r="AM521" i="5"/>
  <c r="AM123" i="5"/>
  <c r="AM296" i="5"/>
  <c r="AM282" i="5"/>
  <c r="AM118" i="5"/>
  <c r="AM91" i="5"/>
  <c r="AM126" i="5"/>
  <c r="AM71" i="5"/>
  <c r="AM406" i="5"/>
  <c r="AM75" i="5"/>
  <c r="AM70" i="5"/>
  <c r="AM507" i="5"/>
  <c r="AM385" i="5"/>
  <c r="AM223" i="5"/>
  <c r="AM501" i="5"/>
  <c r="AM242" i="5"/>
  <c r="AM490" i="5"/>
  <c r="AM423" i="5"/>
  <c r="AM205" i="5"/>
  <c r="AM443" i="5"/>
  <c r="AM378" i="5"/>
  <c r="AM522" i="5"/>
  <c r="AM466" i="5"/>
  <c r="AM74" i="5"/>
  <c r="AM79" i="5"/>
  <c r="AM339" i="5"/>
  <c r="AM549" i="5"/>
  <c r="AM518" i="5"/>
  <c r="AM314" i="5"/>
  <c r="AM379" i="5"/>
  <c r="AM168" i="5"/>
  <c r="AM414" i="5"/>
  <c r="AM550" i="5"/>
  <c r="AM58" i="5"/>
  <c r="AM392" i="5"/>
  <c r="AM285" i="5"/>
  <c r="AM141" i="5"/>
  <c r="AM47" i="5"/>
  <c r="AM388" i="5"/>
  <c r="AM156" i="5"/>
  <c r="AM128" i="5"/>
  <c r="AM538" i="5"/>
  <c r="AM323" i="5"/>
  <c r="AM117" i="5"/>
  <c r="AM214" i="5"/>
  <c r="AM449" i="5"/>
  <c r="AM218" i="5"/>
  <c r="AM268" i="5"/>
  <c r="AM172" i="5"/>
  <c r="AM271" i="5"/>
  <c r="AM520" i="5"/>
  <c r="AM83" i="5"/>
  <c r="AM371" i="5"/>
  <c r="AM119" i="5"/>
  <c r="AM24" i="5"/>
  <c r="AM57" i="5"/>
  <c r="AM231" i="5"/>
  <c r="AM35" i="5"/>
  <c r="AM435" i="5"/>
  <c r="AM305" i="5"/>
  <c r="AM25" i="5"/>
  <c r="AM99" i="5"/>
  <c r="AM407" i="5"/>
  <c r="AM210" i="5"/>
  <c r="AM553" i="5"/>
  <c r="AM161" i="5"/>
  <c r="AM199" i="5"/>
  <c r="AM86" i="5"/>
  <c r="AM254" i="5"/>
  <c r="AM111" i="5"/>
  <c r="AM93" i="5"/>
  <c r="AM341" i="5"/>
  <c r="AM207" i="5"/>
  <c r="AM23" i="5"/>
  <c r="B78" i="5"/>
  <c r="AM76" i="5"/>
  <c r="AM250" i="5"/>
  <c r="AM508" i="5"/>
  <c r="AM331" i="5"/>
  <c r="AM167" i="5"/>
  <c r="AM270" i="5"/>
  <c r="AM238" i="5"/>
  <c r="AM103" i="5"/>
  <c r="AM436" i="5"/>
  <c r="AM361" i="5"/>
  <c r="AM20" i="5"/>
  <c r="AM422" i="5"/>
  <c r="AM122" i="5"/>
  <c r="AM476" i="5"/>
  <c r="AM488" i="5"/>
  <c r="AM180" i="5"/>
  <c r="AM197" i="5"/>
  <c r="AM428" i="5"/>
  <c r="AM471" i="5"/>
  <c r="AM185" i="5"/>
  <c r="AM256" i="5"/>
  <c r="AM480" i="5"/>
  <c r="AM29" i="5"/>
  <c r="AM360" i="5"/>
  <c r="AM511" i="5"/>
  <c r="AM458" i="5"/>
  <c r="AM174" i="5"/>
  <c r="AM527" i="5"/>
  <c r="AM465" i="5"/>
  <c r="AM227" i="5"/>
  <c r="AM540" i="5"/>
  <c r="AM498" i="5"/>
  <c r="AM208" i="5"/>
  <c r="AM347" i="5"/>
  <c r="AM349" i="5"/>
  <c r="AM532" i="5"/>
  <c r="AM506" i="5"/>
  <c r="AM59" i="5"/>
  <c r="AM303" i="5"/>
  <c r="AM300" i="5"/>
  <c r="AM367" i="5"/>
  <c r="AM150" i="5"/>
  <c r="AM528" i="5"/>
  <c r="AM470" i="5"/>
  <c r="AM44" i="5"/>
  <c r="AM49" i="5"/>
  <c r="AM100" i="5"/>
  <c r="AM492" i="5"/>
  <c r="AM472" i="5"/>
  <c r="AM401" i="5"/>
  <c r="AM131" i="5"/>
  <c r="AM468" i="5"/>
  <c r="AM234" i="5"/>
  <c r="AM173" i="5"/>
  <c r="AM359" i="5"/>
  <c r="AM384" i="5"/>
  <c r="AM399" i="5"/>
  <c r="AM137" i="5"/>
  <c r="AM523" i="5"/>
  <c r="AM460" i="5"/>
  <c r="AM496" i="5"/>
  <c r="AM477" i="5"/>
  <c r="AM317" i="5"/>
  <c r="AM203" i="5"/>
  <c r="AM403" i="5"/>
  <c r="AM310" i="5"/>
  <c r="AM43" i="5"/>
  <c r="AM505" i="5"/>
  <c r="AM113" i="5"/>
  <c r="AM294" i="5"/>
  <c r="AM52" i="5"/>
  <c r="AM247" i="5"/>
  <c r="AM45" i="5"/>
  <c r="AM495" i="5"/>
  <c r="AM415" i="5"/>
  <c r="AM475" i="5"/>
  <c r="AM461" i="5"/>
  <c r="AM500" i="5"/>
  <c r="AM67" i="5"/>
  <c r="AM338" i="5"/>
  <c r="AM229" i="5"/>
  <c r="AM138" i="5"/>
  <c r="AM165" i="5"/>
  <c r="AM554" i="5"/>
  <c r="AM559" i="5"/>
  <c r="AM442" i="5"/>
  <c r="AM279" i="5"/>
  <c r="AM352" i="5"/>
  <c r="AM115" i="5"/>
  <c r="AM453" i="5"/>
  <c r="AM97" i="5"/>
  <c r="AM158" i="5"/>
  <c r="AM356" i="5"/>
  <c r="AM220" i="5"/>
  <c r="AM19" i="5"/>
  <c r="AM510" i="5"/>
  <c r="AM389" i="5"/>
  <c r="AM293" i="5"/>
  <c r="AM102" i="5"/>
  <c r="AM90" i="5"/>
  <c r="AM163" i="5"/>
  <c r="AM127" i="5"/>
  <c r="AM94" i="5"/>
  <c r="AM335" i="5"/>
  <c r="AM27" i="5"/>
  <c r="AM291" i="5"/>
  <c r="AM357" i="5"/>
  <c r="AM343" i="5"/>
  <c r="AM382" i="5"/>
  <c r="AM526" i="5"/>
  <c r="AM464" i="5"/>
  <c r="AM320" i="5"/>
  <c r="AM292" i="5"/>
  <c r="AM273" i="5"/>
  <c r="AM519" i="5"/>
  <c r="AM283" i="5"/>
  <c r="AM309" i="5"/>
  <c r="AM408" i="5"/>
  <c r="AM217" i="5"/>
  <c r="AM455" i="5"/>
  <c r="AM469" i="5"/>
  <c r="AM463" i="5"/>
  <c r="AM396" i="5"/>
  <c r="AM66" i="5"/>
  <c r="AM230" i="5"/>
  <c r="AM61" i="5"/>
  <c r="AM513" i="5"/>
  <c r="AM340" i="5"/>
  <c r="AM120" i="5"/>
  <c r="AM497" i="5"/>
  <c r="AM88" i="5"/>
  <c r="AM179" i="5"/>
  <c r="AM42" i="5"/>
  <c r="AM365" i="5"/>
  <c r="AM53" i="5"/>
  <c r="AM136" i="5"/>
  <c r="AM82" i="5"/>
  <c r="AM333" i="5"/>
  <c r="AM543" i="5"/>
  <c r="AM146" i="5"/>
  <c r="AM426" i="5"/>
  <c r="AM129" i="5"/>
  <c r="AM332" i="5"/>
  <c r="AM56" i="5"/>
  <c r="AM354" i="5"/>
  <c r="AM149" i="5"/>
  <c r="AM112" i="5"/>
  <c r="AM125" i="5"/>
  <c r="AM366" i="5"/>
  <c r="AM482" i="5"/>
  <c r="AM255" i="5"/>
  <c r="AM116" i="5"/>
  <c r="AM337" i="5"/>
  <c r="AM393" i="5"/>
  <c r="AM55" i="5"/>
  <c r="AM155" i="5"/>
  <c r="AM459" i="5"/>
  <c r="AM135" i="5"/>
  <c r="AM258" i="5"/>
  <c r="AM32" i="5"/>
  <c r="AM194" i="5"/>
  <c r="AM95" i="5"/>
  <c r="AM263" i="5"/>
  <c r="AM324" i="5"/>
  <c r="AM348" i="5"/>
  <c r="AM259" i="5"/>
  <c r="AM239" i="5"/>
  <c r="AM228" i="5"/>
  <c r="AM287" i="5"/>
  <c r="AM213" i="5"/>
  <c r="AM481" i="5"/>
  <c r="AM299" i="5"/>
  <c r="AM243" i="5"/>
  <c r="AM509" i="5"/>
  <c r="AM10" i="5"/>
  <c r="AM369" i="5"/>
  <c r="AM39" i="5"/>
  <c r="AM537" i="5"/>
  <c r="AM499" i="5"/>
  <c r="AM110" i="5"/>
  <c r="AM81" i="5"/>
  <c r="AM248" i="5"/>
  <c r="AM370" i="5"/>
  <c r="AM437" i="5"/>
  <c r="AM548" i="5"/>
  <c r="AM73" i="5"/>
  <c r="AM206" i="5"/>
  <c r="AM342" i="5"/>
  <c r="AM236" i="5"/>
  <c r="AM485" i="5"/>
  <c r="AM542" i="5"/>
  <c r="AM434" i="5"/>
  <c r="AM517" i="5"/>
  <c r="AM184" i="5"/>
  <c r="AM431" i="5"/>
  <c r="AM456" i="5"/>
  <c r="AM26" i="5"/>
  <c r="AM336" i="5"/>
  <c r="AM50" i="5"/>
  <c r="AM85" i="5"/>
  <c r="AM105" i="5"/>
  <c r="AM302" i="5"/>
  <c r="AM64" i="5"/>
  <c r="AM297" i="5"/>
  <c r="AM327" i="5"/>
  <c r="AM316" i="5"/>
  <c r="AM34" i="5"/>
  <c r="AM264" i="5"/>
  <c r="AM387" i="5"/>
  <c r="AM65" i="5"/>
  <c r="AM198" i="5"/>
  <c r="AM556" i="5"/>
  <c r="AM383" i="5"/>
  <c r="AM363" i="5"/>
  <c r="AM440" i="5"/>
  <c r="AM145" i="5"/>
  <c r="AM107" i="5"/>
  <c r="AM186" i="5"/>
  <c r="AM398" i="5"/>
  <c r="AM169" i="5"/>
  <c r="AM536" i="5"/>
  <c r="AM368" i="5"/>
  <c r="AM400" i="5"/>
  <c r="AM36" i="5"/>
  <c r="AM325" i="5"/>
  <c r="AM386" i="5"/>
  <c r="AM46" i="5"/>
  <c r="AM439" i="5"/>
  <c r="AM144" i="5"/>
  <c r="AM101" i="5"/>
  <c r="AM304" i="5"/>
  <c r="AM362" i="5"/>
  <c r="AM108" i="5"/>
  <c r="AM12" i="5"/>
  <c r="AM457" i="5"/>
  <c r="AM530" i="5"/>
  <c r="AM170" i="5"/>
  <c r="AM419" i="5"/>
  <c r="AM319" i="5"/>
  <c r="AM249" i="5"/>
  <c r="AM196" i="5"/>
  <c r="AM267" i="5"/>
  <c r="AM233" i="5"/>
  <c r="AM552" i="5"/>
  <c r="AM244" i="5"/>
  <c r="AM176" i="5"/>
  <c r="AM502" i="5"/>
  <c r="AM290" i="5"/>
  <c r="AM413" i="5"/>
  <c r="AM462" i="5"/>
  <c r="AM410" i="5"/>
  <c r="AM318" i="5"/>
  <c r="AM515" i="5"/>
  <c r="AM219" i="5"/>
  <c r="AM262" i="5"/>
  <c r="AM334" i="5"/>
  <c r="AM358" i="5"/>
  <c r="AM533" i="5"/>
  <c r="AM555" i="5"/>
  <c r="AM402" i="5"/>
  <c r="AM438" i="5"/>
  <c r="AM284" i="5"/>
  <c r="AM181" i="5"/>
  <c r="AM547" i="5"/>
  <c r="AM535" i="5"/>
  <c r="AM529" i="5"/>
  <c r="AM22" i="5"/>
  <c r="AM311" i="5"/>
  <c r="AM189" i="5"/>
  <c r="AM372" i="5"/>
  <c r="AM433" i="5"/>
  <c r="AM98" i="5"/>
  <c r="AM225" i="5"/>
  <c r="AM444" i="5"/>
  <c r="AM134" i="5"/>
  <c r="AM301" i="5"/>
  <c r="AM153" i="5"/>
  <c r="AM260" i="5"/>
  <c r="AM544" i="5"/>
  <c r="AM326" i="5"/>
  <c r="AM432" i="5"/>
  <c r="AM524" i="5"/>
  <c r="AM512" i="5"/>
  <c r="AM281" i="5"/>
  <c r="AM454" i="5"/>
  <c r="AM154" i="5"/>
  <c r="AM491" i="5"/>
  <c r="AM69" i="5"/>
  <c r="AM178" i="5"/>
  <c r="AM159" i="5"/>
  <c r="AM344" i="5"/>
  <c r="AM195" i="5"/>
  <c r="AM353" i="5"/>
  <c r="AM54" i="5"/>
  <c r="AM545" i="5"/>
  <c r="AM313" i="5"/>
  <c r="AM160" i="5"/>
  <c r="AM416" i="5"/>
  <c r="AM109" i="5"/>
  <c r="AM425" i="5"/>
  <c r="AM275" i="5"/>
  <c r="AM13" i="5"/>
  <c r="AM421" i="5"/>
  <c r="AM276" i="5"/>
  <c r="AM193" i="5"/>
  <c r="AM504" i="5"/>
  <c r="AM306" i="5"/>
  <c r="AM479" i="5"/>
  <c r="AM450" i="5"/>
  <c r="AM541" i="5"/>
  <c r="AM328" i="5"/>
  <c r="AM448" i="5"/>
  <c r="AM295" i="5"/>
  <c r="AM394" i="5"/>
  <c r="AM177" i="5"/>
  <c r="AM312" i="5"/>
  <c r="AM28" i="5"/>
  <c r="AM209" i="5"/>
  <c r="AM215" i="5"/>
  <c r="AM152" i="5"/>
  <c r="AM38" i="5"/>
  <c r="AM192" i="5"/>
  <c r="AM202" i="5"/>
  <c r="AM164" i="5"/>
  <c r="AM474" i="5"/>
  <c r="AM183" i="5"/>
  <c r="AM503" i="5"/>
  <c r="AM72" i="5"/>
  <c r="AM241" i="5"/>
  <c r="AM446" i="5"/>
  <c r="AM473" i="5"/>
  <c r="AM143" i="5"/>
  <c r="AM329" i="5"/>
  <c r="AM240" i="5"/>
  <c r="AM286" i="5"/>
  <c r="AM265" i="5"/>
  <c r="AM140" i="5"/>
  <c r="AM557" i="5"/>
  <c r="AM447" i="5"/>
  <c r="AM452" i="5"/>
  <c r="AM494" i="5"/>
  <c r="AM106" i="5"/>
  <c r="AM427" i="5"/>
  <c r="AM41" i="5"/>
  <c r="AM375" i="5"/>
  <c r="AM84" i="5"/>
  <c r="AM420" i="5"/>
  <c r="AM62" i="5"/>
  <c r="AM412" i="5"/>
  <c r="AM148" i="5"/>
  <c r="AM216" i="5"/>
  <c r="AM30" i="5"/>
  <c r="AM222" i="5"/>
  <c r="AM33" i="5"/>
  <c r="AM187" i="5"/>
  <c r="AM200" i="5"/>
  <c r="AM308" i="5"/>
  <c r="AM266" i="5"/>
  <c r="AM404" i="5"/>
  <c r="AM162" i="5"/>
  <c r="AM377" i="5"/>
  <c r="AM77" i="5"/>
  <c r="AM166" i="5"/>
  <c r="AM355" i="5"/>
  <c r="AM190" i="5"/>
  <c r="AM252" i="5"/>
  <c r="AM558" i="5"/>
  <c r="AM104" i="5"/>
  <c r="AM274" i="5"/>
  <c r="AM68" i="5"/>
  <c r="AM37" i="5"/>
  <c r="AM251" i="5"/>
  <c r="AM451" i="5"/>
  <c r="AM151" i="5"/>
  <c r="AM237" i="5"/>
  <c r="AM551" i="5"/>
  <c r="AM560" i="5"/>
  <c r="AM411" i="5"/>
  <c r="AM397" i="5"/>
  <c r="AM78" i="5"/>
  <c r="Y344" i="5"/>
  <c r="X344" i="5"/>
  <c r="Y494" i="5"/>
  <c r="X494" i="5"/>
  <c r="Y463" i="5"/>
  <c r="X463" i="5"/>
  <c r="Y370" i="5"/>
  <c r="X370" i="5"/>
  <c r="Y13" i="5"/>
  <c r="X13" i="5"/>
  <c r="Y152" i="5"/>
  <c r="X152" i="5"/>
  <c r="X206" i="5"/>
  <c r="Y206" i="5"/>
  <c r="X137" i="5"/>
  <c r="Y137" i="5"/>
  <c r="Y218" i="5"/>
  <c r="X218" i="5"/>
  <c r="Y104" i="5"/>
  <c r="X104" i="5"/>
  <c r="X535" i="5"/>
  <c r="Y535" i="5"/>
  <c r="X230" i="5"/>
  <c r="Y230" i="5"/>
  <c r="Y292" i="5"/>
  <c r="X292" i="5"/>
  <c r="W9" i="5"/>
  <c r="T9" i="5"/>
  <c r="AG9" i="5"/>
  <c r="AZ9" i="5"/>
  <c r="Z9" i="5"/>
  <c r="AW9" i="5"/>
  <c r="AJ9" i="5"/>
  <c r="AT9" i="5"/>
  <c r="AM9" i="5"/>
  <c r="X43" i="5"/>
  <c r="Y43" i="5"/>
  <c r="X174" i="5"/>
  <c r="Y174" i="5"/>
  <c r="X430" i="5"/>
  <c r="Y430" i="5"/>
  <c r="X291" i="5"/>
  <c r="Y291" i="5"/>
  <c r="X260" i="5"/>
  <c r="Y260" i="5"/>
  <c r="Y529" i="5"/>
  <c r="X529" i="5"/>
  <c r="X163" i="5"/>
  <c r="Y163" i="5"/>
  <c r="Y57" i="5"/>
  <c r="X57" i="5"/>
  <c r="X113" i="5"/>
  <c r="Y113" i="5"/>
  <c r="X324" i="5"/>
  <c r="Y324" i="5"/>
  <c r="Y99" i="5"/>
  <c r="X99" i="5"/>
  <c r="Y277" i="5"/>
  <c r="X277" i="5"/>
  <c r="X201" i="5"/>
  <c r="Y201" i="5"/>
  <c r="X128" i="5"/>
  <c r="Y128" i="5"/>
  <c r="X41" i="5"/>
  <c r="Y41" i="5"/>
  <c r="Y479" i="5"/>
  <c r="X479" i="5"/>
  <c r="Y227" i="5"/>
  <c r="X227" i="5"/>
  <c r="X147" i="5"/>
  <c r="Y147" i="5"/>
  <c r="Y234" i="5"/>
  <c r="X234" i="5"/>
  <c r="Y560" i="5"/>
  <c r="X560" i="5"/>
  <c r="X54" i="5"/>
  <c r="Y54" i="5"/>
  <c r="Y559" i="5"/>
  <c r="X559" i="5"/>
  <c r="X285" i="5"/>
  <c r="Y285" i="5"/>
  <c r="X357" i="5"/>
  <c r="Y357" i="5"/>
  <c r="Y396" i="5"/>
  <c r="X396" i="5"/>
  <c r="X126" i="5"/>
  <c r="Y126" i="5"/>
  <c r="Y524" i="5"/>
  <c r="X524" i="5"/>
  <c r="X192" i="5"/>
  <c r="Y192" i="5"/>
  <c r="X8" i="5"/>
  <c r="Y8" i="5"/>
  <c r="Y254" i="5"/>
  <c r="X254" i="5"/>
  <c r="X373" i="5"/>
  <c r="Y373" i="5"/>
  <c r="Y276" i="5"/>
  <c r="X276" i="5"/>
  <c r="Y521" i="5"/>
  <c r="X521" i="5"/>
  <c r="X538" i="5"/>
  <c r="Y538" i="5"/>
  <c r="X484" i="5"/>
  <c r="Y484" i="5"/>
  <c r="Y290" i="5"/>
  <c r="X290" i="5"/>
  <c r="X550" i="5"/>
  <c r="Y550" i="5"/>
  <c r="Y547" i="5"/>
  <c r="X547" i="5"/>
  <c r="X241" i="5"/>
  <c r="Y241" i="5"/>
  <c r="X330" i="5"/>
  <c r="Y330" i="5"/>
  <c r="Y518" i="5"/>
  <c r="X518" i="5"/>
  <c r="X149" i="5"/>
  <c r="Y149" i="5"/>
  <c r="X554" i="5"/>
  <c r="Y554" i="5"/>
  <c r="Y361" i="5"/>
  <c r="X361" i="5"/>
  <c r="Y318" i="5"/>
  <c r="X318" i="5"/>
  <c r="Y455" i="5"/>
  <c r="X455" i="5"/>
  <c r="Y223" i="5"/>
  <c r="X223" i="5"/>
  <c r="X545" i="5"/>
  <c r="Y545" i="5"/>
  <c r="X338" i="5"/>
  <c r="Y338" i="5"/>
  <c r="X157" i="5"/>
  <c r="Y157" i="5"/>
  <c r="X503" i="5"/>
  <c r="Y503" i="5"/>
  <c r="Y558" i="5"/>
  <c r="X558" i="5"/>
  <c r="X119" i="5"/>
  <c r="Y119" i="5"/>
  <c r="Y481" i="5"/>
  <c r="X481" i="5"/>
  <c r="X332" i="5"/>
  <c r="Y332" i="5"/>
  <c r="Y191" i="5"/>
  <c r="X191" i="5"/>
  <c r="X76" i="5"/>
  <c r="Y76" i="5"/>
  <c r="Y281" i="5"/>
  <c r="X281" i="5"/>
  <c r="Y196" i="5"/>
  <c r="X196" i="5"/>
  <c r="Y452" i="5"/>
  <c r="X452" i="5"/>
  <c r="Y298" i="5"/>
  <c r="X298" i="5"/>
  <c r="Y461" i="5"/>
  <c r="X461" i="5"/>
  <c r="Y504" i="5"/>
  <c r="X504" i="5"/>
  <c r="X349" i="5"/>
  <c r="Y349" i="5"/>
  <c r="Y114" i="5"/>
  <c r="X114" i="5"/>
  <c r="Y394" i="5"/>
  <c r="X394" i="5"/>
  <c r="Y220" i="5"/>
  <c r="X220" i="5"/>
  <c r="X224" i="5"/>
  <c r="Y224" i="5"/>
  <c r="Y505" i="5"/>
  <c r="X505" i="5"/>
  <c r="X106" i="5"/>
  <c r="Y106" i="5"/>
  <c r="X302" i="5"/>
  <c r="Y302" i="5"/>
  <c r="X243" i="5"/>
  <c r="Y243" i="5"/>
  <c r="Y492" i="5"/>
  <c r="X492" i="5"/>
  <c r="X214" i="5"/>
  <c r="Y214" i="5"/>
  <c r="X549" i="5"/>
  <c r="Y549" i="5"/>
  <c r="X300" i="5"/>
  <c r="Y300" i="5"/>
  <c r="X37" i="5"/>
  <c r="Y37" i="5"/>
  <c r="Y553" i="5"/>
  <c r="X553" i="5"/>
  <c r="X426" i="5"/>
  <c r="Y426" i="5"/>
  <c r="Y60" i="5"/>
  <c r="X60" i="5"/>
  <c r="X476" i="5"/>
  <c r="Y476" i="5"/>
  <c r="Y70" i="5"/>
  <c r="X70" i="5"/>
  <c r="X69" i="5"/>
  <c r="Y69" i="5"/>
  <c r="X315" i="5"/>
  <c r="Y315" i="5"/>
  <c r="X271" i="5"/>
  <c r="Y271" i="5"/>
  <c r="X242" i="5"/>
  <c r="Y242" i="5"/>
  <c r="X433" i="5"/>
  <c r="Y433" i="5"/>
  <c r="X65" i="5"/>
  <c r="Y65" i="5"/>
  <c r="Y496" i="5"/>
  <c r="X496" i="5"/>
  <c r="Y80" i="5"/>
  <c r="X80" i="5"/>
  <c r="X556" i="5"/>
  <c r="Y556" i="5"/>
  <c r="X331" i="5"/>
  <c r="Y331" i="5"/>
  <c r="X238" i="5"/>
  <c r="Y238" i="5"/>
  <c r="X335" i="5"/>
  <c r="Y335" i="5"/>
  <c r="Y555" i="5"/>
  <c r="X555" i="5"/>
  <c r="X248" i="5"/>
  <c r="Y248" i="5"/>
  <c r="X352" i="5"/>
  <c r="Y352" i="5"/>
  <c r="Y440" i="5"/>
  <c r="X440" i="5"/>
  <c r="Y209" i="5"/>
  <c r="X209" i="5"/>
  <c r="X395" i="5"/>
  <c r="Y395" i="5"/>
  <c r="X507" i="5"/>
  <c r="Y507" i="5"/>
  <c r="X482" i="5"/>
  <c r="Y482" i="5"/>
  <c r="Y295" i="5"/>
  <c r="X295" i="5"/>
  <c r="X25" i="5"/>
  <c r="Y25" i="5"/>
  <c r="X296" i="5"/>
  <c r="Y296" i="5"/>
  <c r="X393" i="5"/>
  <c r="Y393" i="5"/>
  <c r="X121" i="5"/>
  <c r="Y121" i="5"/>
  <c r="Y166" i="5"/>
  <c r="X166" i="5"/>
  <c r="X30" i="5"/>
  <c r="Y30" i="5"/>
  <c r="Y198" i="5"/>
  <c r="X198" i="5"/>
  <c r="X36" i="5"/>
  <c r="Y36" i="5"/>
  <c r="Y110" i="5"/>
  <c r="X110" i="5"/>
  <c r="X415" i="5"/>
  <c r="Y415" i="5"/>
  <c r="Y217" i="5"/>
  <c r="X217" i="5"/>
  <c r="X253" i="5"/>
  <c r="Y253" i="5"/>
  <c r="Y115" i="5"/>
  <c r="X115" i="5"/>
  <c r="X381" i="5"/>
  <c r="Y381" i="5"/>
  <c r="X541" i="5"/>
  <c r="Y541" i="5"/>
  <c r="Y317" i="5"/>
  <c r="X317" i="5"/>
  <c r="X83" i="5"/>
  <c r="Y83" i="5"/>
  <c r="Y109" i="5"/>
  <c r="X109" i="5"/>
  <c r="X20" i="5"/>
  <c r="Y20" i="5"/>
  <c r="X249" i="5"/>
  <c r="Y249" i="5"/>
  <c r="AV81" i="4"/>
  <c r="U81" i="4"/>
  <c r="AV120" i="4"/>
  <c r="U120" i="4"/>
  <c r="AV117" i="4"/>
  <c r="U117" i="4"/>
  <c r="H29" i="1"/>
  <c r="K94" i="2"/>
  <c r="B84" i="2"/>
  <c r="B86" i="2" s="1"/>
  <c r="B87" i="2" s="1"/>
  <c r="H30" i="1" s="1"/>
  <c r="Y448" i="5"/>
  <c r="X448" i="5"/>
  <c r="X525" i="5"/>
  <c r="Y525" i="5"/>
  <c r="X22" i="5"/>
  <c r="Y22" i="5"/>
  <c r="Y333" i="5"/>
  <c r="X333" i="5"/>
  <c r="X500" i="5"/>
  <c r="Y500" i="5"/>
  <c r="Y103" i="5"/>
  <c r="X103" i="5"/>
  <c r="Y289" i="5"/>
  <c r="X289" i="5"/>
  <c r="Y404" i="5"/>
  <c r="X404" i="5"/>
  <c r="Y170" i="5"/>
  <c r="X170" i="5"/>
  <c r="Y287" i="5"/>
  <c r="X287" i="5"/>
  <c r="X389" i="5"/>
  <c r="Y389" i="5"/>
  <c r="X46" i="5"/>
  <c r="Y46" i="5"/>
  <c r="Y356" i="5"/>
  <c r="X356" i="5"/>
  <c r="X77" i="5"/>
  <c r="Y77" i="5"/>
  <c r="X58" i="5"/>
  <c r="Y58" i="5"/>
  <c r="X534" i="5"/>
  <c r="Y534" i="5"/>
  <c r="X50" i="5"/>
  <c r="Y50" i="5"/>
  <c r="X272" i="5"/>
  <c r="Y272" i="5"/>
  <c r="X355" i="5"/>
  <c r="Y355" i="5"/>
  <c r="X257" i="5"/>
  <c r="Y257" i="5"/>
  <c r="X364" i="5"/>
  <c r="Y364" i="5"/>
  <c r="X251" i="5"/>
  <c r="Y251" i="5"/>
  <c r="Y399" i="5"/>
  <c r="X399" i="5"/>
  <c r="Y464" i="5"/>
  <c r="X464" i="5"/>
  <c r="Y425" i="5"/>
  <c r="X425" i="5"/>
  <c r="Y40" i="5"/>
  <c r="X40" i="5"/>
  <c r="Y226" i="5"/>
  <c r="X226" i="5"/>
  <c r="Y150" i="5"/>
  <c r="X150" i="5"/>
  <c r="Y548" i="5"/>
  <c r="X548" i="5"/>
  <c r="Y105" i="5"/>
  <c r="X105" i="5"/>
  <c r="AV79" i="4"/>
  <c r="U79" i="4"/>
  <c r="AV151" i="4"/>
  <c r="U151" i="4"/>
  <c r="AV83" i="4"/>
  <c r="U83" i="4"/>
  <c r="AV28" i="4"/>
  <c r="U28" i="4"/>
  <c r="Y79" i="5"/>
  <c r="X79" i="5"/>
  <c r="X284" i="5"/>
  <c r="Y284" i="5"/>
  <c r="X96" i="5"/>
  <c r="Y96" i="5"/>
  <c r="X391" i="5"/>
  <c r="Y391" i="5"/>
  <c r="X129" i="5"/>
  <c r="Y129" i="5"/>
  <c r="Y387" i="5"/>
  <c r="X387" i="5"/>
  <c r="X530" i="5"/>
  <c r="Y530" i="5"/>
  <c r="X342" i="5"/>
  <c r="Y342" i="5"/>
  <c r="X528" i="5"/>
  <c r="Y528" i="5"/>
  <c r="X432" i="5"/>
  <c r="Y432" i="5"/>
  <c r="X134" i="5"/>
  <c r="Y134" i="5"/>
  <c r="X162" i="5"/>
  <c r="Y162" i="5"/>
  <c r="Y441" i="5"/>
  <c r="X441" i="5"/>
  <c r="Y194" i="5"/>
  <c r="X194" i="5"/>
  <c r="X252" i="5"/>
  <c r="Y252" i="5"/>
  <c r="X236" i="5"/>
  <c r="Y236" i="5"/>
  <c r="X222" i="5"/>
  <c r="Y222" i="5"/>
  <c r="X48" i="5"/>
  <c r="Y48" i="5"/>
  <c r="X63" i="5"/>
  <c r="Y63" i="5"/>
  <c r="X61" i="5"/>
  <c r="Y61" i="5"/>
  <c r="Y308" i="5"/>
  <c r="X308" i="5"/>
  <c r="X445" i="5"/>
  <c r="Y445" i="5"/>
  <c r="X457" i="5"/>
  <c r="Y457" i="5"/>
  <c r="Y120" i="5"/>
  <c r="X120" i="5"/>
  <c r="Y551" i="5"/>
  <c r="X551" i="5"/>
  <c r="Y509" i="5"/>
  <c r="X509" i="5"/>
  <c r="Y193" i="5"/>
  <c r="X193" i="5"/>
  <c r="X127" i="5"/>
  <c r="Y127" i="5"/>
  <c r="X188" i="5"/>
  <c r="Y188" i="5"/>
  <c r="Y510" i="5"/>
  <c r="X510" i="5"/>
  <c r="Y24" i="5"/>
  <c r="X24" i="5"/>
  <c r="Y539" i="5"/>
  <c r="X539" i="5"/>
  <c r="X161" i="5"/>
  <c r="Y161" i="5"/>
  <c r="Y270" i="5"/>
  <c r="X270" i="5"/>
  <c r="X72" i="5"/>
  <c r="Y72" i="5"/>
  <c r="X490" i="5"/>
  <c r="Y490" i="5"/>
  <c r="X108" i="5"/>
  <c r="Y108" i="5"/>
  <c r="X462" i="5"/>
  <c r="Y462" i="5"/>
  <c r="Y451" i="5"/>
  <c r="X451" i="5"/>
  <c r="Y97" i="5"/>
  <c r="X97" i="5"/>
  <c r="X405" i="5"/>
  <c r="Y405" i="5"/>
  <c r="Y495" i="5"/>
  <c r="X495" i="5"/>
  <c r="X183" i="5"/>
  <c r="Y183" i="5"/>
  <c r="Y82" i="5"/>
  <c r="X82" i="5"/>
  <c r="X33" i="5"/>
  <c r="Y33" i="5"/>
  <c r="X354" i="5"/>
  <c r="Y354" i="5"/>
  <c r="X56" i="5"/>
  <c r="Y56" i="5"/>
  <c r="X475" i="5"/>
  <c r="Y475" i="5"/>
  <c r="X523" i="5"/>
  <c r="Y523" i="5"/>
  <c r="Y299" i="5"/>
  <c r="X299" i="5"/>
  <c r="Y189" i="5"/>
  <c r="X189" i="5"/>
  <c r="Y67" i="5"/>
  <c r="X67" i="5"/>
  <c r="X374" i="5"/>
  <c r="Y374" i="5"/>
  <c r="Y468" i="5"/>
  <c r="X468" i="5"/>
  <c r="Y139" i="5"/>
  <c r="X139" i="5"/>
  <c r="Y421" i="5"/>
  <c r="X421" i="5"/>
  <c r="X469" i="5"/>
  <c r="Y469" i="5"/>
  <c r="X325" i="5"/>
  <c r="Y325" i="5"/>
  <c r="X123" i="5"/>
  <c r="Y123" i="5"/>
  <c r="Y517" i="5"/>
  <c r="X517" i="5"/>
  <c r="X138" i="5"/>
  <c r="Y138" i="5"/>
  <c r="Y59" i="5"/>
  <c r="X59" i="5"/>
  <c r="Y164" i="5"/>
  <c r="X164" i="5"/>
  <c r="X266" i="5"/>
  <c r="Y266" i="5"/>
  <c r="Y382" i="5"/>
  <c r="X382" i="5"/>
  <c r="Y62" i="5"/>
  <c r="X62" i="5"/>
  <c r="X506" i="5"/>
  <c r="Y506" i="5"/>
  <c r="X543" i="5"/>
  <c r="Y543" i="5"/>
  <c r="X282" i="5"/>
  <c r="Y282" i="5"/>
  <c r="X136" i="5"/>
  <c r="Y136" i="5"/>
  <c r="X273" i="5"/>
  <c r="Y273" i="5"/>
  <c r="X390" i="5"/>
  <c r="Y390" i="5"/>
  <c r="X350" i="5"/>
  <c r="Y350" i="5"/>
  <c r="Y228" i="5"/>
  <c r="X228" i="5"/>
  <c r="X467" i="5"/>
  <c r="Y467" i="5"/>
  <c r="X326" i="5"/>
  <c r="Y326" i="5"/>
  <c r="Y75" i="5"/>
  <c r="X75" i="5"/>
  <c r="Y294" i="5"/>
  <c r="X294" i="5"/>
  <c r="X178" i="5"/>
  <c r="Y178" i="5"/>
  <c r="Y491" i="5"/>
  <c r="X491" i="5"/>
  <c r="Y359" i="5"/>
  <c r="X359" i="5"/>
  <c r="Y385" i="5"/>
  <c r="X385" i="5"/>
  <c r="Y68" i="5"/>
  <c r="X68" i="5"/>
  <c r="X38" i="5"/>
  <c r="Y38" i="5"/>
  <c r="X542" i="5"/>
  <c r="Y542" i="5"/>
  <c r="X408" i="5"/>
  <c r="Y408" i="5"/>
  <c r="Y472" i="5"/>
  <c r="X472" i="5"/>
  <c r="X471" i="5"/>
  <c r="Y471" i="5"/>
  <c r="X29" i="5"/>
  <c r="Y29" i="5"/>
  <c r="X322" i="5"/>
  <c r="Y322" i="5"/>
  <c r="Y312" i="5"/>
  <c r="X312" i="5"/>
  <c r="X199" i="5"/>
  <c r="Y199" i="5"/>
  <c r="X34" i="5"/>
  <c r="Y34" i="5"/>
  <c r="X177" i="5"/>
  <c r="Y177" i="5"/>
  <c r="Y301" i="5"/>
  <c r="X301" i="5"/>
  <c r="X145" i="5"/>
  <c r="Y145" i="5"/>
  <c r="X269" i="5"/>
  <c r="Y269" i="5"/>
  <c r="X221" i="5"/>
  <c r="Y221" i="5"/>
  <c r="Y208" i="5"/>
  <c r="X208" i="5"/>
  <c r="X92" i="5"/>
  <c r="Y92" i="5"/>
  <c r="Y437" i="5"/>
  <c r="X437" i="5"/>
  <c r="X334" i="5"/>
  <c r="Y334" i="5"/>
  <c r="X74" i="5"/>
  <c r="Y74" i="5"/>
  <c r="X200" i="5"/>
  <c r="Y200" i="5"/>
  <c r="X246" i="5"/>
  <c r="Y246" i="5"/>
  <c r="Y348" i="5"/>
  <c r="X348" i="5"/>
  <c r="Y485" i="5"/>
  <c r="X485" i="5"/>
  <c r="X311" i="5"/>
  <c r="Y311" i="5"/>
  <c r="Y339" i="5"/>
  <c r="X339" i="5"/>
  <c r="Y160" i="5"/>
  <c r="X160" i="5"/>
  <c r="Y413" i="5"/>
  <c r="X413" i="5"/>
  <c r="Y379" i="5"/>
  <c r="X379" i="5"/>
  <c r="Y140" i="5"/>
  <c r="X140" i="5"/>
  <c r="X89" i="5"/>
  <c r="Y89" i="5"/>
  <c r="X466" i="5"/>
  <c r="Y466" i="5"/>
  <c r="Y229" i="5"/>
  <c r="X229" i="5"/>
  <c r="X168" i="5"/>
  <c r="Y168" i="5"/>
  <c r="Y416" i="5"/>
  <c r="X416" i="5"/>
  <c r="X499" i="5"/>
  <c r="Y499" i="5"/>
  <c r="X148" i="5"/>
  <c r="Y148" i="5"/>
  <c r="Y231" i="5"/>
  <c r="X231" i="5"/>
  <c r="R7" i="5"/>
  <c r="S7" i="5"/>
  <c r="AV74" i="4"/>
  <c r="U74" i="4"/>
  <c r="AV137" i="4"/>
  <c r="U137" i="4"/>
  <c r="AV126" i="4"/>
  <c r="U126" i="4"/>
  <c r="AV147" i="4"/>
  <c r="U147" i="4"/>
  <c r="AV121" i="4"/>
  <c r="U121" i="4"/>
  <c r="AV8" i="4"/>
  <c r="U8" i="4"/>
  <c r="AV94" i="4"/>
  <c r="U94" i="4"/>
  <c r="AV15" i="4"/>
  <c r="U15" i="4"/>
  <c r="AV59" i="4"/>
  <c r="U59" i="4"/>
  <c r="AV30" i="4"/>
  <c r="U30" i="4"/>
  <c r="AV93" i="4"/>
  <c r="U93" i="4"/>
  <c r="AV44" i="4"/>
  <c r="U44" i="4"/>
  <c r="AV145" i="4"/>
  <c r="U145" i="4"/>
  <c r="AV33" i="4"/>
  <c r="U33" i="4"/>
  <c r="AV31" i="4"/>
  <c r="U31" i="4"/>
  <c r="AV141" i="4"/>
  <c r="U141" i="4"/>
  <c r="AV67" i="4"/>
  <c r="U67" i="4"/>
  <c r="AV61" i="4"/>
  <c r="U61" i="4"/>
  <c r="AF11" i="5"/>
  <c r="AF9" i="5"/>
  <c r="AF94" i="5"/>
  <c r="AF395" i="5"/>
  <c r="AF391" i="5"/>
  <c r="AF497" i="5"/>
  <c r="AF523" i="5"/>
  <c r="AF342" i="5"/>
  <c r="AF499" i="5"/>
  <c r="AF56" i="5"/>
  <c r="AF258" i="5"/>
  <c r="AF524" i="5"/>
  <c r="AF414" i="5"/>
  <c r="AF33" i="5"/>
  <c r="AF245" i="5"/>
  <c r="AF277" i="5"/>
  <c r="AF517" i="5"/>
  <c r="AF452" i="5"/>
  <c r="AF496" i="5"/>
  <c r="AF136" i="5"/>
  <c r="AF513" i="5"/>
  <c r="AF461" i="5"/>
  <c r="AF232" i="5"/>
  <c r="AF250" i="5"/>
  <c r="AF511" i="5"/>
  <c r="AF321" i="5"/>
  <c r="AF167" i="5"/>
  <c r="AF29" i="5"/>
  <c r="AF77" i="5"/>
  <c r="AF440" i="5"/>
  <c r="AF164" i="5"/>
  <c r="AF371" i="5"/>
  <c r="AF281" i="5"/>
  <c r="AF292" i="5"/>
  <c r="AF330" i="5"/>
  <c r="AF43" i="5"/>
  <c r="AF364" i="5"/>
  <c r="AF148" i="5"/>
  <c r="AF454" i="5"/>
  <c r="AF460" i="5"/>
  <c r="AF495" i="5"/>
  <c r="AF98" i="5"/>
  <c r="AF539" i="5"/>
  <c r="AF445" i="5"/>
  <c r="AF55" i="5"/>
  <c r="AF360" i="5"/>
  <c r="AF412" i="5"/>
  <c r="AF427" i="5"/>
  <c r="AF305" i="5"/>
  <c r="AF146" i="5"/>
  <c r="AP146" i="5" s="1"/>
  <c r="AF288" i="5"/>
  <c r="AF131" i="5"/>
  <c r="AF112" i="5"/>
  <c r="AF189" i="5"/>
  <c r="AF551" i="5"/>
  <c r="AF139" i="5"/>
  <c r="AF104" i="5"/>
  <c r="AF177" i="5"/>
  <c r="AF210" i="5"/>
  <c r="AF500" i="5"/>
  <c r="AF243" i="5"/>
  <c r="AF205" i="5"/>
  <c r="AF278" i="5"/>
  <c r="AF172" i="5"/>
  <c r="AF393" i="5"/>
  <c r="AF366" i="5"/>
  <c r="AF347" i="5"/>
  <c r="AF127" i="5"/>
  <c r="AF89" i="5"/>
  <c r="AF153" i="5"/>
  <c r="AF208" i="5"/>
  <c r="AF256" i="5"/>
  <c r="AF255" i="5"/>
  <c r="AF234" i="5"/>
  <c r="AF116" i="5"/>
  <c r="AF532" i="5"/>
  <c r="AF415" i="5"/>
  <c r="AF100" i="5"/>
  <c r="AF537" i="5"/>
  <c r="AF544" i="5"/>
  <c r="AF310" i="5"/>
  <c r="AF430" i="5"/>
  <c r="AF142" i="5"/>
  <c r="AF357" i="5"/>
  <c r="AF138" i="5"/>
  <c r="AF548" i="5"/>
  <c r="AF318" i="5"/>
  <c r="AF85" i="5"/>
  <c r="AF542" i="5"/>
  <c r="AF370" i="5"/>
  <c r="AF308" i="5"/>
  <c r="AF465" i="5"/>
  <c r="AF467" i="5"/>
  <c r="AF451" i="5"/>
  <c r="AF408" i="5"/>
  <c r="AF163" i="5"/>
  <c r="AF122" i="5"/>
  <c r="AF203" i="5"/>
  <c r="AP203" i="5" s="1"/>
  <c r="AF76" i="5"/>
  <c r="AF118" i="5"/>
  <c r="AF443" i="5"/>
  <c r="AF257" i="5"/>
  <c r="AF268" i="5"/>
  <c r="AF30" i="5"/>
  <c r="AF401" i="5"/>
  <c r="AF295" i="5"/>
  <c r="AF252" i="5"/>
  <c r="AF550" i="5"/>
  <c r="AF506" i="5"/>
  <c r="AF486" i="5"/>
  <c r="AF394" i="5"/>
  <c r="AF425" i="5"/>
  <c r="AF19" i="5"/>
  <c r="AF212" i="5"/>
  <c r="AF135" i="5"/>
  <c r="AF488" i="5"/>
  <c r="AF510" i="5"/>
  <c r="AF231" i="5"/>
  <c r="AF490" i="5"/>
  <c r="AF93" i="5"/>
  <c r="AF435" i="5"/>
  <c r="AF267" i="5"/>
  <c r="AF346" i="5"/>
  <c r="AF265" i="5"/>
  <c r="AF241" i="5"/>
  <c r="AF140" i="5"/>
  <c r="AF507" i="5"/>
  <c r="AF62" i="5"/>
  <c r="AF319" i="5"/>
  <c r="AF128" i="5"/>
  <c r="AF291" i="5"/>
  <c r="AF32" i="5"/>
  <c r="AF555" i="5"/>
  <c r="AF389" i="5"/>
  <c r="AF156" i="5"/>
  <c r="AF133" i="5"/>
  <c r="AF424" i="5"/>
  <c r="AF477" i="5"/>
  <c r="AF260" i="5"/>
  <c r="AF194" i="5"/>
  <c r="AF325" i="5"/>
  <c r="AF242" i="5"/>
  <c r="AF399" i="5"/>
  <c r="AF527" i="5"/>
  <c r="AF63" i="5"/>
  <c r="AF480" i="5"/>
  <c r="AF505" i="5"/>
  <c r="AF458" i="5"/>
  <c r="AF478" i="5"/>
  <c r="AF36" i="5"/>
  <c r="AF201" i="5"/>
  <c r="AF181" i="5"/>
  <c r="AF361" i="5"/>
  <c r="AF372" i="5"/>
  <c r="AF52" i="5"/>
  <c r="AF459" i="5"/>
  <c r="AF132" i="5"/>
  <c r="AF190" i="5"/>
  <c r="AF45" i="5"/>
  <c r="AF247" i="5"/>
  <c r="AF279" i="5"/>
  <c r="AF46" i="5"/>
  <c r="AF134" i="5"/>
  <c r="AF368" i="5"/>
  <c r="AF123" i="5"/>
  <c r="AF73" i="5"/>
  <c r="AF403" i="5"/>
  <c r="AF538" i="5"/>
  <c r="AF48" i="5"/>
  <c r="AF166" i="5"/>
  <c r="AF26" i="5"/>
  <c r="AF8" i="5"/>
  <c r="AF540" i="5"/>
  <c r="AF374" i="5"/>
  <c r="AF326" i="5"/>
  <c r="AF99" i="5"/>
  <c r="AF526" i="5"/>
  <c r="AF207" i="5"/>
  <c r="AF290" i="5"/>
  <c r="AF546" i="5"/>
  <c r="AP546" i="5" s="1"/>
  <c r="AF334" i="5"/>
  <c r="AF547" i="5"/>
  <c r="AF441" i="5"/>
  <c r="AF58" i="5"/>
  <c r="AF110" i="5"/>
  <c r="AF187" i="5"/>
  <c r="AF312" i="5"/>
  <c r="AF313" i="5"/>
  <c r="AF314" i="5"/>
  <c r="AF417" i="5"/>
  <c r="AF66" i="5"/>
  <c r="AF554" i="5"/>
  <c r="AF385" i="5"/>
  <c r="AF447" i="5"/>
  <c r="AF516" i="5"/>
  <c r="AF240" i="5"/>
  <c r="AF323" i="5"/>
  <c r="AF283" i="5"/>
  <c r="AF87" i="5"/>
  <c r="AF178" i="5"/>
  <c r="AF558" i="5"/>
  <c r="AF453" i="5"/>
  <c r="AF31" i="5"/>
  <c r="AP31" i="5" s="1"/>
  <c r="AF333" i="5"/>
  <c r="AF216" i="5"/>
  <c r="AF404" i="5"/>
  <c r="AF350" i="5"/>
  <c r="AF282" i="5"/>
  <c r="AF429" i="5"/>
  <c r="AF175" i="5"/>
  <c r="AF154" i="5"/>
  <c r="AF533" i="5"/>
  <c r="AF434" i="5"/>
  <c r="AF126" i="5"/>
  <c r="AF125" i="5"/>
  <c r="AF525" i="5"/>
  <c r="AF504" i="5"/>
  <c r="AF348" i="5"/>
  <c r="AF23" i="5"/>
  <c r="AF387" i="5"/>
  <c r="AF161" i="5"/>
  <c r="AF42" i="5"/>
  <c r="AF469" i="5"/>
  <c r="AF124" i="5"/>
  <c r="AP124" i="5" s="1"/>
  <c r="AF419" i="5"/>
  <c r="AF158" i="5"/>
  <c r="AF339" i="5"/>
  <c r="AF185" i="5"/>
  <c r="AF222" i="5"/>
  <c r="AF428" i="5"/>
  <c r="AF392" i="5"/>
  <c r="AF448" i="5"/>
  <c r="AF474" i="5"/>
  <c r="AF439" i="5"/>
  <c r="AF108" i="5"/>
  <c r="AF302" i="5"/>
  <c r="AF20" i="5"/>
  <c r="AF151" i="5"/>
  <c r="AF522" i="5"/>
  <c r="AF472" i="5"/>
  <c r="AF549" i="5"/>
  <c r="AF70" i="5"/>
  <c r="AF237" i="5"/>
  <c r="AF317" i="5"/>
  <c r="AF160" i="5"/>
  <c r="AF214" i="5"/>
  <c r="AF444" i="5"/>
  <c r="AF179" i="5"/>
  <c r="AF503" i="5"/>
  <c r="AF236" i="5"/>
  <c r="AF307" i="5"/>
  <c r="AF437" i="5"/>
  <c r="AF479" i="5"/>
  <c r="AF191" i="5"/>
  <c r="AF41" i="5"/>
  <c r="AF229" i="5"/>
  <c r="AP229" i="5" s="1"/>
  <c r="AF320" i="5"/>
  <c r="AF143" i="5"/>
  <c r="AF249" i="5"/>
  <c r="AF359" i="5"/>
  <c r="AF388" i="5"/>
  <c r="AF211" i="5"/>
  <c r="AF107" i="5"/>
  <c r="AF315" i="5"/>
  <c r="AF462" i="5"/>
  <c r="AF384" i="5"/>
  <c r="AF455" i="5"/>
  <c r="AF200" i="5"/>
  <c r="AF246" i="5"/>
  <c r="AF114" i="5"/>
  <c r="AF433" i="5"/>
  <c r="AF489" i="5"/>
  <c r="AF520" i="5"/>
  <c r="AF91" i="5"/>
  <c r="AF529" i="5"/>
  <c r="AF299" i="5"/>
  <c r="AF117" i="5"/>
  <c r="AF294" i="5"/>
  <c r="AF109" i="5"/>
  <c r="AF543" i="5"/>
  <c r="AF426" i="5"/>
  <c r="AF121" i="5"/>
  <c r="AF235" i="5"/>
  <c r="AF206" i="5"/>
  <c r="AF416" i="5"/>
  <c r="AF369" i="5"/>
  <c r="AF176" i="5"/>
  <c r="AF335" i="5"/>
  <c r="AF223" i="5"/>
  <c r="AF204" i="5"/>
  <c r="AF141" i="5"/>
  <c r="AF218" i="5"/>
  <c r="AF51" i="5"/>
  <c r="AF367" i="5"/>
  <c r="AP367" i="5" s="1"/>
  <c r="AF173" i="5"/>
  <c r="AF336" i="5"/>
  <c r="AF88" i="5"/>
  <c r="AP88" i="5" s="1"/>
  <c r="AF103" i="5"/>
  <c r="AF483" i="5"/>
  <c r="AF39" i="5"/>
  <c r="AF180" i="5"/>
  <c r="AF423" i="5"/>
  <c r="AF261" i="5"/>
  <c r="AF402" i="5"/>
  <c r="AF209" i="5"/>
  <c r="AF457" i="5"/>
  <c r="AF251" i="5"/>
  <c r="AF274" i="5"/>
  <c r="AP274" i="5" s="1"/>
  <c r="AF239" i="5"/>
  <c r="AP239" i="5" s="1"/>
  <c r="AF409" i="5"/>
  <c r="AF199" i="5"/>
  <c r="AF196" i="5"/>
  <c r="AF13" i="5"/>
  <c r="AF220" i="5"/>
  <c r="AF411" i="5"/>
  <c r="AF309" i="5"/>
  <c r="AF28" i="5"/>
  <c r="AF470" i="5"/>
  <c r="AF188" i="5"/>
  <c r="AF170" i="5"/>
  <c r="AF553" i="5"/>
  <c r="AF338" i="5"/>
  <c r="AF446" i="5"/>
  <c r="AF145" i="5"/>
  <c r="AF390" i="5"/>
  <c r="AF502" i="5"/>
  <c r="AF501" i="5"/>
  <c r="AF244" i="5"/>
  <c r="AF60" i="5"/>
  <c r="AF287" i="5"/>
  <c r="AF79" i="5"/>
  <c r="AF150" i="5"/>
  <c r="AF54" i="5"/>
  <c r="AF464" i="5"/>
  <c r="AF159" i="5"/>
  <c r="AF80" i="5"/>
  <c r="AF284" i="5"/>
  <c r="AF442" i="5"/>
  <c r="AF400" i="5"/>
  <c r="AF183" i="5"/>
  <c r="AP183" i="5" s="1"/>
  <c r="AF491" i="5"/>
  <c r="AF47" i="5"/>
  <c r="AF397" i="5"/>
  <c r="AF171" i="5"/>
  <c r="AF262" i="5"/>
  <c r="AF410" i="5"/>
  <c r="AF61" i="5"/>
  <c r="AF345" i="5"/>
  <c r="AP345" i="5" s="1"/>
  <c r="AF82" i="5"/>
  <c r="AP82" i="5" s="1"/>
  <c r="AF67" i="5"/>
  <c r="AF221" i="5"/>
  <c r="AF168" i="5"/>
  <c r="AF269" i="5"/>
  <c r="AF485" i="5"/>
  <c r="AF119" i="5"/>
  <c r="AF463" i="5"/>
  <c r="AF53" i="5"/>
  <c r="AF137" i="5"/>
  <c r="AF494" i="5"/>
  <c r="AF536" i="5"/>
  <c r="AF50" i="5"/>
  <c r="AF322" i="5"/>
  <c r="AF72" i="5"/>
  <c r="AF431" i="5"/>
  <c r="AF92" i="5"/>
  <c r="AF406" i="5"/>
  <c r="AF195" i="5"/>
  <c r="AF213" i="5"/>
  <c r="AF353" i="5"/>
  <c r="AF259" i="5"/>
  <c r="AP259" i="5" s="1"/>
  <c r="AF86" i="5"/>
  <c r="AF197" i="5"/>
  <c r="AF271" i="5"/>
  <c r="AF528" i="5"/>
  <c r="AF280" i="5"/>
  <c r="AF436" i="5"/>
  <c r="AP436" i="5" s="1"/>
  <c r="AF186" i="5"/>
  <c r="AF130" i="5"/>
  <c r="AF481" i="5"/>
  <c r="AF296" i="5"/>
  <c r="AF398" i="5"/>
  <c r="AF456" i="5"/>
  <c r="AF101" i="5"/>
  <c r="AP101" i="5" s="1"/>
  <c r="AF381" i="5"/>
  <c r="AF450" i="5"/>
  <c r="AF383" i="5"/>
  <c r="AF65" i="5"/>
  <c r="AF303" i="5"/>
  <c r="AF147" i="5"/>
  <c r="AF157" i="5"/>
  <c r="AP157" i="5" s="1"/>
  <c r="AF351" i="5"/>
  <c r="AF421" i="5"/>
  <c r="AF75" i="5"/>
  <c r="AF306" i="5"/>
  <c r="AF68" i="5"/>
  <c r="AF169" i="5"/>
  <c r="AF521" i="5"/>
  <c r="AF219" i="5"/>
  <c r="AF377" i="5"/>
  <c r="AF515" i="5"/>
  <c r="AF354" i="5"/>
  <c r="AF418" i="5"/>
  <c r="AF396" i="5"/>
  <c r="AF129" i="5"/>
  <c r="AF152" i="5"/>
  <c r="AF7" i="5"/>
  <c r="AF59" i="5"/>
  <c r="AF438" i="5"/>
  <c r="AF174" i="5"/>
  <c r="AF289" i="5"/>
  <c r="AF328" i="5"/>
  <c r="AF182" i="5"/>
  <c r="AF484" i="5"/>
  <c r="AF466" i="5"/>
  <c r="AF40" i="5"/>
  <c r="AF362" i="5"/>
  <c r="AF230" i="5"/>
  <c r="AF329" i="5"/>
  <c r="AF519" i="5"/>
  <c r="AF78" i="5"/>
  <c r="AF363" i="5"/>
  <c r="AF44" i="5"/>
  <c r="AF90" i="5"/>
  <c r="AF253" i="5"/>
  <c r="AF380" i="5"/>
  <c r="AP380" i="5" s="1"/>
  <c r="AF468" i="5"/>
  <c r="AP468" i="5" s="1"/>
  <c r="AF365" i="5"/>
  <c r="AF341" i="5"/>
  <c r="AF297" i="5"/>
  <c r="AF373" i="5"/>
  <c r="AF22" i="5"/>
  <c r="AF304" i="5"/>
  <c r="AF165" i="5"/>
  <c r="AF449" i="5"/>
  <c r="AF331" i="5"/>
  <c r="AF106" i="5"/>
  <c r="AF69" i="5"/>
  <c r="AF96" i="5"/>
  <c r="AF115" i="5"/>
  <c r="AF263" i="5"/>
  <c r="AF413" i="5"/>
  <c r="AF508" i="5"/>
  <c r="AF275" i="5"/>
  <c r="AF24" i="5"/>
  <c r="AF552" i="5"/>
  <c r="AF530" i="5"/>
  <c r="AF316" i="5"/>
  <c r="AF254" i="5"/>
  <c r="AP254" i="5" s="1"/>
  <c r="AF270" i="5"/>
  <c r="AF81" i="5"/>
  <c r="AF83" i="5"/>
  <c r="AF405" i="5"/>
  <c r="AF215" i="5"/>
  <c r="AF272" i="5"/>
  <c r="AF337" i="5"/>
  <c r="AF162" i="5"/>
  <c r="AF298" i="5"/>
  <c r="AP298" i="5" s="1"/>
  <c r="AF25" i="5"/>
  <c r="AF102" i="5"/>
  <c r="AF266" i="5"/>
  <c r="AP266" i="5" s="1"/>
  <c r="AF224" i="5"/>
  <c r="AF386" i="5"/>
  <c r="AF476" i="5"/>
  <c r="AF286" i="5"/>
  <c r="AF541" i="5"/>
  <c r="AF293" i="5"/>
  <c r="AF120" i="5"/>
  <c r="AF560" i="5"/>
  <c r="AF74" i="5"/>
  <c r="AF352" i="5"/>
  <c r="AF10" i="5"/>
  <c r="AF38" i="5"/>
  <c r="AF557" i="5"/>
  <c r="AF407" i="5"/>
  <c r="AP407" i="5" s="1"/>
  <c r="AF349" i="5"/>
  <c r="AF311" i="5"/>
  <c r="AF192" i="5"/>
  <c r="AF514" i="5"/>
  <c r="AF226" i="5"/>
  <c r="AF498" i="5"/>
  <c r="AF238" i="5"/>
  <c r="AF84" i="5"/>
  <c r="AF471" i="5"/>
  <c r="AF57" i="5"/>
  <c r="AF518" i="5"/>
  <c r="AP518" i="5" s="1"/>
  <c r="AF531" i="5"/>
  <c r="AF422" i="5"/>
  <c r="AF356" i="5"/>
  <c r="AF35" i="5"/>
  <c r="AF378" i="5"/>
  <c r="AF276" i="5"/>
  <c r="AF64" i="5"/>
  <c r="AF355" i="5"/>
  <c r="AF358" i="5"/>
  <c r="AF332" i="5"/>
  <c r="AF193" i="5"/>
  <c r="AF509" i="5"/>
  <c r="AF225" i="5"/>
  <c r="AF327" i="5"/>
  <c r="AF198" i="5"/>
  <c r="AF482" i="5"/>
  <c r="AF264" i="5"/>
  <c r="AF37" i="5"/>
  <c r="AF473" i="5"/>
  <c r="AF144" i="5"/>
  <c r="AF228" i="5"/>
  <c r="AF97" i="5"/>
  <c r="AF27" i="5"/>
  <c r="AF379" i="5"/>
  <c r="AF49" i="5"/>
  <c r="AF556" i="5"/>
  <c r="AF375" i="5"/>
  <c r="AF248" i="5"/>
  <c r="AF71" i="5"/>
  <c r="AF534" i="5"/>
  <c r="AP534" i="5" s="1"/>
  <c r="AF492" i="5"/>
  <c r="AF559" i="5"/>
  <c r="AF545" i="5"/>
  <c r="AF344" i="5"/>
  <c r="AF111" i="5"/>
  <c r="AF340" i="5"/>
  <c r="AF113" i="5"/>
  <c r="AF512" i="5"/>
  <c r="AF155" i="5"/>
  <c r="AF285" i="5"/>
  <c r="AF149" i="5"/>
  <c r="AF12" i="5"/>
  <c r="AF227" i="5"/>
  <c r="AF493" i="5"/>
  <c r="AF432" i="5"/>
  <c r="AF105" i="5"/>
  <c r="AF34" i="5"/>
  <c r="AF21" i="5"/>
  <c r="AF233" i="5"/>
  <c r="AF273" i="5"/>
  <c r="AF535" i="5"/>
  <c r="AP535" i="5" s="1"/>
  <c r="AF324" i="5"/>
  <c r="AF382" i="5"/>
  <c r="AF343" i="5"/>
  <c r="AF475" i="5"/>
  <c r="AF202" i="5"/>
  <c r="AF300" i="5"/>
  <c r="AF217" i="5"/>
  <c r="AF184" i="5"/>
  <c r="AF420" i="5"/>
  <c r="AF376" i="5"/>
  <c r="AF301" i="5"/>
  <c r="AF95" i="5"/>
  <c r="AF487" i="5"/>
  <c r="Y428" i="5"/>
  <c r="X428" i="5"/>
  <c r="Y336" i="5"/>
  <c r="X336" i="5"/>
  <c r="X449" i="5"/>
  <c r="Y449" i="5"/>
  <c r="X424" i="5"/>
  <c r="Y424" i="5"/>
  <c r="Y456" i="5"/>
  <c r="X456" i="5"/>
  <c r="X340" i="5"/>
  <c r="Y340" i="5"/>
  <c r="X261" i="5"/>
  <c r="Y261" i="5"/>
  <c r="X439" i="5"/>
  <c r="Y439" i="5"/>
  <c r="X460" i="5"/>
  <c r="Y460" i="5"/>
  <c r="X514" i="5"/>
  <c r="Y514" i="5"/>
  <c r="Y213" i="5"/>
  <c r="X213" i="5"/>
  <c r="X444" i="5"/>
  <c r="Y444" i="5"/>
  <c r="Y181" i="5"/>
  <c r="X181" i="5"/>
  <c r="Y345" i="5"/>
  <c r="X345" i="5"/>
  <c r="Y53" i="5"/>
  <c r="X53" i="5"/>
  <c r="X124" i="5"/>
  <c r="Y124" i="5"/>
  <c r="X288" i="5"/>
  <c r="Y288" i="5"/>
  <c r="Y446" i="5"/>
  <c r="X446" i="5"/>
  <c r="X531" i="5"/>
  <c r="Y531" i="5"/>
  <c r="Y458" i="5"/>
  <c r="X458" i="5"/>
  <c r="X406" i="5"/>
  <c r="Y406" i="5"/>
  <c r="Y402" i="5"/>
  <c r="X402" i="5"/>
  <c r="X49" i="5"/>
  <c r="Y49" i="5"/>
  <c r="Y186" i="5"/>
  <c r="X186" i="5"/>
  <c r="X268" i="5"/>
  <c r="Y268" i="5"/>
  <c r="Y450" i="5"/>
  <c r="X450" i="5"/>
  <c r="X526" i="5"/>
  <c r="Y526" i="5"/>
  <c r="X32" i="5"/>
  <c r="Y32" i="5"/>
  <c r="X360" i="5"/>
  <c r="Y360" i="5"/>
  <c r="X392" i="5"/>
  <c r="Y392" i="5"/>
  <c r="Y487" i="5"/>
  <c r="X487" i="5"/>
  <c r="X279" i="5"/>
  <c r="Y279" i="5"/>
  <c r="X532" i="5"/>
  <c r="Y532" i="5"/>
  <c r="X536" i="5"/>
  <c r="Y536" i="5"/>
  <c r="Y447" i="5"/>
  <c r="X447" i="5"/>
  <c r="Y131" i="5"/>
  <c r="X131" i="5"/>
  <c r="X94" i="5"/>
  <c r="Y94" i="5"/>
  <c r="X169" i="5"/>
  <c r="Y169" i="5"/>
  <c r="Y519" i="5"/>
  <c r="X519" i="5"/>
  <c r="Y386" i="5"/>
  <c r="X386" i="5"/>
  <c r="X329" i="5"/>
  <c r="Y329" i="5"/>
  <c r="X93" i="5"/>
  <c r="Y93" i="5"/>
  <c r="Y122" i="5"/>
  <c r="X122" i="5"/>
  <c r="X369" i="5"/>
  <c r="Y369" i="5"/>
  <c r="B182" i="2"/>
  <c r="B171" i="2"/>
  <c r="B179" i="2" s="1"/>
  <c r="B186" i="2" s="1"/>
  <c r="AV85" i="4"/>
  <c r="U85" i="4"/>
  <c r="AV65" i="4"/>
  <c r="U65" i="4"/>
  <c r="AV146" i="4"/>
  <c r="U146" i="4"/>
  <c r="AV99" i="4"/>
  <c r="U99" i="4"/>
  <c r="AV64" i="4"/>
  <c r="U64" i="4"/>
  <c r="AV29" i="4"/>
  <c r="U29" i="4"/>
  <c r="AV98" i="4"/>
  <c r="U98" i="4"/>
  <c r="AV122" i="4"/>
  <c r="U122" i="4"/>
  <c r="AV129" i="4"/>
  <c r="U129" i="4"/>
  <c r="AV89" i="4"/>
  <c r="U89" i="4"/>
  <c r="AV136" i="4"/>
  <c r="U136" i="4"/>
  <c r="AV91" i="4"/>
  <c r="U91" i="4"/>
  <c r="AV109" i="4"/>
  <c r="U109" i="4"/>
  <c r="AV87" i="4"/>
  <c r="U87" i="4"/>
  <c r="AV113" i="4"/>
  <c r="U113" i="4"/>
  <c r="AV53" i="4"/>
  <c r="U53" i="4"/>
  <c r="AV34" i="4"/>
  <c r="U34" i="4"/>
  <c r="AV76" i="4"/>
  <c r="U76" i="4"/>
  <c r="AV41" i="4"/>
  <c r="U41" i="4"/>
  <c r="AV48" i="4"/>
  <c r="U48" i="4"/>
  <c r="AV37" i="4"/>
  <c r="U37" i="4"/>
  <c r="AV96" i="4"/>
  <c r="U96" i="4"/>
  <c r="AV68" i="4"/>
  <c r="U68" i="4"/>
  <c r="AV50" i="4"/>
  <c r="U50" i="4"/>
  <c r="AV56" i="4"/>
  <c r="U56" i="4"/>
  <c r="AV46" i="4"/>
  <c r="U46" i="4"/>
  <c r="AV102" i="4"/>
  <c r="U102" i="4"/>
  <c r="AV62" i="4"/>
  <c r="U62" i="4"/>
  <c r="U108" i="4"/>
  <c r="AV108" i="4"/>
  <c r="AV95" i="4"/>
  <c r="U95" i="4"/>
  <c r="AV39" i="4"/>
  <c r="U39" i="4"/>
  <c r="AV25" i="4"/>
  <c r="U25" i="4"/>
  <c r="U9" i="4"/>
  <c r="AV9" i="4"/>
  <c r="B39" i="5"/>
  <c r="B38" i="5"/>
  <c r="X26" i="5"/>
  <c r="Y26" i="5"/>
  <c r="X263" i="5"/>
  <c r="Y263" i="5"/>
  <c r="X321" i="5"/>
  <c r="Y321" i="5"/>
  <c r="Y102" i="5"/>
  <c r="X102" i="5"/>
  <c r="Y429" i="5"/>
  <c r="X429" i="5"/>
  <c r="X159" i="5"/>
  <c r="Y159" i="5"/>
  <c r="X362" i="5"/>
  <c r="Y362" i="5"/>
  <c r="X427" i="5"/>
  <c r="Y427" i="5"/>
  <c r="X401" i="5"/>
  <c r="Y401" i="5"/>
  <c r="X240" i="5"/>
  <c r="Y240" i="5"/>
  <c r="X153" i="5"/>
  <c r="Y153" i="5"/>
  <c r="Y478" i="5"/>
  <c r="X478" i="5"/>
  <c r="X244" i="5"/>
  <c r="Y244" i="5"/>
  <c r="Y313" i="5"/>
  <c r="X313" i="5"/>
  <c r="Y78" i="5"/>
  <c r="X78" i="5"/>
  <c r="X470" i="5"/>
  <c r="Y470" i="5"/>
  <c r="AV63" i="4"/>
  <c r="U63" i="4"/>
  <c r="AV119" i="4"/>
  <c r="U119" i="4"/>
  <c r="AV100" i="4"/>
  <c r="U100" i="4"/>
  <c r="AV43" i="4"/>
  <c r="U43" i="4"/>
  <c r="AV139" i="4"/>
  <c r="U139" i="4"/>
  <c r="AV130" i="4"/>
  <c r="U130" i="4"/>
  <c r="AV82" i="4"/>
  <c r="U82" i="4"/>
  <c r="U16" i="4"/>
  <c r="AV16" i="4"/>
  <c r="AV78" i="4"/>
  <c r="U78" i="4"/>
  <c r="AV105" i="4"/>
  <c r="U105" i="4"/>
  <c r="AV104" i="4"/>
  <c r="U104" i="4"/>
  <c r="AV55" i="4"/>
  <c r="U55" i="4"/>
  <c r="AV47" i="4"/>
  <c r="U47" i="4"/>
  <c r="AV135" i="4"/>
  <c r="U135" i="4"/>
  <c r="AV27" i="4"/>
  <c r="U27" i="4"/>
  <c r="AV20" i="4"/>
  <c r="U20" i="4"/>
  <c r="AV69" i="4"/>
  <c r="U69" i="4"/>
  <c r="AV140" i="4"/>
  <c r="U140" i="4"/>
  <c r="AV114" i="4"/>
  <c r="U114" i="4"/>
  <c r="AV88" i="4"/>
  <c r="U88" i="4"/>
  <c r="AV97" i="4"/>
  <c r="U97" i="4"/>
  <c r="AV106" i="4"/>
  <c r="U106" i="4"/>
  <c r="AV118" i="4"/>
  <c r="U118" i="4"/>
  <c r="AV128" i="4"/>
  <c r="U128" i="4"/>
  <c r="AV35" i="4"/>
  <c r="U35" i="4"/>
  <c r="AV144" i="4"/>
  <c r="U144" i="4"/>
  <c r="U24" i="4"/>
  <c r="AV24" i="4"/>
  <c r="AV84" i="4"/>
  <c r="U84" i="4"/>
  <c r="AV10" i="4"/>
  <c r="U10" i="4"/>
  <c r="AV148" i="4"/>
  <c r="U148" i="4"/>
  <c r="AV51" i="4"/>
  <c r="U51" i="4"/>
  <c r="AV70" i="4"/>
  <c r="U70" i="4"/>
  <c r="AV138" i="4"/>
  <c r="U138" i="4"/>
  <c r="AV57" i="4"/>
  <c r="U57" i="4"/>
  <c r="U54" i="4"/>
  <c r="AV54" i="4"/>
  <c r="AV150" i="4"/>
  <c r="U150" i="4"/>
  <c r="AV80" i="4"/>
  <c r="U80" i="4"/>
  <c r="U142" i="4"/>
  <c r="AV142" i="4"/>
  <c r="AC7" i="5"/>
  <c r="Y135" i="5"/>
  <c r="X135" i="5"/>
  <c r="X175" i="5"/>
  <c r="Y175" i="5"/>
  <c r="Y156" i="5"/>
  <c r="X156" i="5"/>
  <c r="X112" i="5"/>
  <c r="Y112" i="5"/>
  <c r="Y527" i="5"/>
  <c r="X527" i="5"/>
  <c r="Y411" i="5"/>
  <c r="X411" i="5"/>
  <c r="X116" i="5"/>
  <c r="Y116" i="5"/>
  <c r="X544" i="5"/>
  <c r="Y544" i="5"/>
  <c r="X398" i="5"/>
  <c r="Y398" i="5"/>
  <c r="X483" i="5"/>
  <c r="Y483" i="5"/>
  <c r="Y66" i="5"/>
  <c r="X66" i="5"/>
  <c r="Y397" i="5"/>
  <c r="X397" i="5"/>
  <c r="X81" i="5"/>
  <c r="Y81" i="5"/>
  <c r="Y27" i="5"/>
  <c r="X27" i="5"/>
  <c r="X190" i="5"/>
  <c r="Y190" i="5"/>
  <c r="X520" i="5"/>
  <c r="Y520" i="5"/>
  <c r="X55" i="5"/>
  <c r="Y55" i="5"/>
  <c r="Y210" i="5"/>
  <c r="X210" i="5"/>
  <c r="Y417" i="5"/>
  <c r="X417" i="5"/>
  <c r="X384" i="5"/>
  <c r="Y384" i="5"/>
  <c r="X337" i="5"/>
  <c r="Y337" i="5"/>
  <c r="X195" i="5"/>
  <c r="Y195" i="5"/>
  <c r="X219" i="5"/>
  <c r="Y219" i="5"/>
  <c r="Y118" i="5"/>
  <c r="X118" i="5"/>
  <c r="X378" i="5"/>
  <c r="Y378" i="5"/>
  <c r="X546" i="5"/>
  <c r="Y546" i="5"/>
  <c r="X275" i="5"/>
  <c r="Y275" i="5"/>
  <c r="X280" i="5"/>
  <c r="Y280" i="5"/>
  <c r="X372" i="5"/>
  <c r="Y372" i="5"/>
  <c r="X143" i="5"/>
  <c r="Y143" i="5"/>
  <c r="X493" i="5"/>
  <c r="Y493" i="5"/>
  <c r="X516" i="5"/>
  <c r="Y516" i="5"/>
  <c r="X155" i="5"/>
  <c r="Y155" i="5"/>
  <c r="X419" i="5"/>
  <c r="Y419" i="5"/>
  <c r="Y498" i="5"/>
  <c r="X498" i="5"/>
  <c r="Y283" i="5"/>
  <c r="X283" i="5"/>
  <c r="Y341" i="5"/>
  <c r="X341" i="5"/>
  <c r="Y205" i="5"/>
  <c r="X205" i="5"/>
  <c r="X319" i="5"/>
  <c r="Y319" i="5"/>
  <c r="X274" i="5"/>
  <c r="Y274" i="5"/>
  <c r="X259" i="5"/>
  <c r="Y259" i="5"/>
  <c r="Y184" i="5"/>
  <c r="X184" i="5"/>
  <c r="Y365" i="5"/>
  <c r="X365" i="5"/>
  <c r="X130" i="5"/>
  <c r="Y130" i="5"/>
  <c r="Y353" i="5"/>
  <c r="X353" i="5"/>
  <c r="Y320" i="5"/>
  <c r="X320" i="5"/>
  <c r="X171" i="5"/>
  <c r="Y171" i="5"/>
  <c r="X45" i="5"/>
  <c r="Y45" i="5"/>
  <c r="Y86" i="5"/>
  <c r="X86" i="5"/>
  <c r="Y146" i="5"/>
  <c r="X146" i="5"/>
  <c r="X377" i="5"/>
  <c r="Y377" i="5"/>
  <c r="X286" i="5"/>
  <c r="Y286" i="5"/>
  <c r="X477" i="5"/>
  <c r="Y477" i="5"/>
  <c r="Y557" i="5"/>
  <c r="X557" i="5"/>
  <c r="Y383" i="5"/>
  <c r="X383" i="5"/>
  <c r="X21" i="5"/>
  <c r="Y21" i="5"/>
  <c r="Y73" i="5"/>
  <c r="X73" i="5"/>
  <c r="X39" i="5"/>
  <c r="Y39" i="5"/>
  <c r="X366" i="5"/>
  <c r="Y366" i="5"/>
  <c r="X328" i="5"/>
  <c r="Y328" i="5"/>
  <c r="Y306" i="5"/>
  <c r="X306" i="5"/>
  <c r="X125" i="5"/>
  <c r="Y125" i="5"/>
  <c r="Y71" i="5"/>
  <c r="X71" i="5"/>
  <c r="Y403" i="5"/>
  <c r="X403" i="5"/>
  <c r="X88" i="5"/>
  <c r="Y88" i="5"/>
  <c r="X304" i="5"/>
  <c r="Y304" i="5"/>
  <c r="X488" i="5"/>
  <c r="Y488" i="5"/>
  <c r="Y346" i="5"/>
  <c r="X346" i="5"/>
  <c r="X265" i="5"/>
  <c r="Y265" i="5"/>
  <c r="Y309" i="5"/>
  <c r="X309" i="5"/>
  <c r="Y85" i="5"/>
  <c r="X85" i="5"/>
  <c r="X459" i="5"/>
  <c r="Y459" i="5"/>
  <c r="Y442" i="5"/>
  <c r="X442" i="5"/>
  <c r="Y307" i="5"/>
  <c r="X307" i="5"/>
  <c r="X64" i="5"/>
  <c r="Y64" i="5"/>
  <c r="Y247" i="5"/>
  <c r="X247" i="5"/>
  <c r="X167" i="5"/>
  <c r="Y167" i="5"/>
  <c r="X465" i="5"/>
  <c r="Y465" i="5"/>
  <c r="Y435" i="5"/>
  <c r="X435" i="5"/>
  <c r="X420" i="5"/>
  <c r="Y420" i="5"/>
  <c r="Y47" i="5"/>
  <c r="X47" i="5"/>
  <c r="X235" i="5"/>
  <c r="Y235" i="5"/>
  <c r="X245" i="5"/>
  <c r="Y245" i="5"/>
  <c r="Y31" i="5"/>
  <c r="X31" i="5"/>
  <c r="X216" i="5"/>
  <c r="Y216" i="5"/>
  <c r="X204" i="5"/>
  <c r="Y204" i="5"/>
  <c r="X371" i="5"/>
  <c r="Y371" i="5"/>
  <c r="X117" i="5"/>
  <c r="Y117" i="5"/>
  <c r="Y486" i="5"/>
  <c r="X486" i="5"/>
  <c r="X358" i="5"/>
  <c r="Y358" i="5"/>
  <c r="X434" i="5"/>
  <c r="Y434" i="5"/>
  <c r="Y256" i="5"/>
  <c r="X256" i="5"/>
  <c r="Y454" i="5"/>
  <c r="X454" i="5"/>
  <c r="X44" i="5"/>
  <c r="Y44" i="5"/>
  <c r="X158" i="5"/>
  <c r="Y158" i="5"/>
  <c r="X537" i="5"/>
  <c r="Y537" i="5"/>
  <c r="Y453" i="5"/>
  <c r="X453" i="5"/>
  <c r="X423" i="5"/>
  <c r="Y423" i="5"/>
  <c r="X90" i="5"/>
  <c r="Y90" i="5"/>
  <c r="X154" i="5"/>
  <c r="Y154" i="5"/>
  <c r="X182" i="5"/>
  <c r="Y182" i="5"/>
  <c r="X508" i="5"/>
  <c r="Y508" i="5"/>
  <c r="Y87" i="5"/>
  <c r="X87" i="5"/>
  <c r="X375" i="5"/>
  <c r="Y375" i="5"/>
  <c r="Y474" i="5"/>
  <c r="X474" i="5"/>
  <c r="X380" i="5"/>
  <c r="Y380" i="5"/>
  <c r="Y473" i="5"/>
  <c r="X473" i="5"/>
  <c r="X409" i="5"/>
  <c r="Y409" i="5"/>
  <c r="Y327" i="5"/>
  <c r="X327" i="5"/>
  <c r="Y412" i="5"/>
  <c r="X412" i="5"/>
  <c r="Y314" i="5"/>
  <c r="X314" i="5"/>
  <c r="X540" i="5"/>
  <c r="Y540" i="5"/>
  <c r="Y52" i="5"/>
  <c r="X52" i="5"/>
  <c r="X438" i="5"/>
  <c r="Y438" i="5"/>
  <c r="X351" i="5"/>
  <c r="Y351" i="5"/>
  <c r="X278" i="5"/>
  <c r="Y278" i="5"/>
  <c r="Y142" i="5"/>
  <c r="X142" i="5"/>
  <c r="Y133" i="5"/>
  <c r="X133" i="5"/>
  <c r="X443" i="5"/>
  <c r="Y443" i="5"/>
  <c r="X84" i="5"/>
  <c r="Y84" i="5"/>
  <c r="X414" i="5"/>
  <c r="Y414" i="5"/>
  <c r="Y552" i="5"/>
  <c r="X552" i="5"/>
  <c r="Y422" i="5"/>
  <c r="X422" i="5"/>
  <c r="Y42" i="5"/>
  <c r="X42" i="5"/>
  <c r="X144" i="5"/>
  <c r="Y144" i="5"/>
  <c r="Y297" i="5"/>
  <c r="X297" i="5"/>
  <c r="X293" i="5"/>
  <c r="Y293" i="5"/>
  <c r="X207" i="5"/>
  <c r="Y207" i="5"/>
  <c r="Y497" i="5"/>
  <c r="X497" i="5"/>
  <c r="X239" i="5"/>
  <c r="Y239" i="5"/>
  <c r="X305" i="5"/>
  <c r="Y305" i="5"/>
  <c r="Y212" i="5"/>
  <c r="X212" i="5"/>
  <c r="X511" i="5"/>
  <c r="Y511" i="5"/>
  <c r="Y262" i="5"/>
  <c r="X262" i="5"/>
  <c r="X410" i="5"/>
  <c r="Y410" i="5"/>
  <c r="X436" i="5"/>
  <c r="Y436" i="5"/>
  <c r="AP70" i="5" l="1"/>
  <c r="AP263" i="5"/>
  <c r="AP466" i="5"/>
  <c r="AP129" i="5"/>
  <c r="AP106" i="5"/>
  <c r="AP489" i="5"/>
  <c r="AP507" i="5"/>
  <c r="AP172" i="5"/>
  <c r="AP193" i="5"/>
  <c r="AP184" i="5"/>
  <c r="AP420" i="5"/>
  <c r="AP478" i="5"/>
  <c r="AP49" i="5"/>
  <c r="AP191" i="5"/>
  <c r="AP197" i="5"/>
  <c r="AP472" i="5"/>
  <c r="AP487" i="5"/>
  <c r="AP215" i="5"/>
  <c r="AP338" i="5"/>
  <c r="AP470" i="5"/>
  <c r="AP192" i="5"/>
  <c r="AP343" i="5"/>
  <c r="AP23" i="5"/>
  <c r="AP250" i="5"/>
  <c r="AP490" i="5"/>
  <c r="AP237" i="5"/>
  <c r="AP476" i="5"/>
  <c r="AP365" i="5"/>
  <c r="AP26" i="5"/>
  <c r="AP53" i="5"/>
  <c r="AP52" i="5"/>
  <c r="AP261" i="5"/>
  <c r="AP147" i="5"/>
  <c r="AP456" i="5"/>
  <c r="AP235" i="5"/>
  <c r="AP40" i="5"/>
  <c r="AP140" i="5"/>
  <c r="AP228" i="5"/>
  <c r="AP119" i="5"/>
  <c r="AP346" i="5"/>
  <c r="AP473" i="5"/>
  <c r="AP109" i="5"/>
  <c r="AP357" i="5"/>
  <c r="AP80" i="5"/>
  <c r="AQ80" i="5" s="1"/>
  <c r="AP522" i="5"/>
  <c r="AP64" i="5"/>
  <c r="AP139" i="5"/>
  <c r="AP438" i="5"/>
  <c r="AP253" i="5"/>
  <c r="AP519" i="5"/>
  <c r="AP134" i="5"/>
  <c r="AP379" i="5"/>
  <c r="AP227" i="5"/>
  <c r="AP496" i="5"/>
  <c r="AP306" i="5"/>
  <c r="AP103" i="5"/>
  <c r="AP111" i="5"/>
  <c r="BI111" i="5" s="1"/>
  <c r="AP356" i="5"/>
  <c r="BI356" i="5" s="1"/>
  <c r="AP559" i="5"/>
  <c r="AR559" i="5" s="1"/>
  <c r="AP292" i="5"/>
  <c r="AQ292" i="5" s="1"/>
  <c r="AP375" i="5"/>
  <c r="AQ375" i="5" s="1"/>
  <c r="AP467" i="5"/>
  <c r="BI467" i="5" s="1"/>
  <c r="AP387" i="5"/>
  <c r="AP289" i="5"/>
  <c r="AP231" i="5"/>
  <c r="AP117" i="5"/>
  <c r="AP112" i="5"/>
  <c r="AP481" i="5"/>
  <c r="AP511" i="5"/>
  <c r="AP560" i="5"/>
  <c r="AP432" i="5"/>
  <c r="AP418" i="5"/>
  <c r="AP493" i="5"/>
  <c r="AP526" i="5"/>
  <c r="AP517" i="5"/>
  <c r="AP304" i="5"/>
  <c r="AP99" i="5"/>
  <c r="AP399" i="5"/>
  <c r="AP285" i="5"/>
  <c r="AP224" i="5"/>
  <c r="AP92" i="5"/>
  <c r="AP20" i="5"/>
  <c r="AP506" i="5"/>
  <c r="AP414" i="5"/>
  <c r="AP331" i="5"/>
  <c r="AP358" i="5"/>
  <c r="AP483" i="5"/>
  <c r="AP336" i="5"/>
  <c r="AP173" i="5"/>
  <c r="BI173" i="5" s="1"/>
  <c r="AP363" i="5"/>
  <c r="AR363" i="5" s="1"/>
  <c r="AP368" i="5"/>
  <c r="BI368" i="5" s="1"/>
  <c r="AP170" i="5"/>
  <c r="AR170" i="5" s="1"/>
  <c r="AP275" i="5"/>
  <c r="AQ275" i="5" s="1"/>
  <c r="AP181" i="5"/>
  <c r="AR181" i="5" s="1"/>
  <c r="AP482" i="5"/>
  <c r="AP74" i="5"/>
  <c r="AP480" i="5"/>
  <c r="AP541" i="5"/>
  <c r="AP213" i="5"/>
  <c r="AP282" i="5"/>
  <c r="AP521" i="5"/>
  <c r="AP246" i="5"/>
  <c r="AP550" i="5"/>
  <c r="AP543" i="5"/>
  <c r="AP525" i="5"/>
  <c r="AP171" i="5"/>
  <c r="AP96" i="5"/>
  <c r="AP108" i="5"/>
  <c r="AP98" i="5"/>
  <c r="AP421" i="5"/>
  <c r="AP352" i="5"/>
  <c r="AP339" i="5"/>
  <c r="AP376" i="5"/>
  <c r="AP469" i="5"/>
  <c r="AP398" i="5"/>
  <c r="AP321" i="5"/>
  <c r="AP277" i="5"/>
  <c r="AP442" i="5"/>
  <c r="AP286" i="5"/>
  <c r="AP515" i="5"/>
  <c r="AP415" i="5"/>
  <c r="AR415" i="5" s="1"/>
  <c r="AP512" i="5"/>
  <c r="AR512" i="5" s="1"/>
  <c r="AP477" i="5"/>
  <c r="AQ477" i="5" s="1"/>
  <c r="AP536" i="5"/>
  <c r="AR536" i="5" s="1"/>
  <c r="AP178" i="5"/>
  <c r="AR178" i="5" s="1"/>
  <c r="AP222" i="5"/>
  <c r="AR222" i="5" s="1"/>
  <c r="AP391" i="5"/>
  <c r="AP128" i="5"/>
  <c r="AP132" i="5"/>
  <c r="AP220" i="5"/>
  <c r="AP397" i="5"/>
  <c r="AP135" i="5"/>
  <c r="AP175" i="5"/>
  <c r="AP207" i="5"/>
  <c r="AP406" i="5"/>
  <c r="AP287" i="5"/>
  <c r="AP538" i="5"/>
  <c r="AP133" i="5"/>
  <c r="AP256" i="5"/>
  <c r="AP244" i="5"/>
  <c r="AP344" i="5"/>
  <c r="AP43" i="5"/>
  <c r="AP83" i="5"/>
  <c r="AP141" i="5"/>
  <c r="AR141" i="5" s="1"/>
  <c r="AP516" i="5"/>
  <c r="AP291" i="5"/>
  <c r="AP330" i="5"/>
  <c r="AP143" i="5"/>
  <c r="AP471" i="5"/>
  <c r="AP65" i="5"/>
  <c r="AP270" i="5"/>
  <c r="AP223" i="5"/>
  <c r="AP202" i="5"/>
  <c r="AQ202" i="5" s="1"/>
  <c r="AP241" i="5"/>
  <c r="AQ241" i="5" s="1"/>
  <c r="AP243" i="5"/>
  <c r="BI243" i="5" s="1"/>
  <c r="AP27" i="5"/>
  <c r="AQ27" i="5" s="1"/>
  <c r="AP508" i="5"/>
  <c r="AQ508" i="5" s="1"/>
  <c r="AP528" i="5"/>
  <c r="AQ528" i="5" s="1"/>
  <c r="AP21" i="5"/>
  <c r="AP160" i="5"/>
  <c r="AP138" i="5"/>
  <c r="AP105" i="5"/>
  <c r="AP86" i="5"/>
  <c r="AP400" i="5"/>
  <c r="AP449" i="5"/>
  <c r="AP216" i="5"/>
  <c r="AP431" i="5"/>
  <c r="AP8" i="5"/>
  <c r="AP95" i="5"/>
  <c r="AP34" i="5"/>
  <c r="AP198" i="5"/>
  <c r="AP57" i="5"/>
  <c r="AP341" i="5"/>
  <c r="AP182" i="5"/>
  <c r="AP303" i="5"/>
  <c r="AP463" i="5"/>
  <c r="AQ463" i="5" s="1"/>
  <c r="AP150" i="5"/>
  <c r="AP309" i="5"/>
  <c r="AP317" i="5"/>
  <c r="AP302" i="5"/>
  <c r="AP533" i="5"/>
  <c r="AP194" i="5"/>
  <c r="AP465" i="5"/>
  <c r="AP131" i="5"/>
  <c r="AP445" i="5"/>
  <c r="AR445" i="5" s="1"/>
  <c r="AP29" i="5"/>
  <c r="AR29" i="5" s="1"/>
  <c r="AP395" i="5"/>
  <c r="BI395" i="5" s="1"/>
  <c r="AP378" i="5"/>
  <c r="AR378" i="5" s="1"/>
  <c r="AP293" i="5"/>
  <c r="AR293" i="5" s="1"/>
  <c r="AP81" i="5"/>
  <c r="AR81" i="5" s="1"/>
  <c r="AP130" i="5"/>
  <c r="AP121" i="5"/>
  <c r="AP236" i="5"/>
  <c r="AP439" i="5"/>
  <c r="AP158" i="5"/>
  <c r="AP453" i="5"/>
  <c r="AP212" i="5"/>
  <c r="AP370" i="5"/>
  <c r="AP234" i="5"/>
  <c r="AP382" i="5"/>
  <c r="AP509" i="5"/>
  <c r="AP35" i="5"/>
  <c r="AP238" i="5"/>
  <c r="AP557" i="5"/>
  <c r="AP230" i="5"/>
  <c r="AP174" i="5"/>
  <c r="AP354" i="5"/>
  <c r="AP450" i="5"/>
  <c r="AP50" i="5"/>
  <c r="AP269" i="5"/>
  <c r="AP426" i="5"/>
  <c r="AP474" i="5"/>
  <c r="AP385" i="5"/>
  <c r="AP48" i="5"/>
  <c r="AP279" i="5"/>
  <c r="AP361" i="5"/>
  <c r="AP63" i="5"/>
  <c r="AR63" i="5" s="1"/>
  <c r="AP424" i="5"/>
  <c r="AQ424" i="5" s="1"/>
  <c r="AP319" i="5"/>
  <c r="AQ319" i="5" s="1"/>
  <c r="AP19" i="5"/>
  <c r="BI19" i="5" s="1"/>
  <c r="AP122" i="5"/>
  <c r="BI122" i="5" s="1"/>
  <c r="AP310" i="5"/>
  <c r="AQ310" i="5" s="1"/>
  <c r="AP393" i="5"/>
  <c r="AP305" i="5"/>
  <c r="AP499" i="5"/>
  <c r="AP217" i="5"/>
  <c r="AP273" i="5"/>
  <c r="AP332" i="5"/>
  <c r="AP226" i="5"/>
  <c r="AP59" i="5"/>
  <c r="AP351" i="5"/>
  <c r="AP221" i="5"/>
  <c r="AP433" i="5"/>
  <c r="AP87" i="5"/>
  <c r="AP403" i="5"/>
  <c r="AP201" i="5"/>
  <c r="AP268" i="5"/>
  <c r="AP408" i="5"/>
  <c r="AP537" i="5"/>
  <c r="AP208" i="5"/>
  <c r="AQ208" i="5" s="1"/>
  <c r="AP412" i="5"/>
  <c r="AP245" i="5"/>
  <c r="AP233" i="5"/>
  <c r="AP149" i="5"/>
  <c r="AP545" i="5"/>
  <c r="AP272" i="5"/>
  <c r="AP373" i="5"/>
  <c r="AP44" i="5"/>
  <c r="AP137" i="5"/>
  <c r="BI137" i="5" s="1"/>
  <c r="AP67" i="5"/>
  <c r="AQ67" i="5" s="1"/>
  <c r="AP464" i="5"/>
  <c r="AR464" i="5" s="1"/>
  <c r="AP502" i="5"/>
  <c r="AR502" i="5" s="1"/>
  <c r="AP423" i="5"/>
  <c r="BI423" i="5" s="1"/>
  <c r="AP114" i="5"/>
  <c r="BI114" i="5" s="1"/>
  <c r="AP214" i="5"/>
  <c r="AP428" i="5"/>
  <c r="AP42" i="5"/>
  <c r="AP126" i="5"/>
  <c r="AP283" i="5"/>
  <c r="AP417" i="5"/>
  <c r="AP374" i="5"/>
  <c r="AP190" i="5"/>
  <c r="AP36" i="5"/>
  <c r="AP389" i="5"/>
  <c r="AP486" i="5"/>
  <c r="AP257" i="5"/>
  <c r="AP451" i="5"/>
  <c r="AP548" i="5"/>
  <c r="AP100" i="5"/>
  <c r="AP153" i="5"/>
  <c r="AP189" i="5"/>
  <c r="AP440" i="5"/>
  <c r="AP461" i="5"/>
  <c r="AP10" i="5"/>
  <c r="BI10" i="5" s="1"/>
  <c r="X138" i="4"/>
  <c r="AJ138" i="4" s="1"/>
  <c r="X115" i="4"/>
  <c r="AJ115" i="4" s="1"/>
  <c r="X132" i="4"/>
  <c r="X120" i="4"/>
  <c r="AJ120" i="4" s="1"/>
  <c r="X150" i="4"/>
  <c r="AJ150" i="4" s="1"/>
  <c r="X119" i="4"/>
  <c r="AJ119" i="4" s="1"/>
  <c r="BE10" i="5"/>
  <c r="BD10" i="5"/>
  <c r="Y106" i="4"/>
  <c r="AR106" i="4" s="1"/>
  <c r="Y78" i="4"/>
  <c r="AR78" i="4" s="1"/>
  <c r="Y62" i="4"/>
  <c r="AR62" i="4" s="1"/>
  <c r="X155" i="4"/>
  <c r="AJ155" i="4" s="1"/>
  <c r="Y155" i="4"/>
  <c r="AR155" i="4" s="1"/>
  <c r="X152" i="4"/>
  <c r="Y152" i="4"/>
  <c r="AR152" i="4" s="1"/>
  <c r="X127" i="4"/>
  <c r="AJ127" i="4" s="1"/>
  <c r="Y127" i="4"/>
  <c r="AR127" i="4" s="1"/>
  <c r="Y77" i="4"/>
  <c r="AR77" i="4" s="1"/>
  <c r="X149" i="4"/>
  <c r="Y149" i="4"/>
  <c r="AR149" i="4" s="1"/>
  <c r="X134" i="4"/>
  <c r="Y134" i="4"/>
  <c r="AR134" i="4" s="1"/>
  <c r="X114" i="4"/>
  <c r="AJ114" i="4" s="1"/>
  <c r="Y114" i="4"/>
  <c r="AR114" i="4" s="1"/>
  <c r="Y76" i="4"/>
  <c r="AR76" i="4" s="1"/>
  <c r="Y89" i="4"/>
  <c r="AR89" i="4" s="1"/>
  <c r="Y61" i="4"/>
  <c r="AR61" i="4" s="1"/>
  <c r="X145" i="4"/>
  <c r="AJ145" i="4" s="1"/>
  <c r="Y145" i="4"/>
  <c r="AR145" i="4" s="1"/>
  <c r="Y94" i="4"/>
  <c r="AR94" i="4" s="1"/>
  <c r="X121" i="4"/>
  <c r="AJ121" i="4" s="1"/>
  <c r="Y121" i="4"/>
  <c r="AR121" i="4" s="1"/>
  <c r="Y97" i="4"/>
  <c r="AR97" i="4" s="1"/>
  <c r="AP69" i="5"/>
  <c r="AP297" i="5"/>
  <c r="AP152" i="5"/>
  <c r="AP180" i="5"/>
  <c r="AP51" i="5"/>
  <c r="AP520" i="5"/>
  <c r="AR520" i="5" s="1"/>
  <c r="AP388" i="5"/>
  <c r="AR388" i="5" s="1"/>
  <c r="AP479" i="5"/>
  <c r="AR479" i="5" s="1"/>
  <c r="AP549" i="5"/>
  <c r="BI549" i="5" s="1"/>
  <c r="AP434" i="5"/>
  <c r="AR434" i="5" s="1"/>
  <c r="AP323" i="5"/>
  <c r="BI323" i="5" s="1"/>
  <c r="AP110" i="5"/>
  <c r="AP435" i="5"/>
  <c r="AP510" i="5"/>
  <c r="AP443" i="5"/>
  <c r="AP104" i="5"/>
  <c r="AP364" i="5"/>
  <c r="AP281" i="5"/>
  <c r="X140" i="4"/>
  <c r="Y140" i="4"/>
  <c r="AR140" i="4" s="1"/>
  <c r="X136" i="4"/>
  <c r="AJ136" i="4" s="1"/>
  <c r="Y136" i="4"/>
  <c r="AR136" i="4" s="1"/>
  <c r="Y111" i="4"/>
  <c r="AR111" i="4" s="1"/>
  <c r="Y73" i="4"/>
  <c r="AR73" i="4" s="1"/>
  <c r="X156" i="4"/>
  <c r="Y156" i="4"/>
  <c r="AR156" i="4" s="1"/>
  <c r="Y66" i="4"/>
  <c r="AR66" i="4" s="1"/>
  <c r="Y112" i="4"/>
  <c r="AR112" i="4" s="1"/>
  <c r="X131" i="4"/>
  <c r="AJ131" i="4" s="1"/>
  <c r="Y131" i="4"/>
  <c r="AR131" i="4" s="1"/>
  <c r="X118" i="4"/>
  <c r="Y118" i="4"/>
  <c r="AR118" i="4" s="1"/>
  <c r="Y82" i="4"/>
  <c r="AR82" i="4" s="1"/>
  <c r="Y95" i="4"/>
  <c r="AR95" i="4" s="1"/>
  <c r="Y56" i="4"/>
  <c r="AR56" i="4" s="1"/>
  <c r="X141" i="4"/>
  <c r="Y141" i="4"/>
  <c r="AR141" i="4" s="1"/>
  <c r="Y101" i="4"/>
  <c r="AR101" i="4" s="1"/>
  <c r="Y59" i="4"/>
  <c r="AR59" i="4" s="1"/>
  <c r="Y86" i="4"/>
  <c r="AR86" i="4" s="1"/>
  <c r="Y90" i="4"/>
  <c r="AR90" i="4" s="1"/>
  <c r="Y81" i="4"/>
  <c r="AR81" i="4" s="1"/>
  <c r="Y69" i="4"/>
  <c r="AR69" i="4" s="1"/>
  <c r="Y63" i="4"/>
  <c r="AR63" i="4" s="1"/>
  <c r="Y108" i="4"/>
  <c r="AR108" i="4" s="1"/>
  <c r="X122" i="4"/>
  <c r="AJ122" i="4" s="1"/>
  <c r="Y122" i="4"/>
  <c r="AR122" i="4" s="1"/>
  <c r="AP355" i="5"/>
  <c r="AP475" i="5"/>
  <c r="AP155" i="5"/>
  <c r="AP492" i="5"/>
  <c r="AQ492" i="5" s="1"/>
  <c r="AP498" i="5"/>
  <c r="AP311" i="5"/>
  <c r="AP38" i="5"/>
  <c r="AR38" i="5" s="1"/>
  <c r="AP162" i="5"/>
  <c r="AQ162" i="5" s="1"/>
  <c r="AP405" i="5"/>
  <c r="AP24" i="5"/>
  <c r="AQ24" i="5" s="1"/>
  <c r="AP78" i="5"/>
  <c r="AQ78" i="5" s="1"/>
  <c r="AP362" i="5"/>
  <c r="AQ362" i="5" s="1"/>
  <c r="AP169" i="5"/>
  <c r="AP381" i="5"/>
  <c r="AP296" i="5"/>
  <c r="BI296" i="5" s="1"/>
  <c r="AP168" i="5"/>
  <c r="AR168" i="5" s="1"/>
  <c r="AP145" i="5"/>
  <c r="BI145" i="5" s="1"/>
  <c r="AP196" i="5"/>
  <c r="AP402" i="5"/>
  <c r="AQ402" i="5" s="1"/>
  <c r="AP39" i="5"/>
  <c r="AP218" i="5"/>
  <c r="AR218" i="5" s="1"/>
  <c r="AP335" i="5"/>
  <c r="BI335" i="5" s="1"/>
  <c r="AP206" i="5"/>
  <c r="BI206" i="5" s="1"/>
  <c r="AP299" i="5"/>
  <c r="AR299" i="5" s="1"/>
  <c r="AP200" i="5"/>
  <c r="BI200" i="5" s="1"/>
  <c r="AP315" i="5"/>
  <c r="AR315" i="5" s="1"/>
  <c r="AP359" i="5"/>
  <c r="BI359" i="5" s="1"/>
  <c r="AP437" i="5"/>
  <c r="AQ437" i="5" s="1"/>
  <c r="AP179" i="5"/>
  <c r="AR179" i="5" s="1"/>
  <c r="AP448" i="5"/>
  <c r="AR448" i="5" s="1"/>
  <c r="AP185" i="5"/>
  <c r="BI185" i="5" s="1"/>
  <c r="AP333" i="5"/>
  <c r="AQ333" i="5" s="1"/>
  <c r="AP240" i="5"/>
  <c r="BI240" i="5" s="1"/>
  <c r="AP554" i="5"/>
  <c r="AR554" i="5" s="1"/>
  <c r="AP313" i="5"/>
  <c r="AQ313" i="5" s="1"/>
  <c r="AP58" i="5"/>
  <c r="AR58" i="5" s="1"/>
  <c r="AP247" i="5"/>
  <c r="BI247" i="5" s="1"/>
  <c r="AP459" i="5"/>
  <c r="AR459" i="5" s="1"/>
  <c r="AP458" i="5"/>
  <c r="AR458" i="5" s="1"/>
  <c r="AP527" i="5"/>
  <c r="BI527" i="5" s="1"/>
  <c r="AP32" i="5"/>
  <c r="AP62" i="5"/>
  <c r="AP265" i="5"/>
  <c r="AP93" i="5"/>
  <c r="AP488" i="5"/>
  <c r="AP425" i="5"/>
  <c r="AP30" i="5"/>
  <c r="AP118" i="5"/>
  <c r="AP163" i="5"/>
  <c r="AP85" i="5"/>
  <c r="AP544" i="5"/>
  <c r="AP532" i="5"/>
  <c r="AP460" i="5"/>
  <c r="AP371" i="5"/>
  <c r="AP136" i="5"/>
  <c r="AR136" i="5" s="1"/>
  <c r="AP342" i="5"/>
  <c r="AQ342" i="5" s="1"/>
  <c r="Y57" i="4"/>
  <c r="AR57" i="4" s="1"/>
  <c r="X130" i="4"/>
  <c r="AJ130" i="4" s="1"/>
  <c r="Y130" i="4"/>
  <c r="AR130" i="4" s="1"/>
  <c r="Y98" i="4"/>
  <c r="AR98" i="4" s="1"/>
  <c r="Y65" i="4"/>
  <c r="AR65" i="4" s="1"/>
  <c r="Y92" i="4"/>
  <c r="AR92" i="4" s="1"/>
  <c r="X133" i="4"/>
  <c r="AJ133" i="4" s="1"/>
  <c r="Y133" i="4"/>
  <c r="AR133" i="4" s="1"/>
  <c r="X124" i="4"/>
  <c r="AJ124" i="4" s="1"/>
  <c r="Y124" i="4"/>
  <c r="AR124" i="4" s="1"/>
  <c r="Y58" i="4"/>
  <c r="AR58" i="4" s="1"/>
  <c r="X125" i="4"/>
  <c r="Y125" i="4"/>
  <c r="AR125" i="4" s="1"/>
  <c r="Y105" i="4"/>
  <c r="AR105" i="4" s="1"/>
  <c r="X154" i="4"/>
  <c r="AJ154" i="4" s="1"/>
  <c r="Y154" i="4"/>
  <c r="AR154" i="4" s="1"/>
  <c r="Y93" i="4"/>
  <c r="AR93" i="4" s="1"/>
  <c r="X126" i="4"/>
  <c r="AJ126" i="4" s="1"/>
  <c r="Y126" i="4"/>
  <c r="AR126" i="4" s="1"/>
  <c r="X116" i="4"/>
  <c r="AJ116" i="4" s="1"/>
  <c r="Y116" i="4"/>
  <c r="AR116" i="4" s="1"/>
  <c r="X148" i="4"/>
  <c r="AJ148" i="4" s="1"/>
  <c r="Y148" i="4"/>
  <c r="AR148" i="4" s="1"/>
  <c r="X128" i="4"/>
  <c r="AJ128" i="4" s="1"/>
  <c r="Y128" i="4"/>
  <c r="AR128" i="4" s="1"/>
  <c r="X139" i="4"/>
  <c r="AJ139" i="4" s="1"/>
  <c r="Y109" i="4"/>
  <c r="AR109" i="4" s="1"/>
  <c r="AP301" i="5"/>
  <c r="AQ301" i="5" s="1"/>
  <c r="AP556" i="5"/>
  <c r="BI556" i="5" s="1"/>
  <c r="AP90" i="5"/>
  <c r="BI90" i="5" s="1"/>
  <c r="AP195" i="5"/>
  <c r="BI195" i="5" s="1"/>
  <c r="AP72" i="5"/>
  <c r="BI72" i="5" s="1"/>
  <c r="AP501" i="5"/>
  <c r="AR501" i="5" s="1"/>
  <c r="AP199" i="5"/>
  <c r="AR199" i="5" s="1"/>
  <c r="AP251" i="5"/>
  <c r="AQ251" i="5" s="1"/>
  <c r="AP455" i="5"/>
  <c r="AQ455" i="5" s="1"/>
  <c r="AP249" i="5"/>
  <c r="BI249" i="5" s="1"/>
  <c r="AP41" i="5"/>
  <c r="AQ41" i="5" s="1"/>
  <c r="AP307" i="5"/>
  <c r="BI307" i="5" s="1"/>
  <c r="AP350" i="5"/>
  <c r="AQ350" i="5" s="1"/>
  <c r="AP66" i="5"/>
  <c r="BI66" i="5" s="1"/>
  <c r="AP312" i="5"/>
  <c r="AQ312" i="5" s="1"/>
  <c r="AP290" i="5"/>
  <c r="AQ290" i="5" s="1"/>
  <c r="AP326" i="5"/>
  <c r="AR326" i="5" s="1"/>
  <c r="AP156" i="5"/>
  <c r="BI156" i="5" s="1"/>
  <c r="AP318" i="5"/>
  <c r="BI318" i="5" s="1"/>
  <c r="AP116" i="5"/>
  <c r="BI116" i="5" s="1"/>
  <c r="AP278" i="5"/>
  <c r="BI278" i="5" s="1"/>
  <c r="AP210" i="5"/>
  <c r="AQ210" i="5" s="1"/>
  <c r="AP551" i="5"/>
  <c r="AQ551" i="5" s="1"/>
  <c r="AP288" i="5"/>
  <c r="AQ288" i="5" s="1"/>
  <c r="AP539" i="5"/>
  <c r="AR539" i="5" s="1"/>
  <c r="AP454" i="5"/>
  <c r="BI454" i="5" s="1"/>
  <c r="AP164" i="5"/>
  <c r="AR164" i="5" s="1"/>
  <c r="AP167" i="5"/>
  <c r="BI167" i="5" s="1"/>
  <c r="AP232" i="5"/>
  <c r="AR232" i="5" s="1"/>
  <c r="X142" i="4"/>
  <c r="AJ142" i="4" s="1"/>
  <c r="Y142" i="4"/>
  <c r="AR142" i="4" s="1"/>
  <c r="Y55" i="4"/>
  <c r="AR55" i="4" s="1"/>
  <c r="X129" i="4"/>
  <c r="AJ129" i="4" s="1"/>
  <c r="Y129" i="4"/>
  <c r="AR129" i="4" s="1"/>
  <c r="X146" i="4"/>
  <c r="X157" i="4"/>
  <c r="AJ157" i="4" s="1"/>
  <c r="Y75" i="4"/>
  <c r="AR75" i="4" s="1"/>
  <c r="Y110" i="4"/>
  <c r="AR110" i="4" s="1"/>
  <c r="X123" i="4"/>
  <c r="AJ123" i="4" s="1"/>
  <c r="Y123" i="4"/>
  <c r="AR123" i="4" s="1"/>
  <c r="Y60" i="4"/>
  <c r="AR60" i="4" s="1"/>
  <c r="X153" i="4"/>
  <c r="AJ153" i="4" s="1"/>
  <c r="Y54" i="4"/>
  <c r="AR54" i="4" s="1"/>
  <c r="X144" i="4"/>
  <c r="AJ144" i="4" s="1"/>
  <c r="Y144" i="4"/>
  <c r="AR144" i="4" s="1"/>
  <c r="Y102" i="4"/>
  <c r="AR102" i="4" s="1"/>
  <c r="Y96" i="4"/>
  <c r="AR96" i="4" s="1"/>
  <c r="Y113" i="4"/>
  <c r="AR113" i="4" s="1"/>
  <c r="Y85" i="4"/>
  <c r="AR85" i="4" s="1"/>
  <c r="Y67" i="4"/>
  <c r="AR67" i="4" s="1"/>
  <c r="X143" i="4"/>
  <c r="Y143" i="4"/>
  <c r="AR143" i="4" s="1"/>
  <c r="X117" i="4"/>
  <c r="Y117" i="4"/>
  <c r="AR117" i="4" s="1"/>
  <c r="X147" i="4"/>
  <c r="AJ147" i="4" s="1"/>
  <c r="X137" i="4"/>
  <c r="Y137" i="4"/>
  <c r="AR137" i="4" s="1"/>
  <c r="Y74" i="4"/>
  <c r="AR74" i="4" s="1"/>
  <c r="X135" i="4"/>
  <c r="AJ135" i="4" s="1"/>
  <c r="Y135" i="4"/>
  <c r="AR135" i="4" s="1"/>
  <c r="X151" i="4"/>
  <c r="AJ151" i="4" s="1"/>
  <c r="Y151" i="4"/>
  <c r="AR151" i="4" s="1"/>
  <c r="Y79" i="4"/>
  <c r="AR79" i="4" s="1"/>
  <c r="AP427" i="5"/>
  <c r="AP404" i="5"/>
  <c r="AR404" i="5" s="1"/>
  <c r="AP447" i="5"/>
  <c r="BI447" i="5" s="1"/>
  <c r="AP187" i="5"/>
  <c r="AR187" i="5" s="1"/>
  <c r="AP166" i="5"/>
  <c r="AQ166" i="5" s="1"/>
  <c r="AP177" i="5"/>
  <c r="BI177" i="5" s="1"/>
  <c r="AP12" i="5"/>
  <c r="AQ12" i="5" s="1"/>
  <c r="AP97" i="5"/>
  <c r="AQ97" i="5" s="1"/>
  <c r="AP37" i="5"/>
  <c r="AQ37" i="5" s="1"/>
  <c r="AP327" i="5"/>
  <c r="AR327" i="5" s="1"/>
  <c r="AP276" i="5"/>
  <c r="AQ276" i="5" s="1"/>
  <c r="AP422" i="5"/>
  <c r="AR422" i="5" s="1"/>
  <c r="AP349" i="5"/>
  <c r="BI349" i="5" s="1"/>
  <c r="AP120" i="5"/>
  <c r="AQ120" i="5" s="1"/>
  <c r="AP102" i="5"/>
  <c r="AR102" i="5" s="1"/>
  <c r="AP337" i="5"/>
  <c r="AQ337" i="5" s="1"/>
  <c r="AP316" i="5"/>
  <c r="AR316" i="5" s="1"/>
  <c r="AP115" i="5"/>
  <c r="AQ115" i="5" s="1"/>
  <c r="AP22" i="5"/>
  <c r="AR22" i="5" s="1"/>
  <c r="AP328" i="5"/>
  <c r="AR328" i="5" s="1"/>
  <c r="AP396" i="5"/>
  <c r="AQ396" i="5" s="1"/>
  <c r="AP377" i="5"/>
  <c r="AQ377" i="5" s="1"/>
  <c r="AP280" i="5"/>
  <c r="BI280" i="5" s="1"/>
  <c r="AP494" i="5"/>
  <c r="AQ494" i="5" s="1"/>
  <c r="AP61" i="5"/>
  <c r="AR61" i="5" s="1"/>
  <c r="AP79" i="5"/>
  <c r="AQ79" i="5" s="1"/>
  <c r="AP188" i="5"/>
  <c r="BI188" i="5" s="1"/>
  <c r="AP107" i="5"/>
  <c r="AQ107" i="5" s="1"/>
  <c r="AP392" i="5"/>
  <c r="AR392" i="5" s="1"/>
  <c r="AP125" i="5"/>
  <c r="BI125" i="5" s="1"/>
  <c r="AP441" i="5"/>
  <c r="AR441" i="5" s="1"/>
  <c r="AP45" i="5"/>
  <c r="AR45" i="5" s="1"/>
  <c r="AP505" i="5"/>
  <c r="AR505" i="5" s="1"/>
  <c r="AP76" i="5"/>
  <c r="BI76" i="5" s="1"/>
  <c r="AP308" i="5"/>
  <c r="AR308" i="5" s="1"/>
  <c r="AP142" i="5"/>
  <c r="BI142" i="5" s="1"/>
  <c r="AP347" i="5"/>
  <c r="BI347" i="5" s="1"/>
  <c r="AP258" i="5"/>
  <c r="BI258" i="5" s="1"/>
  <c r="AP523" i="5"/>
  <c r="AR523" i="5" s="1"/>
  <c r="AP94" i="5"/>
  <c r="AR94" i="5" s="1"/>
  <c r="AP300" i="5"/>
  <c r="BI300" i="5" s="1"/>
  <c r="AP113" i="5"/>
  <c r="BI113" i="5" s="1"/>
  <c r="AP264" i="5"/>
  <c r="BI264" i="5" s="1"/>
  <c r="AP225" i="5"/>
  <c r="AR225" i="5" s="1"/>
  <c r="AP531" i="5"/>
  <c r="AQ531" i="5" s="1"/>
  <c r="AP514" i="5"/>
  <c r="AQ514" i="5" s="1"/>
  <c r="AP25" i="5"/>
  <c r="AQ25" i="5" s="1"/>
  <c r="AP530" i="5"/>
  <c r="AR530" i="5" s="1"/>
  <c r="AP329" i="5"/>
  <c r="AP7" i="5"/>
  <c r="AR7" i="5" s="1"/>
  <c r="AP383" i="5"/>
  <c r="AQ383" i="5" s="1"/>
  <c r="AP322" i="5"/>
  <c r="AQ322" i="5" s="1"/>
  <c r="AP410" i="5"/>
  <c r="AP47" i="5"/>
  <c r="AR47" i="5" s="1"/>
  <c r="AP409" i="5"/>
  <c r="BI409" i="5" s="1"/>
  <c r="AP457" i="5"/>
  <c r="AR457" i="5" s="1"/>
  <c r="AP204" i="5"/>
  <c r="BI204" i="5" s="1"/>
  <c r="AP369" i="5"/>
  <c r="AQ369" i="5" s="1"/>
  <c r="AP294" i="5"/>
  <c r="AP91" i="5"/>
  <c r="BI91" i="5" s="1"/>
  <c r="AP384" i="5"/>
  <c r="BI384" i="5" s="1"/>
  <c r="AP211" i="5"/>
  <c r="AR211" i="5" s="1"/>
  <c r="AP348" i="5"/>
  <c r="AR348" i="5" s="1"/>
  <c r="AP547" i="5"/>
  <c r="BI547" i="5" s="1"/>
  <c r="AP46" i="5"/>
  <c r="AP242" i="5"/>
  <c r="AR242" i="5" s="1"/>
  <c r="AP295" i="5"/>
  <c r="AP430" i="5"/>
  <c r="BI430" i="5" s="1"/>
  <c r="AP366" i="5"/>
  <c r="BI366" i="5" s="1"/>
  <c r="AP205" i="5"/>
  <c r="BI205" i="5" s="1"/>
  <c r="AP360" i="5"/>
  <c r="AR360" i="5" s="1"/>
  <c r="AP56" i="5"/>
  <c r="BI56" i="5" s="1"/>
  <c r="AP71" i="5"/>
  <c r="AR71" i="5" s="1"/>
  <c r="AP324" i="5"/>
  <c r="AR324" i="5" s="1"/>
  <c r="AP340" i="5"/>
  <c r="AR340" i="5" s="1"/>
  <c r="AP248" i="5"/>
  <c r="AR248" i="5" s="1"/>
  <c r="AP144" i="5"/>
  <c r="AR144" i="5" s="1"/>
  <c r="AP552" i="5"/>
  <c r="AQ552" i="5" s="1"/>
  <c r="AP413" i="5"/>
  <c r="AR413" i="5" s="1"/>
  <c r="AP165" i="5"/>
  <c r="AP484" i="5"/>
  <c r="AP75" i="5"/>
  <c r="AQ75" i="5" s="1"/>
  <c r="AP271" i="5"/>
  <c r="AQ271" i="5" s="1"/>
  <c r="AP353" i="5"/>
  <c r="BI353" i="5" s="1"/>
  <c r="AP262" i="5"/>
  <c r="AP491" i="5"/>
  <c r="AP60" i="5"/>
  <c r="AR60" i="5" s="1"/>
  <c r="AP390" i="5"/>
  <c r="BI390" i="5" s="1"/>
  <c r="AP553" i="5"/>
  <c r="AP28" i="5"/>
  <c r="AQ28" i="5" s="1"/>
  <c r="AP320" i="5"/>
  <c r="AR320" i="5" s="1"/>
  <c r="AP503" i="5"/>
  <c r="AP161" i="5"/>
  <c r="BI161" i="5" s="1"/>
  <c r="AP429" i="5"/>
  <c r="AP558" i="5"/>
  <c r="BI558" i="5" s="1"/>
  <c r="AP314" i="5"/>
  <c r="AP334" i="5"/>
  <c r="AP540" i="5"/>
  <c r="AP123" i="5"/>
  <c r="BI123" i="5" s="1"/>
  <c r="AP325" i="5"/>
  <c r="AQ325" i="5" s="1"/>
  <c r="AP555" i="5"/>
  <c r="BI555" i="5" s="1"/>
  <c r="AP401" i="5"/>
  <c r="AQ401" i="5" s="1"/>
  <c r="AP542" i="5"/>
  <c r="AR542" i="5" s="1"/>
  <c r="AP255" i="5"/>
  <c r="AQ255" i="5" s="1"/>
  <c r="AP89" i="5"/>
  <c r="AR89" i="5" s="1"/>
  <c r="AP55" i="5"/>
  <c r="BI55" i="5" s="1"/>
  <c r="AP495" i="5"/>
  <c r="AR495" i="5" s="1"/>
  <c r="AP513" i="5"/>
  <c r="BI513" i="5" s="1"/>
  <c r="AQ535" i="5"/>
  <c r="BI535" i="5"/>
  <c r="AR535" i="5"/>
  <c r="AQ473" i="5"/>
  <c r="BI473" i="5"/>
  <c r="AR473" i="5"/>
  <c r="AQ106" i="5"/>
  <c r="AR106" i="5"/>
  <c r="BI106" i="5"/>
  <c r="AR78" i="5"/>
  <c r="AQ515" i="5"/>
  <c r="AR515" i="5"/>
  <c r="BI515" i="5"/>
  <c r="AR463" i="5"/>
  <c r="BI463" i="5"/>
  <c r="AQ183" i="5"/>
  <c r="BI183" i="5"/>
  <c r="AR183" i="5"/>
  <c r="BI274" i="5"/>
  <c r="AQ274" i="5"/>
  <c r="AR274" i="5"/>
  <c r="AR489" i="5"/>
  <c r="BI489" i="5"/>
  <c r="AQ489" i="5"/>
  <c r="AR229" i="5"/>
  <c r="BI229" i="5"/>
  <c r="AQ229" i="5"/>
  <c r="AQ317" i="5"/>
  <c r="AR317" i="5"/>
  <c r="BI317" i="5"/>
  <c r="AR472" i="5"/>
  <c r="BI472" i="5"/>
  <c r="AQ472" i="5"/>
  <c r="AR302" i="5"/>
  <c r="BI302" i="5"/>
  <c r="AQ302" i="5"/>
  <c r="BI124" i="5"/>
  <c r="AQ124" i="5"/>
  <c r="AR124" i="5"/>
  <c r="AQ387" i="5"/>
  <c r="BI387" i="5"/>
  <c r="AR387" i="5"/>
  <c r="AQ525" i="5"/>
  <c r="AR525" i="5"/>
  <c r="BI525" i="5"/>
  <c r="AR533" i="5"/>
  <c r="BI533" i="5"/>
  <c r="AQ533" i="5"/>
  <c r="AR282" i="5"/>
  <c r="BI282" i="5"/>
  <c r="AQ282" i="5"/>
  <c r="AQ546" i="5"/>
  <c r="BI546" i="5"/>
  <c r="AR546" i="5"/>
  <c r="AR99" i="5"/>
  <c r="BI99" i="5"/>
  <c r="AQ99" i="5"/>
  <c r="AQ8" i="5"/>
  <c r="AR8" i="5"/>
  <c r="BI8" i="5"/>
  <c r="BI538" i="5"/>
  <c r="AR538" i="5"/>
  <c r="AQ538" i="5"/>
  <c r="AN411" i="5"/>
  <c r="AO411" i="5"/>
  <c r="AO151" i="5"/>
  <c r="AN151" i="5"/>
  <c r="AO68" i="5"/>
  <c r="AN68" i="5"/>
  <c r="AO252" i="5"/>
  <c r="AN252" i="5"/>
  <c r="AO77" i="5"/>
  <c r="AN77" i="5"/>
  <c r="AO266" i="5"/>
  <c r="AN266" i="5"/>
  <c r="AO33" i="5"/>
  <c r="AN33" i="5"/>
  <c r="AN148" i="5"/>
  <c r="AO148" i="5"/>
  <c r="AO84" i="5"/>
  <c r="AN84" i="5"/>
  <c r="AO106" i="5"/>
  <c r="AN106" i="5"/>
  <c r="AN557" i="5"/>
  <c r="AO557" i="5"/>
  <c r="AN240" i="5"/>
  <c r="AO240" i="5"/>
  <c r="AN446" i="5"/>
  <c r="AO446" i="5"/>
  <c r="AN183" i="5"/>
  <c r="AO183" i="5"/>
  <c r="AO192" i="5"/>
  <c r="AN192" i="5"/>
  <c r="AO209" i="5"/>
  <c r="AN209" i="5"/>
  <c r="AN394" i="5"/>
  <c r="AO394" i="5"/>
  <c r="AO541" i="5"/>
  <c r="AN541" i="5"/>
  <c r="AN504" i="5"/>
  <c r="AO504" i="5"/>
  <c r="AN13" i="5"/>
  <c r="AO13" i="5"/>
  <c r="AO416" i="5"/>
  <c r="AN416" i="5"/>
  <c r="AN54" i="5"/>
  <c r="AO54" i="5"/>
  <c r="AN159" i="5"/>
  <c r="AO159" i="5"/>
  <c r="AO154" i="5"/>
  <c r="AN154" i="5"/>
  <c r="AO524" i="5"/>
  <c r="AN524" i="5"/>
  <c r="AN260" i="5"/>
  <c r="AO260" i="5"/>
  <c r="AO444" i="5"/>
  <c r="AN444" i="5"/>
  <c r="AN372" i="5"/>
  <c r="AO372" i="5"/>
  <c r="AN529" i="5"/>
  <c r="AO529" i="5"/>
  <c r="AN284" i="5"/>
  <c r="AO284" i="5"/>
  <c r="AO533" i="5"/>
  <c r="AN533" i="5"/>
  <c r="AO219" i="5"/>
  <c r="AN219" i="5"/>
  <c r="AO462" i="5"/>
  <c r="AN462" i="5"/>
  <c r="AN176" i="5"/>
  <c r="AO176" i="5"/>
  <c r="AO267" i="5"/>
  <c r="AN267" i="5"/>
  <c r="AN419" i="5"/>
  <c r="AO419" i="5"/>
  <c r="AO12" i="5"/>
  <c r="AN12" i="5"/>
  <c r="AO101" i="5"/>
  <c r="AN101" i="5"/>
  <c r="AO386" i="5"/>
  <c r="AN386" i="5"/>
  <c r="AO368" i="5"/>
  <c r="AN368" i="5"/>
  <c r="AO186" i="5"/>
  <c r="AN186" i="5"/>
  <c r="AO363" i="5"/>
  <c r="AN363" i="5"/>
  <c r="AO65" i="5"/>
  <c r="AN65" i="5"/>
  <c r="AO316" i="5"/>
  <c r="AN316" i="5"/>
  <c r="AO302" i="5"/>
  <c r="AN302" i="5"/>
  <c r="AO336" i="5"/>
  <c r="AN336" i="5"/>
  <c r="AN184" i="5"/>
  <c r="AO184" i="5"/>
  <c r="AN485" i="5"/>
  <c r="AO485" i="5"/>
  <c r="AO73" i="5"/>
  <c r="AN73" i="5"/>
  <c r="AO248" i="5"/>
  <c r="AN248" i="5"/>
  <c r="AH16" i="4"/>
  <c r="AE16" i="4"/>
  <c r="Z16" i="4"/>
  <c r="X16" i="4" s="1"/>
  <c r="AJ16" i="4" s="1"/>
  <c r="AH9" i="4"/>
  <c r="Z9" i="4"/>
  <c r="X9" i="4" s="1"/>
  <c r="AJ9" i="4" s="1"/>
  <c r="AE9" i="4"/>
  <c r="BI95" i="5"/>
  <c r="AQ95" i="5"/>
  <c r="AR95" i="5"/>
  <c r="AQ34" i="5"/>
  <c r="AR34" i="5"/>
  <c r="BI34" i="5"/>
  <c r="AQ198" i="5"/>
  <c r="AR198" i="5"/>
  <c r="BI198" i="5"/>
  <c r="BI57" i="5"/>
  <c r="AQ57" i="5"/>
  <c r="AR57" i="5"/>
  <c r="AR286" i="5"/>
  <c r="AQ286" i="5"/>
  <c r="BI286" i="5"/>
  <c r="AQ254" i="5"/>
  <c r="AR254" i="5"/>
  <c r="BI254" i="5"/>
  <c r="BI304" i="5"/>
  <c r="AQ304" i="5"/>
  <c r="AR304" i="5"/>
  <c r="AQ129" i="5"/>
  <c r="BI129" i="5"/>
  <c r="AR129" i="5"/>
  <c r="AR303" i="5"/>
  <c r="BI303" i="5"/>
  <c r="AQ303" i="5"/>
  <c r="AQ213" i="5"/>
  <c r="BI213" i="5"/>
  <c r="AR213" i="5"/>
  <c r="BI80" i="5"/>
  <c r="AR80" i="5"/>
  <c r="AH80" i="4"/>
  <c r="AE80" i="4"/>
  <c r="Z80" i="4"/>
  <c r="X80" i="4" s="1"/>
  <c r="AJ80" i="4" s="1"/>
  <c r="AH138" i="4"/>
  <c r="AE138" i="4"/>
  <c r="Z138" i="4"/>
  <c r="AA138" i="4"/>
  <c r="AH10" i="4"/>
  <c r="AE10" i="4"/>
  <c r="Z10" i="4"/>
  <c r="X10" i="4" s="1"/>
  <c r="AJ10" i="4" s="1"/>
  <c r="AH35" i="4"/>
  <c r="AE35" i="4"/>
  <c r="Z35" i="4"/>
  <c r="X35" i="4" s="1"/>
  <c r="AH97" i="4"/>
  <c r="AE97" i="4"/>
  <c r="AE27" i="4"/>
  <c r="AH27" i="4"/>
  <c r="Z27" i="4"/>
  <c r="X27" i="4" s="1"/>
  <c r="AJ27" i="4" s="1"/>
  <c r="AH47" i="4"/>
  <c r="AE47" i="4"/>
  <c r="Z47" i="4"/>
  <c r="X47" i="4" s="1"/>
  <c r="AE78" i="4"/>
  <c r="AH78" i="4"/>
  <c r="AH82" i="4"/>
  <c r="AE82" i="4"/>
  <c r="AE63" i="4"/>
  <c r="AH63" i="4"/>
  <c r="AH25" i="4"/>
  <c r="AE25" i="4"/>
  <c r="Z25" i="4"/>
  <c r="X25" i="4" s="1"/>
  <c r="AJ25" i="4" s="1"/>
  <c r="AE62" i="4"/>
  <c r="AH62" i="4"/>
  <c r="AE96" i="4"/>
  <c r="AH96" i="4"/>
  <c r="AH76" i="4"/>
  <c r="AE76" i="4"/>
  <c r="AH87" i="4"/>
  <c r="AE87" i="4"/>
  <c r="Z87" i="4"/>
  <c r="X87" i="4" s="1"/>
  <c r="AE89" i="4"/>
  <c r="AH89" i="4"/>
  <c r="AE29" i="4"/>
  <c r="AH29" i="4"/>
  <c r="Z29" i="4"/>
  <c r="X29" i="4" s="1"/>
  <c r="AJ29" i="4" s="1"/>
  <c r="AH65" i="4"/>
  <c r="AE65" i="4"/>
  <c r="BI343" i="5"/>
  <c r="AQ343" i="5"/>
  <c r="AR343" i="5"/>
  <c r="AR105" i="5"/>
  <c r="AQ105" i="5"/>
  <c r="BI105" i="5"/>
  <c r="AQ512" i="5"/>
  <c r="BI512" i="5"/>
  <c r="BI534" i="5"/>
  <c r="AR534" i="5"/>
  <c r="AQ534" i="5"/>
  <c r="BI332" i="5"/>
  <c r="AQ332" i="5"/>
  <c r="AR332" i="5"/>
  <c r="BI471" i="5"/>
  <c r="AR471" i="5"/>
  <c r="AQ471" i="5"/>
  <c r="AQ226" i="5"/>
  <c r="BI226" i="5"/>
  <c r="AR226" i="5"/>
  <c r="AR10" i="5"/>
  <c r="AR476" i="5"/>
  <c r="BI476" i="5"/>
  <c r="AQ476" i="5"/>
  <c r="AR83" i="5"/>
  <c r="AQ83" i="5"/>
  <c r="BI83" i="5"/>
  <c r="AR331" i="5"/>
  <c r="BI331" i="5"/>
  <c r="AQ331" i="5"/>
  <c r="AR365" i="5"/>
  <c r="AQ365" i="5"/>
  <c r="BI365" i="5"/>
  <c r="AR519" i="5"/>
  <c r="BI519" i="5"/>
  <c r="AQ519" i="5"/>
  <c r="AQ40" i="5"/>
  <c r="BI40" i="5"/>
  <c r="AR40" i="5"/>
  <c r="BI59" i="5"/>
  <c r="AQ59" i="5"/>
  <c r="AR59" i="5"/>
  <c r="AP68" i="5"/>
  <c r="AQ351" i="5"/>
  <c r="BI351" i="5"/>
  <c r="AR351" i="5"/>
  <c r="BI65" i="5"/>
  <c r="AQ65" i="5"/>
  <c r="AR65" i="5"/>
  <c r="BI101" i="5"/>
  <c r="AR101" i="5"/>
  <c r="AQ101" i="5"/>
  <c r="BI481" i="5"/>
  <c r="AQ481" i="5"/>
  <c r="AR481" i="5"/>
  <c r="BI86" i="5"/>
  <c r="AR86" i="5"/>
  <c r="AQ86" i="5"/>
  <c r="BI119" i="5"/>
  <c r="AR119" i="5"/>
  <c r="AQ119" i="5"/>
  <c r="AR221" i="5"/>
  <c r="AQ221" i="5"/>
  <c r="BI221" i="5"/>
  <c r="AR397" i="5"/>
  <c r="AQ397" i="5"/>
  <c r="BI397" i="5"/>
  <c r="AQ400" i="5"/>
  <c r="BI400" i="5"/>
  <c r="AR400" i="5"/>
  <c r="AP159" i="5"/>
  <c r="AP446" i="5"/>
  <c r="AP411" i="5"/>
  <c r="AQ261" i="5"/>
  <c r="BI261" i="5"/>
  <c r="AR261" i="5"/>
  <c r="AR483" i="5"/>
  <c r="BI483" i="5"/>
  <c r="AQ483" i="5"/>
  <c r="AQ141" i="5"/>
  <c r="BI141" i="5"/>
  <c r="AP176" i="5"/>
  <c r="AQ235" i="5"/>
  <c r="BI235" i="5"/>
  <c r="AR235" i="5"/>
  <c r="AR109" i="5"/>
  <c r="AQ109" i="5"/>
  <c r="BI109" i="5"/>
  <c r="AP529" i="5"/>
  <c r="AR433" i="5"/>
  <c r="AQ433" i="5"/>
  <c r="BI433" i="5"/>
  <c r="AP444" i="5"/>
  <c r="AR237" i="5"/>
  <c r="BI237" i="5"/>
  <c r="AQ237" i="5"/>
  <c r="BI522" i="5"/>
  <c r="AR522" i="5"/>
  <c r="AQ522" i="5"/>
  <c r="AQ108" i="5"/>
  <c r="AR108" i="5"/>
  <c r="BI108" i="5"/>
  <c r="BI339" i="5"/>
  <c r="AQ339" i="5"/>
  <c r="AR339" i="5"/>
  <c r="BI469" i="5"/>
  <c r="AQ469" i="5"/>
  <c r="AR469" i="5"/>
  <c r="BI23" i="5"/>
  <c r="AQ23" i="5"/>
  <c r="AR23" i="5"/>
  <c r="AP154" i="5"/>
  <c r="BI31" i="5"/>
  <c r="AQ31" i="5"/>
  <c r="AR31" i="5"/>
  <c r="BI87" i="5"/>
  <c r="AQ87" i="5"/>
  <c r="AR87" i="5"/>
  <c r="AQ516" i="5"/>
  <c r="BI516" i="5"/>
  <c r="AR516" i="5"/>
  <c r="BI26" i="5"/>
  <c r="AR26" i="5"/>
  <c r="AQ26" i="5"/>
  <c r="BI403" i="5"/>
  <c r="AQ403" i="5"/>
  <c r="AR403" i="5"/>
  <c r="AQ134" i="5"/>
  <c r="BI134" i="5"/>
  <c r="AR134" i="5"/>
  <c r="AQ52" i="5"/>
  <c r="AR52" i="5"/>
  <c r="BI52" i="5"/>
  <c r="BI201" i="5"/>
  <c r="AQ201" i="5"/>
  <c r="AR201" i="5"/>
  <c r="AR399" i="5"/>
  <c r="BI399" i="5"/>
  <c r="AQ399" i="5"/>
  <c r="AP260" i="5"/>
  <c r="AQ291" i="5"/>
  <c r="AR291" i="5"/>
  <c r="BI291" i="5"/>
  <c r="AR507" i="5"/>
  <c r="AQ507" i="5"/>
  <c r="BI507" i="5"/>
  <c r="BI346" i="5"/>
  <c r="AQ346" i="5"/>
  <c r="AR346" i="5"/>
  <c r="BI490" i="5"/>
  <c r="AQ490" i="5"/>
  <c r="AR490" i="5"/>
  <c r="AR135" i="5"/>
  <c r="BI135" i="5"/>
  <c r="AQ135" i="5"/>
  <c r="AP394" i="5"/>
  <c r="AP252" i="5"/>
  <c r="AQ268" i="5"/>
  <c r="BI268" i="5"/>
  <c r="AR268" i="5"/>
  <c r="BI408" i="5"/>
  <c r="AR408" i="5"/>
  <c r="AQ408" i="5"/>
  <c r="AR318" i="5"/>
  <c r="AQ537" i="5"/>
  <c r="AR537" i="5"/>
  <c r="BI537" i="5"/>
  <c r="AR278" i="5"/>
  <c r="AR210" i="5"/>
  <c r="BI412" i="5"/>
  <c r="AQ412" i="5"/>
  <c r="AR412" i="5"/>
  <c r="AQ454" i="5"/>
  <c r="AR454" i="5"/>
  <c r="AR330" i="5"/>
  <c r="AQ330" i="5"/>
  <c r="BI330" i="5"/>
  <c r="AQ496" i="5"/>
  <c r="BI496" i="5"/>
  <c r="AR496" i="5"/>
  <c r="BI245" i="5"/>
  <c r="AR245" i="5"/>
  <c r="AQ245" i="5"/>
  <c r="AE120" i="4"/>
  <c r="AA120" i="4"/>
  <c r="Z120" i="4"/>
  <c r="AH120" i="4"/>
  <c r="AK9" i="5"/>
  <c r="AL9" i="5"/>
  <c r="AI9" i="5"/>
  <c r="AH9" i="5"/>
  <c r="AE142" i="4"/>
  <c r="AH142" i="4"/>
  <c r="AQ184" i="5"/>
  <c r="AR184" i="5"/>
  <c r="BI184" i="5"/>
  <c r="AQ227" i="5"/>
  <c r="BI227" i="5"/>
  <c r="AR227" i="5"/>
  <c r="AQ64" i="5"/>
  <c r="AR64" i="5"/>
  <c r="BI64" i="5"/>
  <c r="AQ311" i="5"/>
  <c r="BI311" i="5"/>
  <c r="AR311" i="5"/>
  <c r="AQ266" i="5"/>
  <c r="BI266" i="5"/>
  <c r="AR266" i="5"/>
  <c r="AQ341" i="5"/>
  <c r="AR341" i="5"/>
  <c r="BI341" i="5"/>
  <c r="AR182" i="5"/>
  <c r="AQ182" i="5"/>
  <c r="BI182" i="5"/>
  <c r="AQ421" i="5"/>
  <c r="AR421" i="5"/>
  <c r="BI421" i="5"/>
  <c r="BI436" i="5"/>
  <c r="AQ436" i="5"/>
  <c r="AR436" i="5"/>
  <c r="BI171" i="5"/>
  <c r="AQ171" i="5"/>
  <c r="AR171" i="5"/>
  <c r="AR244" i="5"/>
  <c r="BI244" i="5"/>
  <c r="AQ244" i="5"/>
  <c r="BI196" i="5"/>
  <c r="AQ196" i="5"/>
  <c r="AR196" i="5"/>
  <c r="AR336" i="5"/>
  <c r="BI336" i="5"/>
  <c r="AQ336" i="5"/>
  <c r="AQ543" i="5"/>
  <c r="BI543" i="5"/>
  <c r="AR543" i="5"/>
  <c r="AE51" i="4"/>
  <c r="AH51" i="4"/>
  <c r="Z51" i="4"/>
  <c r="X51" i="4" s="1"/>
  <c r="AJ118" i="4"/>
  <c r="AE118" i="4"/>
  <c r="AH118" i="4"/>
  <c r="AE114" i="4"/>
  <c r="AH114" i="4"/>
  <c r="AE69" i="4"/>
  <c r="AH69" i="4"/>
  <c r="AH104" i="4"/>
  <c r="Z104" i="4"/>
  <c r="X104" i="4" s="1"/>
  <c r="AE104" i="4"/>
  <c r="AH139" i="4"/>
  <c r="AA139" i="4"/>
  <c r="Z139" i="4"/>
  <c r="AE139" i="4"/>
  <c r="AH100" i="4"/>
  <c r="AE100" i="4"/>
  <c r="Z100" i="4"/>
  <c r="X100" i="4" s="1"/>
  <c r="P44" i="5"/>
  <c r="P46" i="5"/>
  <c r="P297" i="5"/>
  <c r="P541" i="5"/>
  <c r="P28" i="5"/>
  <c r="P348" i="5"/>
  <c r="P524" i="5"/>
  <c r="P29" i="5"/>
  <c r="P19" i="5"/>
  <c r="P256" i="5"/>
  <c r="P85" i="5"/>
  <c r="P282" i="5"/>
  <c r="P137" i="5"/>
  <c r="P468" i="5"/>
  <c r="P281" i="5"/>
  <c r="P76" i="5"/>
  <c r="P431" i="5"/>
  <c r="P405" i="5"/>
  <c r="P97" i="5"/>
  <c r="P21" i="5"/>
  <c r="P542" i="5"/>
  <c r="P37" i="5"/>
  <c r="P410" i="5"/>
  <c r="P70" i="5"/>
  <c r="P341" i="5"/>
  <c r="P77" i="5"/>
  <c r="P326" i="5"/>
  <c r="P258" i="5"/>
  <c r="P328" i="5"/>
  <c r="P560" i="5"/>
  <c r="P49" i="5"/>
  <c r="P166" i="5"/>
  <c r="P144" i="5"/>
  <c r="P62" i="5"/>
  <c r="P358" i="5"/>
  <c r="P210" i="5"/>
  <c r="P415" i="5"/>
  <c r="P559" i="5"/>
  <c r="P81" i="5"/>
  <c r="P522" i="5"/>
  <c r="P181" i="5"/>
  <c r="P514" i="5"/>
  <c r="P419" i="5"/>
  <c r="P558" i="5"/>
  <c r="P110" i="5"/>
  <c r="P272" i="5"/>
  <c r="P225" i="5"/>
  <c r="P507" i="5"/>
  <c r="P88" i="5"/>
  <c r="P466" i="5"/>
  <c r="P260" i="5"/>
  <c r="P437" i="5"/>
  <c r="P421" i="5"/>
  <c r="P299" i="5"/>
  <c r="P430" i="5"/>
  <c r="P309" i="5"/>
  <c r="P209" i="5"/>
  <c r="P242" i="5"/>
  <c r="P377" i="5"/>
  <c r="P187" i="5"/>
  <c r="P500" i="5"/>
  <c r="P119" i="5"/>
  <c r="P213" i="5"/>
  <c r="P51" i="5"/>
  <c r="P8" i="5"/>
  <c r="P34" i="5"/>
  <c r="P38" i="5"/>
  <c r="P372" i="5"/>
  <c r="P473" i="5"/>
  <c r="P180" i="5"/>
  <c r="P448" i="5"/>
  <c r="P316" i="5"/>
  <c r="P353" i="5"/>
  <c r="P504" i="5"/>
  <c r="P445" i="5"/>
  <c r="P234" i="5"/>
  <c r="P164" i="5"/>
  <c r="P373" i="5"/>
  <c r="P90" i="5"/>
  <c r="P83" i="5"/>
  <c r="P254" i="5"/>
  <c r="P149" i="5"/>
  <c r="P141" i="5"/>
  <c r="P549" i="5"/>
  <c r="P277" i="5"/>
  <c r="P27" i="5"/>
  <c r="P286" i="5"/>
  <c r="P551" i="5"/>
  <c r="P87" i="5"/>
  <c r="P115" i="5"/>
  <c r="P362" i="5"/>
  <c r="P352" i="5"/>
  <c r="P554" i="5"/>
  <c r="P369" i="5"/>
  <c r="P475" i="5"/>
  <c r="P236" i="5"/>
  <c r="P370" i="5"/>
  <c r="P350" i="5"/>
  <c r="P45" i="5"/>
  <c r="P150" i="5"/>
  <c r="P324" i="5"/>
  <c r="P447" i="5"/>
  <c r="P485" i="5"/>
  <c r="P331" i="5"/>
  <c r="P458" i="5"/>
  <c r="P521" i="5"/>
  <c r="P125" i="5"/>
  <c r="P393" i="5"/>
  <c r="P329" i="5"/>
  <c r="P537" i="5"/>
  <c r="P443" i="5"/>
  <c r="P93" i="5"/>
  <c r="P245" i="5"/>
  <c r="P123" i="5"/>
  <c r="P265" i="5"/>
  <c r="P279" i="5"/>
  <c r="P402" i="5"/>
  <c r="P64" i="5"/>
  <c r="P160" i="5"/>
  <c r="P41" i="5"/>
  <c r="P301" i="5"/>
  <c r="P42" i="5"/>
  <c r="P292" i="5"/>
  <c r="P424" i="5"/>
  <c r="P195" i="5"/>
  <c r="P462" i="5"/>
  <c r="P98" i="5"/>
  <c r="P474" i="5"/>
  <c r="P243" i="5"/>
  <c r="P442" i="5"/>
  <c r="P531" i="5"/>
  <c r="P207" i="5"/>
  <c r="P162" i="5"/>
  <c r="P69" i="5"/>
  <c r="P406" i="5"/>
  <c r="P381" i="5"/>
  <c r="P153" i="5"/>
  <c r="P300" i="5"/>
  <c r="P36" i="5"/>
  <c r="P322" i="5"/>
  <c r="P349" i="5"/>
  <c r="P319" i="5"/>
  <c r="P31" i="5"/>
  <c r="P191" i="5"/>
  <c r="P429" i="5"/>
  <c r="P13" i="5"/>
  <c r="P513" i="5"/>
  <c r="P11" i="5"/>
  <c r="P124" i="5"/>
  <c r="P364" i="5"/>
  <c r="P332" i="5"/>
  <c r="P220" i="5"/>
  <c r="P74" i="5"/>
  <c r="P109" i="5"/>
  <c r="P214" i="5"/>
  <c r="P453" i="5"/>
  <c r="P339" i="5"/>
  <c r="P416" i="5"/>
  <c r="P440" i="5"/>
  <c r="P203" i="5"/>
  <c r="P482" i="5"/>
  <c r="P438" i="5"/>
  <c r="P134" i="5"/>
  <c r="P128" i="5"/>
  <c r="P171" i="5"/>
  <c r="P91" i="5"/>
  <c r="P515" i="5"/>
  <c r="P487" i="5"/>
  <c r="P399" i="5"/>
  <c r="P56" i="5"/>
  <c r="P132" i="5"/>
  <c r="P488" i="5"/>
  <c r="P417" i="5"/>
  <c r="P441" i="5"/>
  <c r="P401" i="5"/>
  <c r="P486" i="5"/>
  <c r="P185" i="5"/>
  <c r="P451" i="5"/>
  <c r="P104" i="5"/>
  <c r="P544" i="5"/>
  <c r="P457" i="5"/>
  <c r="P384" i="5"/>
  <c r="P217" i="5"/>
  <c r="P289" i="5"/>
  <c r="P346" i="5"/>
  <c r="P528" i="5"/>
  <c r="P320" i="5"/>
  <c r="P120" i="5"/>
  <c r="P262" i="5"/>
  <c r="P175" i="5"/>
  <c r="P403" i="5"/>
  <c r="P95" i="5"/>
  <c r="P112" i="5"/>
  <c r="P276" i="5"/>
  <c r="P479" i="5"/>
  <c r="P287" i="5"/>
  <c r="P435" i="5"/>
  <c r="P518" i="5"/>
  <c r="P72" i="5"/>
  <c r="P271" i="5"/>
  <c r="P82" i="5"/>
  <c r="P116" i="5"/>
  <c r="P509" i="5"/>
  <c r="P450" i="5"/>
  <c r="P412" i="5"/>
  <c r="P408" i="5"/>
  <c r="P465" i="5"/>
  <c r="P333" i="5"/>
  <c r="P538" i="5"/>
  <c r="P379" i="5"/>
  <c r="P122" i="5"/>
  <c r="P432" i="5"/>
  <c r="P535" i="5"/>
  <c r="P172" i="5"/>
  <c r="P543" i="5"/>
  <c r="P425" i="5"/>
  <c r="P33" i="5"/>
  <c r="P40" i="5"/>
  <c r="P79" i="5"/>
  <c r="P47" i="5"/>
  <c r="P495" i="5"/>
  <c r="P337" i="5"/>
  <c r="P492" i="5"/>
  <c r="P545" i="5"/>
  <c r="P231" i="5"/>
  <c r="P30" i="5"/>
  <c r="P383" i="5"/>
  <c r="P253" i="5"/>
  <c r="P449" i="5"/>
  <c r="P101" i="5"/>
  <c r="P194" i="5"/>
  <c r="P65" i="5"/>
  <c r="P323" i="5"/>
  <c r="P360" i="5"/>
  <c r="P269" i="5"/>
  <c r="P539" i="5"/>
  <c r="P394" i="5"/>
  <c r="P43" i="5"/>
  <c r="P61" i="5"/>
  <c r="P378" i="5"/>
  <c r="P477" i="5"/>
  <c r="P489" i="5"/>
  <c r="P519" i="5"/>
  <c r="P295" i="5"/>
  <c r="P121" i="5"/>
  <c r="P391" i="5"/>
  <c r="P268" i="5"/>
  <c r="P68" i="5"/>
  <c r="P155" i="5"/>
  <c r="P107" i="5"/>
  <c r="P22" i="5"/>
  <c r="P314" i="5"/>
  <c r="P229" i="5"/>
  <c r="P148" i="5"/>
  <c r="P411" i="5"/>
  <c r="P67" i="5"/>
  <c r="P526" i="5"/>
  <c r="P113" i="5"/>
  <c r="P470" i="5"/>
  <c r="P452" i="5"/>
  <c r="P307" i="5"/>
  <c r="P409" i="5"/>
  <c r="P55" i="5"/>
  <c r="P343" i="5"/>
  <c r="P223" i="5"/>
  <c r="P298" i="5"/>
  <c r="P230" i="5"/>
  <c r="P303" i="5"/>
  <c r="P99" i="5"/>
  <c r="P499" i="5"/>
  <c r="P555" i="5"/>
  <c r="P275" i="5"/>
  <c r="P290" i="5"/>
  <c r="P380" i="5"/>
  <c r="P139" i="5"/>
  <c r="P512" i="5"/>
  <c r="P266" i="5"/>
  <c r="P385" i="5"/>
  <c r="P325" i="5"/>
  <c r="P156" i="5"/>
  <c r="P335" i="5"/>
  <c r="P498" i="5"/>
  <c r="P178" i="5"/>
  <c r="P264" i="5"/>
  <c r="P159" i="5"/>
  <c r="P294" i="5"/>
  <c r="P240" i="5"/>
  <c r="P151" i="5"/>
  <c r="P168" i="5"/>
  <c r="P84" i="5"/>
  <c r="P208" i="5"/>
  <c r="P53" i="5"/>
  <c r="P476" i="5"/>
  <c r="P197" i="5"/>
  <c r="P327" i="5"/>
  <c r="P100" i="5"/>
  <c r="P389" i="5"/>
  <c r="P184" i="5"/>
  <c r="P414" i="5"/>
  <c r="P505" i="5"/>
  <c r="P523" i="5"/>
  <c r="P422" i="5"/>
  <c r="P204" i="5"/>
  <c r="P483" i="5"/>
  <c r="P252" i="5"/>
  <c r="P108" i="5"/>
  <c r="P308" i="5"/>
  <c r="P388" i="5"/>
  <c r="P267" i="5"/>
  <c r="P183" i="5"/>
  <c r="P73" i="5"/>
  <c r="P130" i="5"/>
  <c r="P530" i="5"/>
  <c r="P387" i="5"/>
  <c r="P397" i="5"/>
  <c r="P427" i="5"/>
  <c r="P532" i="5"/>
  <c r="P376" i="5"/>
  <c r="P222" i="5"/>
  <c r="P25" i="5"/>
  <c r="P426" i="5"/>
  <c r="P463" i="5"/>
  <c r="P510" i="5"/>
  <c r="P288" i="5"/>
  <c r="P285" i="5"/>
  <c r="P478" i="5"/>
  <c r="P296" i="5"/>
  <c r="P497" i="5"/>
  <c r="P154" i="5"/>
  <c r="P464" i="5"/>
  <c r="P201" i="5"/>
  <c r="P105" i="5"/>
  <c r="P237" i="5"/>
  <c r="P278" i="5"/>
  <c r="P506" i="5"/>
  <c r="P433" i="5"/>
  <c r="P491" i="5"/>
  <c r="P80" i="5"/>
  <c r="P552" i="5"/>
  <c r="P351" i="5"/>
  <c r="P263" i="5"/>
  <c r="P368" i="5"/>
  <c r="P66" i="5"/>
  <c r="P480" i="5"/>
  <c r="P347" i="5"/>
  <c r="P202" i="5"/>
  <c r="P118" i="5"/>
  <c r="P374" i="5"/>
  <c r="P274" i="5"/>
  <c r="P165" i="5"/>
  <c r="P434" i="5"/>
  <c r="P199" i="5"/>
  <c r="P342" i="5"/>
  <c r="P550" i="5"/>
  <c r="P182" i="5"/>
  <c r="P547" i="5"/>
  <c r="P255" i="5"/>
  <c r="P436" i="5"/>
  <c r="P366" i="5"/>
  <c r="P291" i="5"/>
  <c r="P306" i="5"/>
  <c r="P158" i="5"/>
  <c r="P190" i="5"/>
  <c r="P177" i="5"/>
  <c r="P359" i="5"/>
  <c r="P446" i="5"/>
  <c r="P246" i="5"/>
  <c r="P472" i="5"/>
  <c r="P321" i="5"/>
  <c r="P226" i="5"/>
  <c r="P20" i="5"/>
  <c r="P493" i="5"/>
  <c r="P23" i="5"/>
  <c r="P26" i="5"/>
  <c r="P186" i="5"/>
  <c r="P490" i="5"/>
  <c r="P305" i="5"/>
  <c r="P467" i="5"/>
  <c r="P508" i="5"/>
  <c r="P57" i="5"/>
  <c r="P136" i="5"/>
  <c r="P221" i="5"/>
  <c r="P533" i="5"/>
  <c r="P211" i="5"/>
  <c r="P481" i="5"/>
  <c r="P338" i="5"/>
  <c r="P516" i="5"/>
  <c r="P428" i="5"/>
  <c r="P138" i="5"/>
  <c r="P52" i="5"/>
  <c r="P63" i="5"/>
  <c r="P143" i="5"/>
  <c r="P536" i="5"/>
  <c r="P102" i="5"/>
  <c r="P247" i="5"/>
  <c r="P89" i="5"/>
  <c r="P548" i="5"/>
  <c r="P553" i="5"/>
  <c r="P511" i="5"/>
  <c r="P471" i="5"/>
  <c r="P54" i="5"/>
  <c r="P390" i="5"/>
  <c r="P205" i="5"/>
  <c r="P48" i="5"/>
  <c r="P365" i="5"/>
  <c r="P361" i="5"/>
  <c r="P396" i="5"/>
  <c r="P420" i="5"/>
  <c r="P196" i="5"/>
  <c r="P502" i="5"/>
  <c r="P501" i="5"/>
  <c r="P407" i="5"/>
  <c r="P189" i="5"/>
  <c r="P357" i="5"/>
  <c r="P86" i="5"/>
  <c r="P241" i="5"/>
  <c r="P219" i="5"/>
  <c r="P375" i="5"/>
  <c r="P106" i="5"/>
  <c r="P117" i="5"/>
  <c r="P340" i="5"/>
  <c r="P103" i="5"/>
  <c r="P284" i="5"/>
  <c r="P251" i="5"/>
  <c r="P215" i="5"/>
  <c r="P400" i="5"/>
  <c r="P176" i="5"/>
  <c r="P395" i="5"/>
  <c r="P146" i="5"/>
  <c r="P540" i="5"/>
  <c r="P114" i="5"/>
  <c r="P469" i="5"/>
  <c r="P317" i="5"/>
  <c r="P131" i="5"/>
  <c r="P318" i="5"/>
  <c r="P173" i="5"/>
  <c r="P216" i="5"/>
  <c r="P140" i="5"/>
  <c r="P293" i="5"/>
  <c r="P152" i="5"/>
  <c r="P78" i="5"/>
  <c r="P147" i="5"/>
  <c r="P461" i="5"/>
  <c r="P198" i="5"/>
  <c r="P169" i="5"/>
  <c r="P273" i="5"/>
  <c r="P161" i="5"/>
  <c r="P174" i="5"/>
  <c r="P163" i="5"/>
  <c r="P257" i="5"/>
  <c r="P334" i="5"/>
  <c r="P228" i="5"/>
  <c r="P179" i="5"/>
  <c r="P206" i="5"/>
  <c r="P12" i="5"/>
  <c r="P336" i="5"/>
  <c r="P192" i="5"/>
  <c r="P312" i="5"/>
  <c r="P126" i="5"/>
  <c r="P460" i="5"/>
  <c r="P520" i="5"/>
  <c r="P71" i="5"/>
  <c r="P227" i="5"/>
  <c r="P484" i="5"/>
  <c r="P200" i="5"/>
  <c r="P24" i="5"/>
  <c r="P157" i="5"/>
  <c r="P94" i="5"/>
  <c r="P398" i="5"/>
  <c r="P261" i="5"/>
  <c r="P259" i="5"/>
  <c r="P557" i="5"/>
  <c r="P404" i="5"/>
  <c r="P439" i="5"/>
  <c r="P145" i="5"/>
  <c r="P371" i="5"/>
  <c r="P310" i="5"/>
  <c r="P111" i="5"/>
  <c r="P212" i="5"/>
  <c r="P546" i="5"/>
  <c r="P250" i="5"/>
  <c r="P224" i="5"/>
  <c r="P503" i="5"/>
  <c r="P456" i="5"/>
  <c r="P354" i="5"/>
  <c r="P142" i="5"/>
  <c r="P10" i="5"/>
  <c r="P283" i="5"/>
  <c r="P355" i="5"/>
  <c r="P135" i="5"/>
  <c r="P270" i="5"/>
  <c r="P356" i="5"/>
  <c r="P59" i="5"/>
  <c r="P423" i="5"/>
  <c r="P127" i="5"/>
  <c r="P244" i="5"/>
  <c r="P392" i="5"/>
  <c r="P313" i="5"/>
  <c r="P232" i="5"/>
  <c r="P413" i="5"/>
  <c r="P529" i="5"/>
  <c r="P50" i="5"/>
  <c r="P32" i="5"/>
  <c r="P280" i="5"/>
  <c r="P386" i="5"/>
  <c r="P330" i="5"/>
  <c r="P238" i="5"/>
  <c r="P193" i="5"/>
  <c r="P39" i="5"/>
  <c r="P58" i="5"/>
  <c r="P233" i="5"/>
  <c r="P75" i="5"/>
  <c r="P188" i="5"/>
  <c r="P363" i="5"/>
  <c r="P345" i="5"/>
  <c r="P92" i="5"/>
  <c r="P239" i="5"/>
  <c r="P459" i="5"/>
  <c r="P556" i="5"/>
  <c r="P454" i="5"/>
  <c r="P302" i="5"/>
  <c r="P534" i="5"/>
  <c r="P494" i="5"/>
  <c r="P133" i="5"/>
  <c r="P496" i="5"/>
  <c r="P311" i="5"/>
  <c r="P304" i="5"/>
  <c r="P315" i="5"/>
  <c r="P60" i="5"/>
  <c r="P382" i="5"/>
  <c r="P525" i="5"/>
  <c r="P527" i="5"/>
  <c r="P367" i="5"/>
  <c r="P96" i="5"/>
  <c r="P218" i="5"/>
  <c r="P170" i="5"/>
  <c r="P444" i="5"/>
  <c r="P344" i="5"/>
  <c r="P418" i="5"/>
  <c r="P167" i="5"/>
  <c r="P517" i="5"/>
  <c r="P455" i="5"/>
  <c r="P235" i="5"/>
  <c r="P249" i="5"/>
  <c r="P35" i="5"/>
  <c r="P9" i="5"/>
  <c r="P248" i="5"/>
  <c r="P129" i="5"/>
  <c r="AE95" i="4"/>
  <c r="AH95" i="4"/>
  <c r="AE46" i="4"/>
  <c r="AH46" i="4"/>
  <c r="Z46" i="4"/>
  <c r="X46" i="4" s="1"/>
  <c r="AJ46" i="4" s="1"/>
  <c r="AE50" i="4"/>
  <c r="AH50" i="4"/>
  <c r="Z50" i="4"/>
  <c r="X50" i="4" s="1"/>
  <c r="AH48" i="4"/>
  <c r="AE48" i="4"/>
  <c r="Z48" i="4"/>
  <c r="AH53" i="4"/>
  <c r="AE53" i="4"/>
  <c r="Z53" i="4"/>
  <c r="X53" i="4" s="1"/>
  <c r="AJ53" i="4" s="1"/>
  <c r="AE91" i="4"/>
  <c r="AH91" i="4"/>
  <c r="Z91" i="4"/>
  <c r="X91" i="4" s="1"/>
  <c r="AJ91" i="4" s="1"/>
  <c r="AH122" i="4"/>
  <c r="AE122" i="4"/>
  <c r="AH99" i="4"/>
  <c r="AE99" i="4"/>
  <c r="Z99" i="4"/>
  <c r="X99" i="4" s="1"/>
  <c r="AJ99" i="4" s="1"/>
  <c r="B185" i="2"/>
  <c r="B219" i="2"/>
  <c r="H64" i="1" s="1"/>
  <c r="AQ217" i="5"/>
  <c r="AR217" i="5"/>
  <c r="BI217" i="5"/>
  <c r="BI273" i="5"/>
  <c r="AR273" i="5"/>
  <c r="AQ273" i="5"/>
  <c r="AQ344" i="5"/>
  <c r="BI344" i="5"/>
  <c r="AR344" i="5"/>
  <c r="AE7" i="5"/>
  <c r="BF7" i="5"/>
  <c r="AD7" i="5"/>
  <c r="B184" i="2" s="1"/>
  <c r="AE54" i="4"/>
  <c r="AH54" i="4"/>
  <c r="AH24" i="4"/>
  <c r="AE24" i="4"/>
  <c r="Z24" i="4"/>
  <c r="X24" i="4" s="1"/>
  <c r="AJ24" i="4" s="1"/>
  <c r="O11" i="5"/>
  <c r="Q408" i="5"/>
  <c r="Q53" i="5"/>
  <c r="Q154" i="5"/>
  <c r="Q150" i="5"/>
  <c r="Q287" i="5"/>
  <c r="Q385" i="5"/>
  <c r="Q464" i="5"/>
  <c r="Q459" i="5"/>
  <c r="Q418" i="5"/>
  <c r="Q424" i="5"/>
  <c r="Q402" i="5"/>
  <c r="Q495" i="5"/>
  <c r="Q177" i="5"/>
  <c r="Q404" i="5"/>
  <c r="Q45" i="5"/>
  <c r="Q504" i="5"/>
  <c r="Q392" i="5"/>
  <c r="Q325" i="5"/>
  <c r="Q292" i="5"/>
  <c r="Q416" i="5"/>
  <c r="Q471" i="5"/>
  <c r="Q339" i="5"/>
  <c r="Q131" i="5"/>
  <c r="Q400" i="5"/>
  <c r="Q48" i="5"/>
  <c r="Q79" i="5"/>
  <c r="Q488" i="5"/>
  <c r="Q69" i="5"/>
  <c r="Q421" i="5"/>
  <c r="Q455" i="5"/>
  <c r="Q233" i="5"/>
  <c r="Q137" i="5"/>
  <c r="Q366" i="5"/>
  <c r="Q214" i="5"/>
  <c r="Q281" i="5"/>
  <c r="Q168" i="5"/>
  <c r="Q143" i="5"/>
  <c r="Q285" i="5"/>
  <c r="Q442" i="5"/>
  <c r="B40" i="5"/>
  <c r="Q133" i="5"/>
  <c r="Q194" i="5"/>
  <c r="Q386" i="5"/>
  <c r="Q123" i="5"/>
  <c r="Q158" i="5"/>
  <c r="Q534" i="5"/>
  <c r="Q134" i="5"/>
  <c r="Q460" i="5"/>
  <c r="Q103" i="5"/>
  <c r="Q33" i="5"/>
  <c r="Q244" i="5"/>
  <c r="Q269" i="5"/>
  <c r="Q531" i="5"/>
  <c r="Q117" i="5"/>
  <c r="Q451" i="5"/>
  <c r="Q542" i="5"/>
  <c r="Q362" i="5"/>
  <c r="Q517" i="5"/>
  <c r="Q452" i="5"/>
  <c r="Q111" i="5"/>
  <c r="Q540" i="5"/>
  <c r="Q173" i="5"/>
  <c r="Q363" i="5"/>
  <c r="Q350" i="5"/>
  <c r="Q55" i="5"/>
  <c r="Q286" i="5"/>
  <c r="Q81" i="5"/>
  <c r="Q529" i="5"/>
  <c r="Q119" i="5"/>
  <c r="Q317" i="5"/>
  <c r="Q156" i="5"/>
  <c r="Q389" i="5"/>
  <c r="Q274" i="5"/>
  <c r="Q458" i="5"/>
  <c r="Q466" i="5"/>
  <c r="Q72" i="5"/>
  <c r="Q465" i="5"/>
  <c r="Q89" i="5"/>
  <c r="Q12" i="5"/>
  <c r="Q461" i="5"/>
  <c r="Q144" i="5"/>
  <c r="Q70" i="5"/>
  <c r="Q113" i="5"/>
  <c r="Q434" i="5"/>
  <c r="Q503" i="5"/>
  <c r="Q322" i="5"/>
  <c r="Q390" i="5"/>
  <c r="Q66" i="5"/>
  <c r="Q124" i="5"/>
  <c r="Q547" i="5"/>
  <c r="Q24" i="5"/>
  <c r="Q412" i="5"/>
  <c r="Q361" i="5"/>
  <c r="Q161" i="5"/>
  <c r="Q283" i="5"/>
  <c r="Q506" i="5"/>
  <c r="Q146" i="5"/>
  <c r="Q217" i="5"/>
  <c r="Q246" i="5"/>
  <c r="Q187" i="5"/>
  <c r="Q108" i="5"/>
  <c r="Q513" i="5"/>
  <c r="Q238" i="5"/>
  <c r="Q204" i="5"/>
  <c r="Q97" i="5"/>
  <c r="Q96" i="5"/>
  <c r="Q273" i="5"/>
  <c r="Q149" i="5"/>
  <c r="Q104" i="5"/>
  <c r="Q272" i="5"/>
  <c r="Q212" i="5"/>
  <c r="Q393" i="5"/>
  <c r="Q52" i="5"/>
  <c r="Q215" i="5"/>
  <c r="Q301" i="5"/>
  <c r="Q346" i="5"/>
  <c r="Q224" i="5"/>
  <c r="Q327" i="5"/>
  <c r="Q99" i="5"/>
  <c r="Q296" i="5"/>
  <c r="Q388" i="5"/>
  <c r="Q321" i="5"/>
  <c r="Q356" i="5"/>
  <c r="Q535" i="5"/>
  <c r="Q23" i="5"/>
  <c r="Q62" i="5"/>
  <c r="Q110" i="5"/>
  <c r="Q315" i="5"/>
  <c r="Q448" i="5"/>
  <c r="Q132" i="5"/>
  <c r="Q39" i="5"/>
  <c r="Q82" i="5"/>
  <c r="Q328" i="5"/>
  <c r="Q336" i="5"/>
  <c r="Q359" i="5"/>
  <c r="Q19" i="5"/>
  <c r="Q348" i="5"/>
  <c r="Q207" i="5"/>
  <c r="Q538" i="5"/>
  <c r="Q197" i="5"/>
  <c r="Q184" i="5"/>
  <c r="Q463" i="5"/>
  <c r="Q333" i="5"/>
  <c r="Q349" i="5"/>
  <c r="Q58" i="5"/>
  <c r="Q326" i="5"/>
  <c r="Q530" i="5"/>
  <c r="Q172" i="5"/>
  <c r="Q26" i="5"/>
  <c r="Q293" i="5"/>
  <c r="Q266" i="5"/>
  <c r="Q320" i="5"/>
  <c r="Q304" i="5"/>
  <c r="Q518" i="5"/>
  <c r="Q29" i="5"/>
  <c r="Q163" i="5"/>
  <c r="Q211" i="5"/>
  <c r="Q438" i="5"/>
  <c r="Q515" i="5"/>
  <c r="Q261" i="5"/>
  <c r="Q27" i="5"/>
  <c r="Q382" i="5"/>
  <c r="Q505" i="5"/>
  <c r="Q248" i="5"/>
  <c r="Q409" i="5"/>
  <c r="Q114" i="5"/>
  <c r="Q64" i="5"/>
  <c r="Q74" i="5"/>
  <c r="Q484" i="5"/>
  <c r="Q543" i="5"/>
  <c r="Q351" i="5"/>
  <c r="Q473" i="5"/>
  <c r="Q199" i="5"/>
  <c r="Q428" i="5"/>
  <c r="Q279" i="5"/>
  <c r="Q427" i="5"/>
  <c r="Q73" i="5"/>
  <c r="Q387" i="5"/>
  <c r="Q480" i="5"/>
  <c r="Q414" i="5"/>
  <c r="Q501" i="5"/>
  <c r="Q541" i="5"/>
  <c r="Q157" i="5"/>
  <c r="Q467" i="5"/>
  <c r="Q213" i="5"/>
  <c r="Q8" i="5"/>
  <c r="Q396" i="5"/>
  <c r="Q140" i="5"/>
  <c r="Q411" i="5"/>
  <c r="Q78" i="5"/>
  <c r="Q46" i="5"/>
  <c r="Q552" i="5"/>
  <c r="Q477" i="5"/>
  <c r="Q344" i="5"/>
  <c r="Q61" i="5"/>
  <c r="Q370" i="5"/>
  <c r="Q528" i="5"/>
  <c r="Q288" i="5"/>
  <c r="Q202" i="5"/>
  <c r="Q164" i="5"/>
  <c r="Q250" i="5"/>
  <c r="Q300" i="5"/>
  <c r="Q334" i="5"/>
  <c r="Q228" i="5"/>
  <c r="Q364" i="5"/>
  <c r="Q219" i="5"/>
  <c r="Q309" i="5"/>
  <c r="Q200" i="5"/>
  <c r="Q38" i="5"/>
  <c r="Q28" i="5"/>
  <c r="Q44" i="5"/>
  <c r="Q379" i="5"/>
  <c r="Q377" i="5"/>
  <c r="Q499" i="5"/>
  <c r="Q453" i="5"/>
  <c r="Q446" i="5"/>
  <c r="Q329" i="5"/>
  <c r="Q88" i="5"/>
  <c r="Q40" i="5"/>
  <c r="Q553" i="5"/>
  <c r="Q399" i="5"/>
  <c r="Q263" i="5"/>
  <c r="Q368" i="5"/>
  <c r="Q429" i="5"/>
  <c r="Q456" i="5"/>
  <c r="Q185" i="5"/>
  <c r="Q278" i="5"/>
  <c r="Q431" i="5"/>
  <c r="Q130" i="5"/>
  <c r="Q159" i="5"/>
  <c r="Q496" i="5"/>
  <c r="Q494" i="5"/>
  <c r="Q338" i="5"/>
  <c r="Q291" i="5"/>
  <c r="Q155" i="5"/>
  <c r="Q106" i="5"/>
  <c r="Q492" i="5"/>
  <c r="Q176" i="5"/>
  <c r="Q384" i="5"/>
  <c r="Q433" i="5"/>
  <c r="Q472" i="5"/>
  <c r="Q347" i="5"/>
  <c r="Q255" i="5"/>
  <c r="Q230" i="5"/>
  <c r="Q243" i="5"/>
  <c r="Q332" i="5"/>
  <c r="Q95" i="5"/>
  <c r="Q31" i="5"/>
  <c r="Q251" i="5"/>
  <c r="Q167" i="5"/>
  <c r="Q372" i="5"/>
  <c r="Q171" i="5"/>
  <c r="Q175" i="5"/>
  <c r="Q277" i="5"/>
  <c r="Q479" i="5"/>
  <c r="Q239" i="5"/>
  <c r="Q440" i="5"/>
  <c r="Q397" i="5"/>
  <c r="Q549" i="5"/>
  <c r="Q258" i="5"/>
  <c r="Q422" i="5"/>
  <c r="Q236" i="5"/>
  <c r="Q229" i="5"/>
  <c r="Q189" i="5"/>
  <c r="Q548" i="5"/>
  <c r="Q136" i="5"/>
  <c r="Q474" i="5"/>
  <c r="Q312" i="5"/>
  <c r="Q10" i="5"/>
  <c r="Q554" i="5"/>
  <c r="Q523" i="5"/>
  <c r="Q525" i="5"/>
  <c r="Q51" i="5"/>
  <c r="Q470" i="5"/>
  <c r="Q483" i="5"/>
  <c r="Q437" i="5"/>
  <c r="Q352" i="5"/>
  <c r="Q245" i="5"/>
  <c r="Q75" i="5"/>
  <c r="Q100" i="5"/>
  <c r="Q498" i="5"/>
  <c r="Q275" i="5"/>
  <c r="Q371" i="5"/>
  <c r="Q307" i="5"/>
  <c r="Q305" i="5"/>
  <c r="Q524" i="5"/>
  <c r="Q330" i="5"/>
  <c r="Q160" i="5"/>
  <c r="Q545" i="5"/>
  <c r="Q139" i="5"/>
  <c r="Q345" i="5"/>
  <c r="Q262" i="5"/>
  <c r="Q101" i="5"/>
  <c r="Q43" i="5"/>
  <c r="Q558" i="5"/>
  <c r="Q198" i="5"/>
  <c r="Q166" i="5"/>
  <c r="Q208" i="5"/>
  <c r="Q247" i="5"/>
  <c r="Q358" i="5"/>
  <c r="Q254" i="5"/>
  <c r="Q365" i="5"/>
  <c r="Q487" i="5"/>
  <c r="Q77" i="5"/>
  <c r="Q314" i="5"/>
  <c r="Q92" i="5"/>
  <c r="Q290" i="5"/>
  <c r="Q403" i="5"/>
  <c r="Q308" i="5"/>
  <c r="Q54" i="5"/>
  <c r="Q374" i="5"/>
  <c r="Q511" i="5"/>
  <c r="Q417" i="5"/>
  <c r="Q485" i="5"/>
  <c r="Q341" i="5"/>
  <c r="Q84" i="5"/>
  <c r="Q32" i="5"/>
  <c r="Q449" i="5"/>
  <c r="Q115" i="5"/>
  <c r="Q216" i="5"/>
  <c r="Q220" i="5"/>
  <c r="Q551" i="5"/>
  <c r="Q445" i="5"/>
  <c r="Q153" i="5"/>
  <c r="Q192" i="5"/>
  <c r="Q30" i="5"/>
  <c r="Q76" i="5"/>
  <c r="Q297" i="5"/>
  <c r="Q122" i="5"/>
  <c r="Q284" i="5"/>
  <c r="Q482" i="5"/>
  <c r="Q469" i="5"/>
  <c r="Q354" i="5"/>
  <c r="Q170" i="5"/>
  <c r="Q174" i="5"/>
  <c r="Q380" i="5"/>
  <c r="Q430" i="5"/>
  <c r="Q294" i="5"/>
  <c r="Q475" i="5"/>
  <c r="Q340" i="5"/>
  <c r="Q410" i="5"/>
  <c r="Q165" i="5"/>
  <c r="Q426" i="5"/>
  <c r="Q491" i="5"/>
  <c r="Q241" i="5"/>
  <c r="Q186" i="5"/>
  <c r="Q468" i="5"/>
  <c r="Q205" i="5"/>
  <c r="Q502" i="5"/>
  <c r="Q436" i="5"/>
  <c r="Q337" i="5"/>
  <c r="Q196" i="5"/>
  <c r="Q260" i="5"/>
  <c r="Q42" i="5"/>
  <c r="Q276" i="5"/>
  <c r="Q83" i="5"/>
  <c r="Q87" i="5"/>
  <c r="Q405" i="5"/>
  <c r="Q268" i="5"/>
  <c r="Q519" i="5"/>
  <c r="Q478" i="5"/>
  <c r="Q407" i="5"/>
  <c r="Q532" i="5"/>
  <c r="Q49" i="5"/>
  <c r="Q86" i="5"/>
  <c r="Q526" i="5"/>
  <c r="Q450" i="5"/>
  <c r="Q270" i="5"/>
  <c r="Q310" i="5"/>
  <c r="Q360" i="5"/>
  <c r="Q490" i="5"/>
  <c r="Q406" i="5"/>
  <c r="Q316" i="5"/>
  <c r="Q447" i="5"/>
  <c r="Q521" i="5"/>
  <c r="Q41" i="5"/>
  <c r="Q353" i="5"/>
  <c r="Q90" i="5"/>
  <c r="Q313" i="5"/>
  <c r="Q420" i="5"/>
  <c r="Q493" i="5"/>
  <c r="Q148" i="5"/>
  <c r="Q152" i="5"/>
  <c r="Q162" i="5"/>
  <c r="Q112" i="5"/>
  <c r="Q395" i="5"/>
  <c r="Q127" i="5"/>
  <c r="Q232" i="5"/>
  <c r="Q94" i="5"/>
  <c r="Q439" i="5"/>
  <c r="Q271" i="5"/>
  <c r="Q147" i="5"/>
  <c r="Q226" i="5"/>
  <c r="Q227" i="5"/>
  <c r="Q355" i="5"/>
  <c r="Q203" i="5"/>
  <c r="Q235" i="5"/>
  <c r="Q221" i="5"/>
  <c r="Q510" i="5"/>
  <c r="Q59" i="5"/>
  <c r="Q383" i="5"/>
  <c r="Q481" i="5"/>
  <c r="Q22" i="5"/>
  <c r="Q546" i="5"/>
  <c r="Q67" i="5"/>
  <c r="Q457" i="5"/>
  <c r="Q280" i="5"/>
  <c r="Q556" i="5"/>
  <c r="Q188" i="5"/>
  <c r="Q516" i="5"/>
  <c r="Q335" i="5"/>
  <c r="Q85" i="5"/>
  <c r="Q252" i="5"/>
  <c r="Q169" i="5"/>
  <c r="Q145" i="5"/>
  <c r="Q126" i="5"/>
  <c r="Q50" i="5"/>
  <c r="Q142" i="5"/>
  <c r="Q560" i="5"/>
  <c r="Q178" i="5"/>
  <c r="Q376" i="5"/>
  <c r="Q295" i="5"/>
  <c r="Q544" i="5"/>
  <c r="Q195" i="5"/>
  <c r="Q539" i="5"/>
  <c r="Q193" i="5"/>
  <c r="Q425" i="5"/>
  <c r="Q486" i="5"/>
  <c r="Q218" i="5"/>
  <c r="Q319" i="5"/>
  <c r="Q98" i="5"/>
  <c r="Q20" i="5"/>
  <c r="Q342" i="5"/>
  <c r="Q500" i="5"/>
  <c r="Q21" i="5"/>
  <c r="Q259" i="5"/>
  <c r="Q231" i="5"/>
  <c r="Q537" i="5"/>
  <c r="Q559" i="5"/>
  <c r="Q289" i="5"/>
  <c r="Q391" i="5"/>
  <c r="Q190" i="5"/>
  <c r="Q138" i="5"/>
  <c r="Q444" i="5"/>
  <c r="Q206" i="5"/>
  <c r="Q225" i="5"/>
  <c r="Q398" i="5"/>
  <c r="Q508" i="5"/>
  <c r="Q306" i="5"/>
  <c r="Q514" i="5"/>
  <c r="Q181" i="5"/>
  <c r="Q324" i="5"/>
  <c r="Q462" i="5"/>
  <c r="Q68" i="5"/>
  <c r="Q413" i="5"/>
  <c r="Q489" i="5"/>
  <c r="Q476" i="5"/>
  <c r="Q415" i="5"/>
  <c r="Q57" i="5"/>
  <c r="Q536" i="5"/>
  <c r="Q65" i="5"/>
  <c r="Q441" i="5"/>
  <c r="Q234" i="5"/>
  <c r="Q401" i="5"/>
  <c r="Q120" i="5"/>
  <c r="Q201" i="5"/>
  <c r="Q507" i="5"/>
  <c r="Q37" i="5"/>
  <c r="Q71" i="5"/>
  <c r="Q209" i="5"/>
  <c r="Q520" i="5"/>
  <c r="Q343" i="5"/>
  <c r="Q249" i="5"/>
  <c r="Q435" i="5"/>
  <c r="Q299" i="5"/>
  <c r="Q533" i="5"/>
  <c r="Q116" i="5"/>
  <c r="Q357" i="5"/>
  <c r="Q102" i="5"/>
  <c r="Q419" i="5"/>
  <c r="Q180" i="5"/>
  <c r="Q512" i="5"/>
  <c r="Q47" i="5"/>
  <c r="Q253" i="5"/>
  <c r="Q60" i="5"/>
  <c r="Q105" i="5"/>
  <c r="Q36" i="5"/>
  <c r="Q128" i="5"/>
  <c r="Q527" i="5"/>
  <c r="Q557" i="5"/>
  <c r="Q25" i="5"/>
  <c r="Q125" i="5"/>
  <c r="Q93" i="5"/>
  <c r="Q267" i="5"/>
  <c r="Q121" i="5"/>
  <c r="Q223" i="5"/>
  <c r="Q237" i="5"/>
  <c r="Q331" i="5"/>
  <c r="Q80" i="5"/>
  <c r="Q378" i="5"/>
  <c r="Q91" i="5"/>
  <c r="Q394" i="5"/>
  <c r="Q141" i="5"/>
  <c r="Q257" i="5"/>
  <c r="Q191" i="5"/>
  <c r="Q555" i="5"/>
  <c r="Q56" i="5"/>
  <c r="Q454" i="5"/>
  <c r="Q497" i="5"/>
  <c r="Q182" i="5"/>
  <c r="Q109" i="5"/>
  <c r="Q34" i="5"/>
  <c r="Q298" i="5"/>
  <c r="Q256" i="5"/>
  <c r="Q373" i="5"/>
  <c r="Q240" i="5"/>
  <c r="Q509" i="5"/>
  <c r="Q423" i="5"/>
  <c r="Q369" i="5"/>
  <c r="Q107" i="5"/>
  <c r="Q210" i="5"/>
  <c r="Q118" i="5"/>
  <c r="Q323" i="5"/>
  <c r="Q222" i="5"/>
  <c r="Q443" i="5"/>
  <c r="Q367" i="5"/>
  <c r="Q265" i="5"/>
  <c r="Q129" i="5"/>
  <c r="Q303" i="5"/>
  <c r="Q242" i="5"/>
  <c r="Q264" i="5"/>
  <c r="Q151" i="5"/>
  <c r="Q318" i="5"/>
  <c r="Q302" i="5"/>
  <c r="Q375" i="5"/>
  <c r="Q381" i="5"/>
  <c r="Q522" i="5"/>
  <c r="Q13" i="5"/>
  <c r="Q550" i="5"/>
  <c r="Q432" i="5"/>
  <c r="Q282" i="5"/>
  <c r="Q183" i="5"/>
  <c r="Q35" i="5"/>
  <c r="Q135" i="5"/>
  <c r="Q63" i="5"/>
  <c r="Q311" i="5"/>
  <c r="Q179" i="5"/>
  <c r="Q9" i="5"/>
  <c r="AQ376" i="5"/>
  <c r="AR376" i="5"/>
  <c r="BI376" i="5"/>
  <c r="AQ382" i="5"/>
  <c r="BI382" i="5"/>
  <c r="AR382" i="5"/>
  <c r="BI233" i="5"/>
  <c r="AQ233" i="5"/>
  <c r="AR233" i="5"/>
  <c r="AR432" i="5"/>
  <c r="AQ432" i="5"/>
  <c r="BI432" i="5"/>
  <c r="BI149" i="5"/>
  <c r="AQ149" i="5"/>
  <c r="AR149" i="5"/>
  <c r="AQ545" i="5"/>
  <c r="BI545" i="5"/>
  <c r="AR545" i="5"/>
  <c r="AQ49" i="5"/>
  <c r="BI49" i="5"/>
  <c r="AR49" i="5"/>
  <c r="AQ228" i="5"/>
  <c r="AR228" i="5"/>
  <c r="BI228" i="5"/>
  <c r="AQ358" i="5"/>
  <c r="AR358" i="5"/>
  <c r="BI358" i="5"/>
  <c r="AP84" i="5"/>
  <c r="BI514" i="5"/>
  <c r="BI407" i="5"/>
  <c r="AR407" i="5"/>
  <c r="AQ407" i="5"/>
  <c r="AR352" i="5"/>
  <c r="AQ352" i="5"/>
  <c r="BI352" i="5"/>
  <c r="AP386" i="5"/>
  <c r="AR272" i="5"/>
  <c r="BI272" i="5"/>
  <c r="AQ272" i="5"/>
  <c r="BI530" i="5"/>
  <c r="AQ530" i="5"/>
  <c r="AQ96" i="5"/>
  <c r="BI96" i="5"/>
  <c r="AR96" i="5"/>
  <c r="AQ449" i="5"/>
  <c r="BI449" i="5"/>
  <c r="AR449" i="5"/>
  <c r="BI373" i="5"/>
  <c r="AQ373" i="5"/>
  <c r="AR373" i="5"/>
  <c r="AR468" i="5"/>
  <c r="BI468" i="5"/>
  <c r="AQ468" i="5"/>
  <c r="AR44" i="5"/>
  <c r="AQ44" i="5"/>
  <c r="BI44" i="5"/>
  <c r="AQ329" i="5"/>
  <c r="BI329" i="5"/>
  <c r="AR329" i="5"/>
  <c r="AQ466" i="5"/>
  <c r="BI466" i="5"/>
  <c r="AR466" i="5"/>
  <c r="BI289" i="5"/>
  <c r="AQ289" i="5"/>
  <c r="AR289" i="5"/>
  <c r="AR418" i="5"/>
  <c r="BI418" i="5"/>
  <c r="AQ418" i="5"/>
  <c r="AP219" i="5"/>
  <c r="AR306" i="5"/>
  <c r="AQ306" i="5"/>
  <c r="BI306" i="5"/>
  <c r="AQ157" i="5"/>
  <c r="AR157" i="5"/>
  <c r="BI157" i="5"/>
  <c r="AR383" i="5"/>
  <c r="BI456" i="5"/>
  <c r="AQ456" i="5"/>
  <c r="AR456" i="5"/>
  <c r="AQ130" i="5"/>
  <c r="AR130" i="5"/>
  <c r="BI130" i="5"/>
  <c r="AQ259" i="5"/>
  <c r="BI259" i="5"/>
  <c r="AR259" i="5"/>
  <c r="BI406" i="5"/>
  <c r="AQ406" i="5"/>
  <c r="AR406" i="5"/>
  <c r="AR322" i="5"/>
  <c r="BI322" i="5"/>
  <c r="AP485" i="5"/>
  <c r="AR410" i="5"/>
  <c r="BI410" i="5"/>
  <c r="AQ410" i="5"/>
  <c r="BI47" i="5"/>
  <c r="AQ47" i="5"/>
  <c r="AR442" i="5"/>
  <c r="AQ442" i="5"/>
  <c r="BI442" i="5"/>
  <c r="AQ287" i="5"/>
  <c r="BI287" i="5"/>
  <c r="AR287" i="5"/>
  <c r="BI338" i="5"/>
  <c r="AQ338" i="5"/>
  <c r="AR338" i="5"/>
  <c r="AQ470" i="5"/>
  <c r="BI470" i="5"/>
  <c r="AR470" i="5"/>
  <c r="BI220" i="5"/>
  <c r="AR220" i="5"/>
  <c r="AQ220" i="5"/>
  <c r="AR409" i="5"/>
  <c r="BI103" i="5"/>
  <c r="AQ103" i="5"/>
  <c r="AR103" i="5"/>
  <c r="AQ367" i="5"/>
  <c r="BI367" i="5"/>
  <c r="AR367" i="5"/>
  <c r="BI121" i="5"/>
  <c r="AQ121" i="5"/>
  <c r="AR121" i="5"/>
  <c r="AR294" i="5"/>
  <c r="AQ294" i="5"/>
  <c r="BI294" i="5"/>
  <c r="AR91" i="5"/>
  <c r="AQ91" i="5"/>
  <c r="BI211" i="5"/>
  <c r="AQ211" i="5"/>
  <c r="BI143" i="5"/>
  <c r="AR143" i="5"/>
  <c r="AQ143" i="5"/>
  <c r="AQ191" i="5"/>
  <c r="BI191" i="5"/>
  <c r="AR191" i="5"/>
  <c r="AQ236" i="5"/>
  <c r="AR236" i="5"/>
  <c r="BI236" i="5"/>
  <c r="AQ214" i="5"/>
  <c r="AR214" i="5"/>
  <c r="BI214" i="5"/>
  <c r="AR70" i="5"/>
  <c r="AQ70" i="5"/>
  <c r="BI70" i="5"/>
  <c r="AP151" i="5"/>
  <c r="BI439" i="5"/>
  <c r="AQ439" i="5"/>
  <c r="AR439" i="5"/>
  <c r="AQ428" i="5"/>
  <c r="BI428" i="5"/>
  <c r="AR428" i="5"/>
  <c r="AR158" i="5"/>
  <c r="AQ158" i="5"/>
  <c r="BI158" i="5"/>
  <c r="AR42" i="5"/>
  <c r="AQ42" i="5"/>
  <c r="BI42" i="5"/>
  <c r="AQ348" i="5"/>
  <c r="BI126" i="5"/>
  <c r="AR126" i="5"/>
  <c r="AQ126" i="5"/>
  <c r="BI175" i="5"/>
  <c r="AR175" i="5"/>
  <c r="AQ175" i="5"/>
  <c r="AQ404" i="5"/>
  <c r="BI453" i="5"/>
  <c r="AR453" i="5"/>
  <c r="AQ453" i="5"/>
  <c r="BI283" i="5"/>
  <c r="AR283" i="5"/>
  <c r="AQ283" i="5"/>
  <c r="AQ447" i="5"/>
  <c r="AR447" i="5"/>
  <c r="BI417" i="5"/>
  <c r="AQ417" i="5"/>
  <c r="AR417" i="5"/>
  <c r="AQ547" i="5"/>
  <c r="AR547" i="5"/>
  <c r="BI207" i="5"/>
  <c r="AQ207" i="5"/>
  <c r="AR207" i="5"/>
  <c r="AQ374" i="5"/>
  <c r="BI374" i="5"/>
  <c r="AR374" i="5"/>
  <c r="AP73" i="5"/>
  <c r="BI46" i="5"/>
  <c r="AQ46" i="5"/>
  <c r="AR46" i="5"/>
  <c r="AQ190" i="5"/>
  <c r="AR190" i="5"/>
  <c r="BI190" i="5"/>
  <c r="AP372" i="5"/>
  <c r="AR36" i="5"/>
  <c r="BI36" i="5"/>
  <c r="AQ36" i="5"/>
  <c r="AQ480" i="5"/>
  <c r="BI480" i="5"/>
  <c r="AR480" i="5"/>
  <c r="BI242" i="5"/>
  <c r="AQ389" i="5"/>
  <c r="AR389" i="5"/>
  <c r="BI389" i="5"/>
  <c r="AE108" i="4"/>
  <c r="AH108" i="4"/>
  <c r="BI475" i="5"/>
  <c r="AQ475" i="5"/>
  <c r="AR475" i="5"/>
  <c r="AR155" i="5"/>
  <c r="AQ155" i="5"/>
  <c r="BI155" i="5"/>
  <c r="AQ193" i="5"/>
  <c r="BI193" i="5"/>
  <c r="AR193" i="5"/>
  <c r="AR498" i="5"/>
  <c r="AQ498" i="5"/>
  <c r="BI498" i="5"/>
  <c r="AQ560" i="5"/>
  <c r="AR560" i="5"/>
  <c r="BI560" i="5"/>
  <c r="AQ405" i="5"/>
  <c r="AR405" i="5"/>
  <c r="BI405" i="5"/>
  <c r="BI263" i="5"/>
  <c r="AR263" i="5"/>
  <c r="AQ263" i="5"/>
  <c r="AR253" i="5"/>
  <c r="AQ253" i="5"/>
  <c r="BI253" i="5"/>
  <c r="AR438" i="5"/>
  <c r="BI438" i="5"/>
  <c r="AQ438" i="5"/>
  <c r="BI169" i="5"/>
  <c r="AQ169" i="5"/>
  <c r="AR169" i="5"/>
  <c r="BI381" i="5"/>
  <c r="AR381" i="5"/>
  <c r="AQ381" i="5"/>
  <c r="AQ197" i="5"/>
  <c r="AR197" i="5"/>
  <c r="BI197" i="5"/>
  <c r="AQ431" i="5"/>
  <c r="AR431" i="5"/>
  <c r="BI431" i="5"/>
  <c r="AR345" i="5"/>
  <c r="BI345" i="5"/>
  <c r="AQ345" i="5"/>
  <c r="AR150" i="5"/>
  <c r="BI150" i="5"/>
  <c r="AQ150" i="5"/>
  <c r="BI309" i="5"/>
  <c r="AQ309" i="5"/>
  <c r="AR309" i="5"/>
  <c r="AR39" i="5"/>
  <c r="BI39" i="5"/>
  <c r="AQ39" i="5"/>
  <c r="AE150" i="4"/>
  <c r="AH150" i="4"/>
  <c r="Z150" i="4"/>
  <c r="AA150" i="4"/>
  <c r="AE57" i="4"/>
  <c r="AH57" i="4"/>
  <c r="Z70" i="4"/>
  <c r="X70" i="4" s="1"/>
  <c r="AE70" i="4"/>
  <c r="AH70" i="4"/>
  <c r="Z148" i="4"/>
  <c r="AH148" i="4"/>
  <c r="AE148" i="4"/>
  <c r="AH84" i="4"/>
  <c r="AE84" i="4"/>
  <c r="Z84" i="4"/>
  <c r="X84" i="4" s="1"/>
  <c r="AH144" i="4"/>
  <c r="AE144" i="4"/>
  <c r="AE128" i="4"/>
  <c r="AH128" i="4"/>
  <c r="AH106" i="4"/>
  <c r="AE106" i="4"/>
  <c r="AE88" i="4"/>
  <c r="Z88" i="4"/>
  <c r="X88" i="4" s="1"/>
  <c r="AH88" i="4"/>
  <c r="AH140" i="4"/>
  <c r="AJ140" i="4"/>
  <c r="AE140" i="4"/>
  <c r="AH20" i="4"/>
  <c r="Z20" i="4"/>
  <c r="X20" i="4" s="1"/>
  <c r="AJ20" i="4" s="1"/>
  <c r="AE20" i="4"/>
  <c r="AE135" i="4"/>
  <c r="AH135" i="4"/>
  <c r="AH55" i="4"/>
  <c r="AE55" i="4"/>
  <c r="AE105" i="4"/>
  <c r="AH105" i="4"/>
  <c r="AE130" i="4"/>
  <c r="AH130" i="4"/>
  <c r="AE43" i="4"/>
  <c r="AH43" i="4"/>
  <c r="Z43" i="4"/>
  <c r="AA119" i="4"/>
  <c r="AH119" i="4"/>
  <c r="Z119" i="4"/>
  <c r="AE119" i="4"/>
  <c r="AH39" i="4"/>
  <c r="AE39" i="4"/>
  <c r="Z39" i="4"/>
  <c r="X39" i="4" s="1"/>
  <c r="AJ39" i="4" s="1"/>
  <c r="AH102" i="4"/>
  <c r="AE102" i="4"/>
  <c r="AE56" i="4"/>
  <c r="AH56" i="4"/>
  <c r="Z56" i="4"/>
  <c r="X56" i="4" s="1"/>
  <c r="Z68" i="4"/>
  <c r="X68" i="4" s="1"/>
  <c r="AH68" i="4"/>
  <c r="AE68" i="4"/>
  <c r="AE37" i="4"/>
  <c r="AH37" i="4"/>
  <c r="Z37" i="4"/>
  <c r="X37" i="4" s="1"/>
  <c r="AJ37" i="4" s="1"/>
  <c r="AH41" i="4"/>
  <c r="AE41" i="4"/>
  <c r="Z41" i="4"/>
  <c r="AE34" i="4"/>
  <c r="AH34" i="4"/>
  <c r="Z34" i="4"/>
  <c r="AH113" i="4"/>
  <c r="AE113" i="4"/>
  <c r="AE109" i="4"/>
  <c r="AH109" i="4"/>
  <c r="Z109" i="4"/>
  <c r="X109" i="4" s="1"/>
  <c r="AJ109" i="4" s="1"/>
  <c r="AH136" i="4"/>
  <c r="AE136" i="4"/>
  <c r="AE129" i="4"/>
  <c r="AH129" i="4"/>
  <c r="AE98" i="4"/>
  <c r="AH98" i="4"/>
  <c r="AH64" i="4"/>
  <c r="AE64" i="4"/>
  <c r="Z64" i="4"/>
  <c r="X64" i="4" s="1"/>
  <c r="AE146" i="4"/>
  <c r="AJ146" i="4"/>
  <c r="Z146" i="4"/>
  <c r="AA146" i="4"/>
  <c r="AH146" i="4"/>
  <c r="AE85" i="4"/>
  <c r="AH85" i="4"/>
  <c r="AR487" i="5"/>
  <c r="AQ487" i="5"/>
  <c r="BI487" i="5"/>
  <c r="BI420" i="5"/>
  <c r="AQ420" i="5"/>
  <c r="AR420" i="5"/>
  <c r="BI202" i="5"/>
  <c r="AR202" i="5"/>
  <c r="AR21" i="5"/>
  <c r="AQ21" i="5"/>
  <c r="BI21" i="5"/>
  <c r="AQ493" i="5"/>
  <c r="AR493" i="5"/>
  <c r="BI493" i="5"/>
  <c r="AR285" i="5"/>
  <c r="BI285" i="5"/>
  <c r="AQ285" i="5"/>
  <c r="BI559" i="5"/>
  <c r="AQ559" i="5"/>
  <c r="AR379" i="5"/>
  <c r="BI379" i="5"/>
  <c r="AQ379" i="5"/>
  <c r="BI144" i="5"/>
  <c r="BI482" i="5"/>
  <c r="AQ482" i="5"/>
  <c r="AR482" i="5"/>
  <c r="BI509" i="5"/>
  <c r="AQ509" i="5"/>
  <c r="AR509" i="5"/>
  <c r="AQ355" i="5"/>
  <c r="BI355" i="5"/>
  <c r="AR355" i="5"/>
  <c r="AR35" i="5"/>
  <c r="AQ35" i="5"/>
  <c r="BI35" i="5"/>
  <c r="AQ518" i="5"/>
  <c r="BI518" i="5"/>
  <c r="AR518" i="5"/>
  <c r="AR238" i="5"/>
  <c r="AQ238" i="5"/>
  <c r="BI238" i="5"/>
  <c r="AQ192" i="5"/>
  <c r="BI192" i="5"/>
  <c r="AR192" i="5"/>
  <c r="AQ557" i="5"/>
  <c r="BI557" i="5"/>
  <c r="AR557" i="5"/>
  <c r="AQ74" i="5"/>
  <c r="AR74" i="5"/>
  <c r="BI74" i="5"/>
  <c r="BI541" i="5"/>
  <c r="AQ541" i="5"/>
  <c r="AR541" i="5"/>
  <c r="AR224" i="5"/>
  <c r="AQ224" i="5"/>
  <c r="BI224" i="5"/>
  <c r="AQ298" i="5"/>
  <c r="AR298" i="5"/>
  <c r="BI298" i="5"/>
  <c r="BI215" i="5"/>
  <c r="AR215" i="5"/>
  <c r="AQ215" i="5"/>
  <c r="AR270" i="5"/>
  <c r="BI270" i="5"/>
  <c r="AQ270" i="5"/>
  <c r="AR552" i="5"/>
  <c r="AR69" i="5"/>
  <c r="BI69" i="5"/>
  <c r="AQ69" i="5"/>
  <c r="BI165" i="5"/>
  <c r="AR165" i="5"/>
  <c r="AQ165" i="5"/>
  <c r="AR297" i="5"/>
  <c r="BI297" i="5"/>
  <c r="AQ297" i="5"/>
  <c r="AQ380" i="5"/>
  <c r="BI380" i="5"/>
  <c r="AR380" i="5"/>
  <c r="AR230" i="5"/>
  <c r="BI230" i="5"/>
  <c r="AQ230" i="5"/>
  <c r="AR484" i="5"/>
  <c r="BI484" i="5"/>
  <c r="AQ484" i="5"/>
  <c r="AR174" i="5"/>
  <c r="BI174" i="5"/>
  <c r="AQ174" i="5"/>
  <c r="AR152" i="5"/>
  <c r="BI152" i="5"/>
  <c r="AQ152" i="5"/>
  <c r="AR354" i="5"/>
  <c r="BI354" i="5"/>
  <c r="AQ354" i="5"/>
  <c r="AR521" i="5"/>
  <c r="BI521" i="5"/>
  <c r="AQ521" i="5"/>
  <c r="AQ147" i="5"/>
  <c r="BI147" i="5"/>
  <c r="AR147" i="5"/>
  <c r="AQ450" i="5"/>
  <c r="AR450" i="5"/>
  <c r="BI450" i="5"/>
  <c r="AQ398" i="5"/>
  <c r="AR398" i="5"/>
  <c r="BI398" i="5"/>
  <c r="AP186" i="5"/>
  <c r="AR271" i="5"/>
  <c r="AQ353" i="5"/>
  <c r="AR353" i="5"/>
  <c r="BI92" i="5"/>
  <c r="AR92" i="5"/>
  <c r="AQ92" i="5"/>
  <c r="AQ50" i="5"/>
  <c r="AR50" i="5"/>
  <c r="BI50" i="5"/>
  <c r="AR53" i="5"/>
  <c r="BI53" i="5"/>
  <c r="AQ53" i="5"/>
  <c r="BI269" i="5"/>
  <c r="AR269" i="5"/>
  <c r="AQ269" i="5"/>
  <c r="AQ82" i="5"/>
  <c r="BI82" i="5"/>
  <c r="AR82" i="5"/>
  <c r="BI262" i="5"/>
  <c r="AR262" i="5"/>
  <c r="AQ262" i="5"/>
  <c r="AQ491" i="5"/>
  <c r="BI491" i="5"/>
  <c r="AR491" i="5"/>
  <c r="AP284" i="5"/>
  <c r="AP54" i="5"/>
  <c r="AQ390" i="5"/>
  <c r="AQ553" i="5"/>
  <c r="BI553" i="5"/>
  <c r="AR553" i="5"/>
  <c r="AP13" i="5"/>
  <c r="AQ239" i="5"/>
  <c r="AR239" i="5"/>
  <c r="BI239" i="5"/>
  <c r="AP209" i="5"/>
  <c r="AQ180" i="5"/>
  <c r="AR180" i="5"/>
  <c r="BI180" i="5"/>
  <c r="AQ88" i="5"/>
  <c r="BI88" i="5"/>
  <c r="AR88" i="5"/>
  <c r="AQ51" i="5"/>
  <c r="AR51" i="5"/>
  <c r="BI51" i="5"/>
  <c r="BI223" i="5"/>
  <c r="AR223" i="5"/>
  <c r="AQ223" i="5"/>
  <c r="AP416" i="5"/>
  <c r="AQ426" i="5"/>
  <c r="BI426" i="5"/>
  <c r="AR426" i="5"/>
  <c r="AR117" i="5"/>
  <c r="BI117" i="5"/>
  <c r="AQ117" i="5"/>
  <c r="AQ246" i="5"/>
  <c r="BI246" i="5"/>
  <c r="AR246" i="5"/>
  <c r="AP462" i="5"/>
  <c r="BI320" i="5"/>
  <c r="AR503" i="5"/>
  <c r="AQ503" i="5"/>
  <c r="BI503" i="5"/>
  <c r="BI160" i="5"/>
  <c r="AQ160" i="5"/>
  <c r="AR160" i="5"/>
  <c r="BI20" i="5"/>
  <c r="AR20" i="5"/>
  <c r="AQ20" i="5"/>
  <c r="BI474" i="5"/>
  <c r="AQ474" i="5"/>
  <c r="AR474" i="5"/>
  <c r="AP419" i="5"/>
  <c r="AP504" i="5"/>
  <c r="BI429" i="5"/>
  <c r="AQ429" i="5"/>
  <c r="AR429" i="5"/>
  <c r="AQ216" i="5"/>
  <c r="BI216" i="5"/>
  <c r="AR216" i="5"/>
  <c r="AR385" i="5"/>
  <c r="BI385" i="5"/>
  <c r="AQ385" i="5"/>
  <c r="AQ314" i="5"/>
  <c r="BI314" i="5"/>
  <c r="AR314" i="5"/>
  <c r="AQ110" i="5"/>
  <c r="BI110" i="5"/>
  <c r="AR110" i="5"/>
  <c r="BI334" i="5"/>
  <c r="AQ334" i="5"/>
  <c r="AR334" i="5"/>
  <c r="AR526" i="5"/>
  <c r="BI526" i="5"/>
  <c r="AQ526" i="5"/>
  <c r="AR540" i="5"/>
  <c r="AQ540" i="5"/>
  <c r="BI540" i="5"/>
  <c r="BI48" i="5"/>
  <c r="AQ48" i="5"/>
  <c r="AR48" i="5"/>
  <c r="AR123" i="5"/>
  <c r="AQ123" i="5"/>
  <c r="AR279" i="5"/>
  <c r="BI279" i="5"/>
  <c r="AQ279" i="5"/>
  <c r="AR132" i="5"/>
  <c r="AQ132" i="5"/>
  <c r="BI132" i="5"/>
  <c r="AR361" i="5"/>
  <c r="BI361" i="5"/>
  <c r="AQ361" i="5"/>
  <c r="AR478" i="5"/>
  <c r="BI478" i="5"/>
  <c r="AQ478" i="5"/>
  <c r="BI241" i="5"/>
  <c r="BI435" i="5"/>
  <c r="AQ435" i="5"/>
  <c r="AR435" i="5"/>
  <c r="AQ510" i="5"/>
  <c r="BI510" i="5"/>
  <c r="AR510" i="5"/>
  <c r="BI506" i="5"/>
  <c r="AQ506" i="5"/>
  <c r="AR506" i="5"/>
  <c r="AR443" i="5"/>
  <c r="BI443" i="5"/>
  <c r="AQ443" i="5"/>
  <c r="AQ138" i="5"/>
  <c r="BI138" i="5"/>
  <c r="AR138" i="5"/>
  <c r="BI415" i="5"/>
  <c r="AR393" i="5"/>
  <c r="AQ393" i="5"/>
  <c r="BI393" i="5"/>
  <c r="AQ104" i="5"/>
  <c r="BI104" i="5"/>
  <c r="AR104" i="5"/>
  <c r="BI112" i="5"/>
  <c r="AR112" i="5"/>
  <c r="AQ112" i="5"/>
  <c r="AR305" i="5"/>
  <c r="BI305" i="5"/>
  <c r="AQ305" i="5"/>
  <c r="AQ364" i="5"/>
  <c r="BI364" i="5"/>
  <c r="AR364" i="5"/>
  <c r="AR281" i="5"/>
  <c r="AQ281" i="5"/>
  <c r="BI281" i="5"/>
  <c r="AP77" i="5"/>
  <c r="AR511" i="5"/>
  <c r="BI511" i="5"/>
  <c r="AQ511" i="5"/>
  <c r="BI517" i="5"/>
  <c r="AQ517" i="5"/>
  <c r="AR517" i="5"/>
  <c r="AR414" i="5"/>
  <c r="BI414" i="5"/>
  <c r="AQ414" i="5"/>
  <c r="BI499" i="5"/>
  <c r="AQ499" i="5"/>
  <c r="AR499" i="5"/>
  <c r="AR391" i="5"/>
  <c r="AQ391" i="5"/>
  <c r="BI391" i="5"/>
  <c r="AE117" i="4"/>
  <c r="AJ117" i="4"/>
  <c r="AH117" i="4"/>
  <c r="AE81" i="4"/>
  <c r="AH81" i="4"/>
  <c r="AO537" i="5"/>
  <c r="AN537" i="5"/>
  <c r="AO509" i="5"/>
  <c r="AN509" i="5"/>
  <c r="AN213" i="5"/>
  <c r="AO213" i="5"/>
  <c r="AN259" i="5"/>
  <c r="AO259" i="5"/>
  <c r="AN95" i="5"/>
  <c r="AO95" i="5"/>
  <c r="AO135" i="5"/>
  <c r="AN135" i="5"/>
  <c r="AO393" i="5"/>
  <c r="AN393" i="5"/>
  <c r="AN482" i="5"/>
  <c r="AO482" i="5"/>
  <c r="AN149" i="5"/>
  <c r="AO149" i="5"/>
  <c r="AN129" i="5"/>
  <c r="AO129" i="5"/>
  <c r="AO333" i="5"/>
  <c r="AN333" i="5"/>
  <c r="AO365" i="5"/>
  <c r="AN365" i="5"/>
  <c r="AO497" i="5"/>
  <c r="AN497" i="5"/>
  <c r="AN61" i="5"/>
  <c r="AO61" i="5"/>
  <c r="AO463" i="5"/>
  <c r="AN463" i="5"/>
  <c r="AO408" i="5"/>
  <c r="AN408" i="5"/>
  <c r="AN273" i="5"/>
  <c r="AO273" i="5"/>
  <c r="AO526" i="5"/>
  <c r="AN526" i="5"/>
  <c r="AN291" i="5"/>
  <c r="AO291" i="5"/>
  <c r="AN127" i="5"/>
  <c r="AO127" i="5"/>
  <c r="AO293" i="5"/>
  <c r="AN293" i="5"/>
  <c r="AN220" i="5"/>
  <c r="AO220" i="5"/>
  <c r="AO453" i="5"/>
  <c r="AN453" i="5"/>
  <c r="AN442" i="5"/>
  <c r="AO442" i="5"/>
  <c r="AN138" i="5"/>
  <c r="AO138" i="5"/>
  <c r="AO500" i="5"/>
  <c r="AN500" i="5"/>
  <c r="AO495" i="5"/>
  <c r="AN495" i="5"/>
  <c r="AN294" i="5"/>
  <c r="AO294" i="5"/>
  <c r="AO310" i="5"/>
  <c r="AN310" i="5"/>
  <c r="AO477" i="5"/>
  <c r="AN477" i="5"/>
  <c r="AO137" i="5"/>
  <c r="AN137" i="5"/>
  <c r="AO173" i="5"/>
  <c r="AN173" i="5"/>
  <c r="AO401" i="5"/>
  <c r="AN401" i="5"/>
  <c r="AO49" i="5"/>
  <c r="AN49" i="5"/>
  <c r="AN150" i="5"/>
  <c r="AO150" i="5"/>
  <c r="AO59" i="5"/>
  <c r="AN59" i="5"/>
  <c r="AO347" i="5"/>
  <c r="AN347" i="5"/>
  <c r="AN227" i="5"/>
  <c r="AO227" i="5"/>
  <c r="AN458" i="5"/>
  <c r="AO458" i="5"/>
  <c r="AN480" i="5"/>
  <c r="AO480" i="5"/>
  <c r="AN428" i="5"/>
  <c r="AO428" i="5"/>
  <c r="AN476" i="5"/>
  <c r="AO476" i="5"/>
  <c r="AN361" i="5"/>
  <c r="AO361" i="5"/>
  <c r="AN270" i="5"/>
  <c r="AO270" i="5"/>
  <c r="AN250" i="5"/>
  <c r="AO250" i="5"/>
  <c r="AN207" i="5"/>
  <c r="AO207" i="5"/>
  <c r="AN254" i="5"/>
  <c r="AO254" i="5"/>
  <c r="AO553" i="5"/>
  <c r="AN553" i="5"/>
  <c r="AN25" i="5"/>
  <c r="AO25" i="5"/>
  <c r="AN231" i="5"/>
  <c r="AO231" i="5"/>
  <c r="AO371" i="5"/>
  <c r="AN371" i="5"/>
  <c r="AO172" i="5"/>
  <c r="AN172" i="5"/>
  <c r="AN214" i="5"/>
  <c r="AO214" i="5"/>
  <c r="AO128" i="5"/>
  <c r="AN128" i="5"/>
  <c r="AN141" i="5"/>
  <c r="AO141" i="5"/>
  <c r="AN550" i="5"/>
  <c r="AO550" i="5"/>
  <c r="AN314" i="5"/>
  <c r="AO314" i="5"/>
  <c r="AN79" i="5"/>
  <c r="AO79" i="5"/>
  <c r="AO378" i="5"/>
  <c r="AN378" i="5"/>
  <c r="AO490" i="5"/>
  <c r="AN490" i="5"/>
  <c r="AO385" i="5"/>
  <c r="AN385" i="5"/>
  <c r="AO406" i="5"/>
  <c r="AN406" i="5"/>
  <c r="AN118" i="5"/>
  <c r="AO118" i="5"/>
  <c r="AO521" i="5"/>
  <c r="AN521" i="5"/>
  <c r="AO531" i="5"/>
  <c r="AN531" i="5"/>
  <c r="AO483" i="5"/>
  <c r="AN483" i="5"/>
  <c r="AO132" i="5"/>
  <c r="AN132" i="5"/>
  <c r="AO211" i="5"/>
  <c r="AN211" i="5"/>
  <c r="AN478" i="5"/>
  <c r="AO478" i="5"/>
  <c r="AO63" i="5"/>
  <c r="AN63" i="5"/>
  <c r="AN351" i="5"/>
  <c r="AO351" i="5"/>
  <c r="AN246" i="5"/>
  <c r="AO246" i="5"/>
  <c r="AN409" i="5"/>
  <c r="AO409" i="5"/>
  <c r="AO390" i="5"/>
  <c r="AN390" i="5"/>
  <c r="AO391" i="5"/>
  <c r="AN391" i="5"/>
  <c r="AO345" i="5"/>
  <c r="AN345" i="5"/>
  <c r="AN272" i="5"/>
  <c r="AO272" i="5"/>
  <c r="AO87" i="5"/>
  <c r="AN87" i="5"/>
  <c r="AN525" i="5"/>
  <c r="AO525" i="5"/>
  <c r="AO514" i="5"/>
  <c r="AN514" i="5"/>
  <c r="AO21" i="5"/>
  <c r="AN21" i="5"/>
  <c r="AO489" i="5"/>
  <c r="AN489" i="5"/>
  <c r="AO424" i="5"/>
  <c r="AN424" i="5"/>
  <c r="AN157" i="5"/>
  <c r="AO157" i="5"/>
  <c r="AN257" i="5"/>
  <c r="AO257" i="5"/>
  <c r="AO175" i="5"/>
  <c r="AN175" i="5"/>
  <c r="AO417" i="5"/>
  <c r="AN417" i="5"/>
  <c r="AH264" i="5"/>
  <c r="AI264" i="5"/>
  <c r="AI513" i="5"/>
  <c r="AH513" i="5"/>
  <c r="AI524" i="5"/>
  <c r="AH524" i="5"/>
  <c r="AI194" i="5"/>
  <c r="AH194" i="5"/>
  <c r="AI546" i="5"/>
  <c r="AH546" i="5"/>
  <c r="AI460" i="5"/>
  <c r="AH460" i="5"/>
  <c r="AH375" i="5"/>
  <c r="AI375" i="5"/>
  <c r="AH484" i="5"/>
  <c r="AI484" i="5"/>
  <c r="AH401" i="5"/>
  <c r="AI401" i="5"/>
  <c r="AI229" i="5"/>
  <c r="AH229" i="5"/>
  <c r="AH536" i="5"/>
  <c r="AI536" i="5"/>
  <c r="AI280" i="5"/>
  <c r="AH280" i="5"/>
  <c r="AH384" i="5"/>
  <c r="AI384" i="5"/>
  <c r="AH328" i="5"/>
  <c r="AI328" i="5"/>
  <c r="AI254" i="5"/>
  <c r="AH254" i="5"/>
  <c r="AI248" i="5"/>
  <c r="AH248" i="5"/>
  <c r="AH368" i="5"/>
  <c r="AI368" i="5"/>
  <c r="AI427" i="5"/>
  <c r="AH427" i="5"/>
  <c r="AH409" i="5"/>
  <c r="AI409" i="5"/>
  <c r="AH204" i="5"/>
  <c r="AI204" i="5"/>
  <c r="AI113" i="5"/>
  <c r="AH113" i="5"/>
  <c r="AH558" i="5"/>
  <c r="AI558" i="5"/>
  <c r="AI308" i="5"/>
  <c r="AH308" i="5"/>
  <c r="AI28" i="5"/>
  <c r="AH28" i="5"/>
  <c r="AI342" i="5"/>
  <c r="AH342" i="5"/>
  <c r="AI225" i="5"/>
  <c r="AH225" i="5"/>
  <c r="AI56" i="5"/>
  <c r="AH56" i="5"/>
  <c r="AI77" i="5"/>
  <c r="AH77" i="5"/>
  <c r="AI250" i="5"/>
  <c r="AH250" i="5"/>
  <c r="AH91" i="5"/>
  <c r="AI91" i="5"/>
  <c r="AH161" i="5"/>
  <c r="AI161" i="5"/>
  <c r="AH125" i="5"/>
  <c r="AI125" i="5"/>
  <c r="AH7" i="5"/>
  <c r="AI7" i="5"/>
  <c r="AI413" i="5"/>
  <c r="AH413" i="5"/>
  <c r="AH356" i="5"/>
  <c r="AI356" i="5"/>
  <c r="AI316" i="5"/>
  <c r="AH316" i="5"/>
  <c r="AH347" i="5"/>
  <c r="AI347" i="5"/>
  <c r="AI255" i="5"/>
  <c r="AH255" i="5"/>
  <c r="AH327" i="5"/>
  <c r="AI327" i="5"/>
  <c r="AH242" i="5"/>
  <c r="AI242" i="5"/>
  <c r="AI57" i="5"/>
  <c r="AH57" i="5"/>
  <c r="AH523" i="5"/>
  <c r="AI523" i="5"/>
  <c r="AI294" i="5"/>
  <c r="AH294" i="5"/>
  <c r="AH381" i="5"/>
  <c r="AI381" i="5"/>
  <c r="AH102" i="5"/>
  <c r="AI102" i="5"/>
  <c r="AI123" i="5"/>
  <c r="AH123" i="5"/>
  <c r="AH300" i="5"/>
  <c r="AI300" i="5"/>
  <c r="AH320" i="5"/>
  <c r="AI320" i="5"/>
  <c r="AI392" i="5"/>
  <c r="AH392" i="5"/>
  <c r="AI337" i="5"/>
  <c r="AH337" i="5"/>
  <c r="AH60" i="5"/>
  <c r="AI60" i="5"/>
  <c r="AI429" i="5"/>
  <c r="AH429" i="5"/>
  <c r="AH37" i="5"/>
  <c r="AI37" i="5"/>
  <c r="AH553" i="5"/>
  <c r="AI553" i="5"/>
  <c r="AI457" i="5"/>
  <c r="AH457" i="5"/>
  <c r="AH543" i="5"/>
  <c r="AI543" i="5"/>
  <c r="AI314" i="5"/>
  <c r="AH314" i="5"/>
  <c r="AH430" i="5"/>
  <c r="AI430" i="5"/>
  <c r="AH45" i="5"/>
  <c r="AI45" i="5"/>
  <c r="AI410" i="5"/>
  <c r="AH410" i="5"/>
  <c r="AH495" i="5"/>
  <c r="AI495" i="5"/>
  <c r="AH494" i="5"/>
  <c r="AI494" i="5"/>
  <c r="AI422" i="5"/>
  <c r="AH422" i="5"/>
  <c r="AI61" i="5"/>
  <c r="AH61" i="5"/>
  <c r="AH540" i="5"/>
  <c r="AI540" i="5"/>
  <c r="AH120" i="5"/>
  <c r="AI120" i="5"/>
  <c r="AI33" i="5"/>
  <c r="AH33" i="5"/>
  <c r="AH396" i="5"/>
  <c r="AI396" i="5"/>
  <c r="AI262" i="5"/>
  <c r="AH262" i="5"/>
  <c r="AI55" i="5"/>
  <c r="AH55" i="5"/>
  <c r="AI527" i="5"/>
  <c r="AH527" i="5"/>
  <c r="AI271" i="5"/>
  <c r="AH271" i="5"/>
  <c r="AH366" i="5"/>
  <c r="AI366" i="5"/>
  <c r="AI334" i="5"/>
  <c r="AH334" i="5"/>
  <c r="AH188" i="5"/>
  <c r="AI188" i="5"/>
  <c r="AH12" i="5"/>
  <c r="AI12" i="5"/>
  <c r="AH79" i="5"/>
  <c r="AI79" i="5"/>
  <c r="AH107" i="5"/>
  <c r="AI107" i="5"/>
  <c r="AI349" i="5"/>
  <c r="AH349" i="5"/>
  <c r="AH171" i="5"/>
  <c r="AI171" i="5"/>
  <c r="AH329" i="5"/>
  <c r="AI329" i="5"/>
  <c r="AI505" i="5"/>
  <c r="AH505" i="5"/>
  <c r="AI258" i="5"/>
  <c r="AH258" i="5"/>
  <c r="AH322" i="5"/>
  <c r="AI322" i="5"/>
  <c r="AI530" i="5"/>
  <c r="AH530" i="5"/>
  <c r="AI154" i="5"/>
  <c r="AH154" i="5"/>
  <c r="AI276" i="5"/>
  <c r="AH276" i="5"/>
  <c r="AI340" i="5"/>
  <c r="AH340" i="5"/>
  <c r="AI76" i="5"/>
  <c r="AH76" i="5"/>
  <c r="AI395" i="5"/>
  <c r="AH395" i="5"/>
  <c r="AI514" i="5"/>
  <c r="AH514" i="5"/>
  <c r="AH369" i="5"/>
  <c r="AI369" i="5"/>
  <c r="AH25" i="5"/>
  <c r="AI25" i="5"/>
  <c r="AH491" i="5"/>
  <c r="AI491" i="5"/>
  <c r="AH353" i="5"/>
  <c r="AI353" i="5"/>
  <c r="AH531" i="5"/>
  <c r="AI531" i="5"/>
  <c r="AH115" i="5"/>
  <c r="AI115" i="5"/>
  <c r="AI93" i="5"/>
  <c r="AH93" i="5"/>
  <c r="AH552" i="5"/>
  <c r="AI552" i="5"/>
  <c r="AI345" i="5"/>
  <c r="AH345" i="5"/>
  <c r="AI111" i="5"/>
  <c r="AH111" i="5"/>
  <c r="AI503" i="5"/>
  <c r="AH503" i="5"/>
  <c r="AH295" i="5"/>
  <c r="AI295" i="5"/>
  <c r="AH211" i="5"/>
  <c r="AI211" i="5"/>
  <c r="AH97" i="5"/>
  <c r="AI97" i="5"/>
  <c r="AH325" i="5"/>
  <c r="AI325" i="5"/>
  <c r="AI390" i="5"/>
  <c r="AH390" i="5"/>
  <c r="AH436" i="5"/>
  <c r="AI436" i="5"/>
  <c r="AH547" i="5"/>
  <c r="AI547" i="5"/>
  <c r="AI75" i="5"/>
  <c r="AH75" i="5"/>
  <c r="AI142" i="5"/>
  <c r="AH142" i="5"/>
  <c r="AH47" i="5"/>
  <c r="AI47" i="5"/>
  <c r="AH205" i="5"/>
  <c r="AI205" i="5"/>
  <c r="AI542" i="5"/>
  <c r="AH542" i="5"/>
  <c r="AI73" i="5"/>
  <c r="AH73" i="5"/>
  <c r="AI555" i="5"/>
  <c r="AH555" i="5"/>
  <c r="AH348" i="5"/>
  <c r="AI348" i="5"/>
  <c r="AH144" i="5"/>
  <c r="AI144" i="5"/>
  <c r="AI441" i="5"/>
  <c r="AH441" i="5"/>
  <c r="AI71" i="5"/>
  <c r="AH71" i="5"/>
  <c r="AI46" i="5"/>
  <c r="AH46" i="5"/>
  <c r="AH383" i="5"/>
  <c r="AI383" i="5"/>
  <c r="AH266" i="5"/>
  <c r="AI266" i="5"/>
  <c r="AI360" i="5"/>
  <c r="AH360" i="5"/>
  <c r="AI219" i="5"/>
  <c r="AH219" i="5"/>
  <c r="AH377" i="5"/>
  <c r="AI377" i="5"/>
  <c r="AH22" i="5"/>
  <c r="AI22" i="5"/>
  <c r="AH170" i="5"/>
  <c r="AI170" i="5"/>
  <c r="AH94" i="5"/>
  <c r="AI94" i="5"/>
  <c r="AI89" i="5"/>
  <c r="AH89" i="5"/>
  <c r="AI84" i="5"/>
  <c r="AH84" i="5"/>
  <c r="AH29" i="5"/>
  <c r="AI29" i="5"/>
  <c r="AI165" i="5"/>
  <c r="AH165" i="5"/>
  <c r="AH463" i="5"/>
  <c r="AI463" i="5"/>
  <c r="AH324" i="5"/>
  <c r="AI324" i="5"/>
  <c r="AI181" i="5"/>
  <c r="AH181" i="5"/>
  <c r="AH12" i="4"/>
  <c r="AE12" i="4"/>
  <c r="Z12" i="4"/>
  <c r="X12" i="4" s="1"/>
  <c r="AJ12" i="4" s="1"/>
  <c r="AH71" i="4"/>
  <c r="Z71" i="4"/>
  <c r="AE71" i="4"/>
  <c r="AE49" i="4"/>
  <c r="Z49" i="4"/>
  <c r="X49" i="4" s="1"/>
  <c r="AJ49" i="4" s="1"/>
  <c r="AH49" i="4"/>
  <c r="Z157" i="4"/>
  <c r="AH157" i="4"/>
  <c r="AE157" i="4"/>
  <c r="AA157" i="4"/>
  <c r="AH155" i="4"/>
  <c r="AE155" i="4"/>
  <c r="AH73" i="4"/>
  <c r="AE73" i="4"/>
  <c r="Z73" i="4"/>
  <c r="X73" i="4" s="1"/>
  <c r="AH152" i="4"/>
  <c r="AJ152" i="4"/>
  <c r="AE152" i="4"/>
  <c r="AE124" i="4"/>
  <c r="AH124" i="4"/>
  <c r="AH26" i="4"/>
  <c r="AE26" i="4"/>
  <c r="Z26" i="4"/>
  <c r="X26" i="4" s="1"/>
  <c r="AE110" i="4"/>
  <c r="AH110" i="4"/>
  <c r="AH123" i="4"/>
  <c r="Z123" i="4"/>
  <c r="AE123" i="4"/>
  <c r="AE60" i="4"/>
  <c r="AH60" i="4"/>
  <c r="AE58" i="4"/>
  <c r="AH58" i="4"/>
  <c r="Z58" i="4"/>
  <c r="AE153" i="4"/>
  <c r="AA153" i="4"/>
  <c r="Z153" i="4"/>
  <c r="AH153" i="4"/>
  <c r="AJ149" i="4"/>
  <c r="AE149" i="4"/>
  <c r="AH149" i="4"/>
  <c r="AH66" i="4"/>
  <c r="AE66" i="4"/>
  <c r="AH23" i="4"/>
  <c r="AE23" i="4"/>
  <c r="Z23" i="4"/>
  <c r="X23" i="4" s="1"/>
  <c r="AJ23" i="4" s="1"/>
  <c r="AE112" i="4"/>
  <c r="AH112" i="4"/>
  <c r="AH131" i="4"/>
  <c r="AE131" i="4"/>
  <c r="Z131" i="4"/>
  <c r="AA131" i="4"/>
  <c r="AE36" i="4"/>
  <c r="Z36" i="4"/>
  <c r="AH36" i="4"/>
  <c r="AH14" i="4"/>
  <c r="AE14" i="4"/>
  <c r="Z14" i="4"/>
  <c r="X14" i="4" s="1"/>
  <c r="AJ14" i="4" s="1"/>
  <c r="AE42" i="4"/>
  <c r="AH42" i="4"/>
  <c r="Z42" i="4"/>
  <c r="AE32" i="4"/>
  <c r="Z32" i="4"/>
  <c r="X32" i="4" s="1"/>
  <c r="AH32" i="4"/>
  <c r="AE72" i="4"/>
  <c r="AH72" i="4"/>
  <c r="Z72" i="4"/>
  <c r="X72" i="4" s="1"/>
  <c r="AH116" i="4"/>
  <c r="AE116" i="4"/>
  <c r="AQ128" i="5"/>
  <c r="AR128" i="5"/>
  <c r="BI128" i="5"/>
  <c r="AR140" i="5"/>
  <c r="AQ140" i="5"/>
  <c r="BI140" i="5"/>
  <c r="AP267" i="5"/>
  <c r="AQ231" i="5"/>
  <c r="BI231" i="5"/>
  <c r="AR231" i="5"/>
  <c r="AQ212" i="5"/>
  <c r="AR212" i="5"/>
  <c r="BI212" i="5"/>
  <c r="AR486" i="5"/>
  <c r="AQ486" i="5"/>
  <c r="BI486" i="5"/>
  <c r="AQ295" i="5"/>
  <c r="AR295" i="5"/>
  <c r="BI295" i="5"/>
  <c r="BI257" i="5"/>
  <c r="AR257" i="5"/>
  <c r="AQ257" i="5"/>
  <c r="AR203" i="5"/>
  <c r="BI203" i="5"/>
  <c r="AQ203" i="5"/>
  <c r="AQ451" i="5"/>
  <c r="AR451" i="5"/>
  <c r="BI451" i="5"/>
  <c r="AR370" i="5"/>
  <c r="BI370" i="5"/>
  <c r="AQ370" i="5"/>
  <c r="AQ548" i="5"/>
  <c r="BI548" i="5"/>
  <c r="AR548" i="5"/>
  <c r="AR100" i="5"/>
  <c r="AQ100" i="5"/>
  <c r="BI100" i="5"/>
  <c r="BI234" i="5"/>
  <c r="AR234" i="5"/>
  <c r="AQ234" i="5"/>
  <c r="BI153" i="5"/>
  <c r="AR153" i="5"/>
  <c r="AQ153" i="5"/>
  <c r="AR189" i="5"/>
  <c r="BI189" i="5"/>
  <c r="AQ189" i="5"/>
  <c r="AQ146" i="5"/>
  <c r="AR146" i="5"/>
  <c r="BI146" i="5"/>
  <c r="BI98" i="5"/>
  <c r="AR98" i="5"/>
  <c r="AQ98" i="5"/>
  <c r="AP148" i="5"/>
  <c r="AQ440" i="5"/>
  <c r="BI440" i="5"/>
  <c r="AR440" i="5"/>
  <c r="AQ321" i="5"/>
  <c r="BI321" i="5"/>
  <c r="AR321" i="5"/>
  <c r="AQ461" i="5"/>
  <c r="BI461" i="5"/>
  <c r="AR461" i="5"/>
  <c r="AP452" i="5"/>
  <c r="AP33" i="5"/>
  <c r="AP497" i="5"/>
  <c r="AP9" i="5"/>
  <c r="AH67" i="4"/>
  <c r="AE67" i="4"/>
  <c r="AH31" i="4"/>
  <c r="Z31" i="4"/>
  <c r="X31" i="4" s="1"/>
  <c r="AE31" i="4"/>
  <c r="AA145" i="4"/>
  <c r="AH145" i="4"/>
  <c r="Z145" i="4"/>
  <c r="AE145" i="4"/>
  <c r="AE93" i="4"/>
  <c r="AH93" i="4"/>
  <c r="AH59" i="4"/>
  <c r="AE59" i="4"/>
  <c r="AE94" i="4"/>
  <c r="AH94" i="4"/>
  <c r="AH121" i="4"/>
  <c r="AE121" i="4"/>
  <c r="AA126" i="4"/>
  <c r="AE126" i="4"/>
  <c r="Z126" i="4"/>
  <c r="AH126" i="4"/>
  <c r="AE74" i="4"/>
  <c r="AH74" i="4"/>
  <c r="AE83" i="4"/>
  <c r="Z83" i="4"/>
  <c r="X83" i="4" s="1"/>
  <c r="AH83" i="4"/>
  <c r="AH79" i="4"/>
  <c r="AE79" i="4"/>
  <c r="AX9" i="5"/>
  <c r="AY9" i="5"/>
  <c r="AO560" i="5"/>
  <c r="AN560" i="5"/>
  <c r="AO451" i="5"/>
  <c r="AN451" i="5"/>
  <c r="AN274" i="5"/>
  <c r="AO274" i="5"/>
  <c r="AO190" i="5"/>
  <c r="AN190" i="5"/>
  <c r="AO377" i="5"/>
  <c r="AN377" i="5"/>
  <c r="AO308" i="5"/>
  <c r="AN308" i="5"/>
  <c r="AN222" i="5"/>
  <c r="AO222" i="5"/>
  <c r="AO412" i="5"/>
  <c r="AN412" i="5"/>
  <c r="AO375" i="5"/>
  <c r="AN375" i="5"/>
  <c r="AN494" i="5"/>
  <c r="AO494" i="5"/>
  <c r="AO140" i="5"/>
  <c r="AN140" i="5"/>
  <c r="AO329" i="5"/>
  <c r="AN329" i="5"/>
  <c r="AO241" i="5"/>
  <c r="AN241" i="5"/>
  <c r="AO474" i="5"/>
  <c r="AN474" i="5"/>
  <c r="AO38" i="5"/>
  <c r="AN38" i="5"/>
  <c r="AN28" i="5"/>
  <c r="AO28" i="5"/>
  <c r="AN295" i="5"/>
  <c r="AO295" i="5"/>
  <c r="AO450" i="5"/>
  <c r="AN450" i="5"/>
  <c r="AO193" i="5"/>
  <c r="AN193" i="5"/>
  <c r="AN275" i="5"/>
  <c r="AO275" i="5"/>
  <c r="AN160" i="5"/>
  <c r="AO160" i="5"/>
  <c r="AO353" i="5"/>
  <c r="AN353" i="5"/>
  <c r="AN178" i="5"/>
  <c r="AO178" i="5"/>
  <c r="AO454" i="5"/>
  <c r="AN454" i="5"/>
  <c r="AO432" i="5"/>
  <c r="AN432" i="5"/>
  <c r="AN153" i="5"/>
  <c r="AO153" i="5"/>
  <c r="AO225" i="5"/>
  <c r="AN225" i="5"/>
  <c r="AN189" i="5"/>
  <c r="AO189" i="5"/>
  <c r="AO535" i="5"/>
  <c r="AN535" i="5"/>
  <c r="AN438" i="5"/>
  <c r="AO438" i="5"/>
  <c r="AO358" i="5"/>
  <c r="AN358" i="5"/>
  <c r="AO515" i="5"/>
  <c r="AN515" i="5"/>
  <c r="AN413" i="5"/>
  <c r="AO413" i="5"/>
  <c r="AO244" i="5"/>
  <c r="AN244" i="5"/>
  <c r="AN196" i="5"/>
  <c r="AO196" i="5"/>
  <c r="AN170" i="5"/>
  <c r="AO170" i="5"/>
  <c r="AO108" i="5"/>
  <c r="AN108" i="5"/>
  <c r="AO144" i="5"/>
  <c r="AN144" i="5"/>
  <c r="AO325" i="5"/>
  <c r="AN325" i="5"/>
  <c r="AO536" i="5"/>
  <c r="AN536" i="5"/>
  <c r="AN107" i="5"/>
  <c r="AO107" i="5"/>
  <c r="AO383" i="5"/>
  <c r="AN383" i="5"/>
  <c r="AO387" i="5"/>
  <c r="AN387" i="5"/>
  <c r="AN327" i="5"/>
  <c r="AO327" i="5"/>
  <c r="AN105" i="5"/>
  <c r="AO105" i="5"/>
  <c r="AO26" i="5"/>
  <c r="AN26" i="5"/>
  <c r="AN517" i="5"/>
  <c r="AO517" i="5"/>
  <c r="AO236" i="5"/>
  <c r="AN236" i="5"/>
  <c r="AO548" i="5"/>
  <c r="AN548" i="5"/>
  <c r="AN81" i="5"/>
  <c r="AO81" i="5"/>
  <c r="AN39" i="5"/>
  <c r="AO39" i="5"/>
  <c r="AO243" i="5"/>
  <c r="AN243" i="5"/>
  <c r="AO287" i="5"/>
  <c r="AN287" i="5"/>
  <c r="AN348" i="5"/>
  <c r="AO348" i="5"/>
  <c r="AO194" i="5"/>
  <c r="AN194" i="5"/>
  <c r="AO459" i="5"/>
  <c r="AN459" i="5"/>
  <c r="AO337" i="5"/>
  <c r="AN337" i="5"/>
  <c r="AO366" i="5"/>
  <c r="AN366" i="5"/>
  <c r="AN354" i="5"/>
  <c r="AO354" i="5"/>
  <c r="AO426" i="5"/>
  <c r="AN426" i="5"/>
  <c r="AO82" i="5"/>
  <c r="AN82" i="5"/>
  <c r="AO42" i="5"/>
  <c r="AN42" i="5"/>
  <c r="AO120" i="5"/>
  <c r="AN120" i="5"/>
  <c r="AN230" i="5"/>
  <c r="AO230" i="5"/>
  <c r="AO469" i="5"/>
  <c r="AN469" i="5"/>
  <c r="AO309" i="5"/>
  <c r="AN309" i="5"/>
  <c r="AO292" i="5"/>
  <c r="AN292" i="5"/>
  <c r="AN382" i="5"/>
  <c r="AO382" i="5"/>
  <c r="AO27" i="5"/>
  <c r="AN27" i="5"/>
  <c r="AO163" i="5"/>
  <c r="AN163" i="5"/>
  <c r="AO389" i="5"/>
  <c r="AN389" i="5"/>
  <c r="AN356" i="5"/>
  <c r="AO356" i="5"/>
  <c r="AN115" i="5"/>
  <c r="AO115" i="5"/>
  <c r="AN559" i="5"/>
  <c r="AO559" i="5"/>
  <c r="AN229" i="5"/>
  <c r="AO229" i="5"/>
  <c r="AO461" i="5"/>
  <c r="AN461" i="5"/>
  <c r="AN45" i="5"/>
  <c r="AO45" i="5"/>
  <c r="AN113" i="5"/>
  <c r="AO113" i="5"/>
  <c r="AO403" i="5"/>
  <c r="AN403" i="5"/>
  <c r="AN496" i="5"/>
  <c r="AO496" i="5"/>
  <c r="AO399" i="5"/>
  <c r="AN399" i="5"/>
  <c r="AO234" i="5"/>
  <c r="AN234" i="5"/>
  <c r="AO472" i="5"/>
  <c r="AN472" i="5"/>
  <c r="AN44" i="5"/>
  <c r="AO44" i="5"/>
  <c r="AN367" i="5"/>
  <c r="AO367" i="5"/>
  <c r="AN506" i="5"/>
  <c r="AO506" i="5"/>
  <c r="AN208" i="5"/>
  <c r="AO208" i="5"/>
  <c r="AN465" i="5"/>
  <c r="AO465" i="5"/>
  <c r="AO511" i="5"/>
  <c r="AN511" i="5"/>
  <c r="AO256" i="5"/>
  <c r="AN256" i="5"/>
  <c r="AN197" i="5"/>
  <c r="AO197" i="5"/>
  <c r="AO122" i="5"/>
  <c r="AN122" i="5"/>
  <c r="AN436" i="5"/>
  <c r="AO436" i="5"/>
  <c r="AO167" i="5"/>
  <c r="AN167" i="5"/>
  <c r="AN76" i="5"/>
  <c r="AO76" i="5"/>
  <c r="AO341" i="5"/>
  <c r="AN341" i="5"/>
  <c r="AN86" i="5"/>
  <c r="AO86" i="5"/>
  <c r="AO210" i="5"/>
  <c r="AN210" i="5"/>
  <c r="AN305" i="5"/>
  <c r="AO305" i="5"/>
  <c r="AO57" i="5"/>
  <c r="AN57" i="5"/>
  <c r="AN83" i="5"/>
  <c r="AO83" i="5"/>
  <c r="AO268" i="5"/>
  <c r="AN268" i="5"/>
  <c r="AO117" i="5"/>
  <c r="AN117" i="5"/>
  <c r="AN156" i="5"/>
  <c r="AO156" i="5"/>
  <c r="AN285" i="5"/>
  <c r="AO285" i="5"/>
  <c r="AN414" i="5"/>
  <c r="AO414" i="5"/>
  <c r="AO518" i="5"/>
  <c r="AN518" i="5"/>
  <c r="AN74" i="5"/>
  <c r="AO74" i="5"/>
  <c r="AN443" i="5"/>
  <c r="AO443" i="5"/>
  <c r="AN242" i="5"/>
  <c r="AO242" i="5"/>
  <c r="AO507" i="5"/>
  <c r="AN507" i="5"/>
  <c r="AO71" i="5"/>
  <c r="AN71" i="5"/>
  <c r="AN282" i="5"/>
  <c r="AO282" i="5"/>
  <c r="AO201" i="5"/>
  <c r="AN201" i="5"/>
  <c r="AN445" i="5"/>
  <c r="AO445" i="5"/>
  <c r="AN277" i="5"/>
  <c r="AO277" i="5"/>
  <c r="AN133" i="5"/>
  <c r="AO133" i="5"/>
  <c r="AO31" i="5"/>
  <c r="AN31" i="5"/>
  <c r="AO171" i="5"/>
  <c r="AN171" i="5"/>
  <c r="AN48" i="5"/>
  <c r="AO48" i="5"/>
  <c r="AN539" i="5"/>
  <c r="AO539" i="5"/>
  <c r="AO224" i="5"/>
  <c r="AN224" i="5"/>
  <c r="AN124" i="5"/>
  <c r="AO124" i="5"/>
  <c r="AN374" i="5"/>
  <c r="AO374" i="5"/>
  <c r="AO380" i="5"/>
  <c r="AN380" i="5"/>
  <c r="AO182" i="5"/>
  <c r="AN182" i="5"/>
  <c r="AN418" i="5"/>
  <c r="AO418" i="5"/>
  <c r="AN226" i="5"/>
  <c r="AO226" i="5"/>
  <c r="AO376" i="5"/>
  <c r="AN376" i="5"/>
  <c r="AN288" i="5"/>
  <c r="AO288" i="5"/>
  <c r="AN546" i="5"/>
  <c r="AO546" i="5"/>
  <c r="AN322" i="5"/>
  <c r="AO322" i="5"/>
  <c r="AN429" i="5"/>
  <c r="AO429" i="5"/>
  <c r="AN139" i="5"/>
  <c r="AO139" i="5"/>
  <c r="AN373" i="5"/>
  <c r="AO373" i="5"/>
  <c r="AO467" i="5"/>
  <c r="AN467" i="5"/>
  <c r="AO430" i="5"/>
  <c r="AN430" i="5"/>
  <c r="AH216" i="5"/>
  <c r="AI216" i="5"/>
  <c r="AH424" i="5"/>
  <c r="AI424" i="5"/>
  <c r="AH51" i="5"/>
  <c r="AI51" i="5"/>
  <c r="AH286" i="5"/>
  <c r="AI286" i="5"/>
  <c r="AI417" i="5"/>
  <c r="AH417" i="5"/>
  <c r="AI421" i="5"/>
  <c r="AH421" i="5"/>
  <c r="AH414" i="5"/>
  <c r="AI414" i="5"/>
  <c r="AH550" i="5"/>
  <c r="AI550" i="5"/>
  <c r="AI464" i="5"/>
  <c r="AH464" i="5"/>
  <c r="AH406" i="5"/>
  <c r="AI406" i="5"/>
  <c r="AH198" i="5"/>
  <c r="AI198" i="5"/>
  <c r="AI31" i="5"/>
  <c r="AH31" i="5"/>
  <c r="AH74" i="5"/>
  <c r="AI74" i="5"/>
  <c r="AI549" i="5"/>
  <c r="AH549" i="5"/>
  <c r="AI385" i="5"/>
  <c r="AH385" i="5"/>
  <c r="AI23" i="5"/>
  <c r="AH23" i="5"/>
  <c r="AI265" i="5"/>
  <c r="AH265" i="5"/>
  <c r="AH296" i="5"/>
  <c r="AI296" i="5"/>
  <c r="AH548" i="5"/>
  <c r="AI548" i="5"/>
  <c r="AH358" i="5"/>
  <c r="AI358" i="5"/>
  <c r="AH212" i="5"/>
  <c r="AI212" i="5"/>
  <c r="AI103" i="5"/>
  <c r="AH103" i="5"/>
  <c r="AH268" i="5"/>
  <c r="AI268" i="5"/>
  <c r="AH152" i="5"/>
  <c r="AI152" i="5"/>
  <c r="AH518" i="5"/>
  <c r="AI518" i="5"/>
  <c r="AI178" i="5"/>
  <c r="AH178" i="5"/>
  <c r="AH78" i="5"/>
  <c r="AI78" i="5"/>
  <c r="AI291" i="5"/>
  <c r="AH291" i="5"/>
  <c r="AH389" i="5"/>
  <c r="AI389" i="5"/>
  <c r="AH69" i="5"/>
  <c r="AI69" i="5"/>
  <c r="AH283" i="5"/>
  <c r="AI283" i="5"/>
  <c r="AI50" i="5"/>
  <c r="AH50" i="5"/>
  <c r="AI174" i="5"/>
  <c r="AH174" i="5"/>
  <c r="AH146" i="5"/>
  <c r="AI146" i="5"/>
  <c r="AI499" i="5"/>
  <c r="AH499" i="5"/>
  <c r="AI382" i="5"/>
  <c r="AH382" i="5"/>
  <c r="AI63" i="5"/>
  <c r="AH63" i="5"/>
  <c r="AH319" i="5"/>
  <c r="AI319" i="5"/>
  <c r="AI59" i="5"/>
  <c r="AH59" i="5"/>
  <c r="AH10" i="5"/>
  <c r="AI10" i="5"/>
  <c r="AI253" i="5"/>
  <c r="AH253" i="5"/>
  <c r="AI317" i="5"/>
  <c r="AH317" i="5"/>
  <c r="AI462" i="5"/>
  <c r="AH462" i="5"/>
  <c r="AI425" i="5"/>
  <c r="AH425" i="5"/>
  <c r="AI87" i="5"/>
  <c r="AH87" i="5"/>
  <c r="AI447" i="5"/>
  <c r="AH447" i="5"/>
  <c r="AI21" i="5"/>
  <c r="AH21" i="5"/>
  <c r="AH493" i="5"/>
  <c r="AI493" i="5"/>
  <c r="AH519" i="5"/>
  <c r="AI519" i="5"/>
  <c r="AI43" i="5"/>
  <c r="AH43" i="5"/>
  <c r="AH36" i="5"/>
  <c r="AI36" i="5"/>
  <c r="AI239" i="5"/>
  <c r="AH239" i="5"/>
  <c r="AI233" i="5"/>
  <c r="AH233" i="5"/>
  <c r="AH405" i="5"/>
  <c r="AI405" i="5"/>
  <c r="AH48" i="5"/>
  <c r="AI48" i="5"/>
  <c r="AH136" i="5"/>
  <c r="AI136" i="5"/>
  <c r="AH208" i="5"/>
  <c r="AI208" i="5"/>
  <c r="AH82" i="5"/>
  <c r="AI82" i="5"/>
  <c r="AH354" i="5"/>
  <c r="AI354" i="5"/>
  <c r="AH259" i="5"/>
  <c r="AI259" i="5"/>
  <c r="AH34" i="5"/>
  <c r="AI34" i="5"/>
  <c r="AH292" i="5"/>
  <c r="AI292" i="5"/>
  <c r="AH439" i="5"/>
  <c r="AI439" i="5"/>
  <c r="AH189" i="5"/>
  <c r="AI189" i="5"/>
  <c r="AI560" i="5"/>
  <c r="AH560" i="5"/>
  <c r="AI230" i="5"/>
  <c r="AH230" i="5"/>
  <c r="AH121" i="5"/>
  <c r="AI121" i="5"/>
  <c r="AH541" i="5"/>
  <c r="AI541" i="5"/>
  <c r="AI408" i="5"/>
  <c r="AH408" i="5"/>
  <c r="AH330" i="5"/>
  <c r="AI330" i="5"/>
  <c r="AH41" i="5"/>
  <c r="AI41" i="5"/>
  <c r="AI391" i="5"/>
  <c r="AH391" i="5"/>
  <c r="AH244" i="5"/>
  <c r="AI244" i="5"/>
  <c r="AI166" i="5"/>
  <c r="AH166" i="5"/>
  <c r="AI282" i="5"/>
  <c r="AH282" i="5"/>
  <c r="AI100" i="5"/>
  <c r="AH100" i="5"/>
  <c r="AI221" i="5"/>
  <c r="AH221" i="5"/>
  <c r="AH433" i="5"/>
  <c r="AI433" i="5"/>
  <c r="AI273" i="5"/>
  <c r="AH273" i="5"/>
  <c r="AH278" i="5"/>
  <c r="AI278" i="5"/>
  <c r="AI177" i="5"/>
  <c r="AH177" i="5"/>
  <c r="AI285" i="5"/>
  <c r="AH285" i="5"/>
  <c r="AI465" i="5"/>
  <c r="AH465" i="5"/>
  <c r="AH306" i="5"/>
  <c r="AI306" i="5"/>
  <c r="AI372" i="5"/>
  <c r="AH372" i="5"/>
  <c r="AI399" i="5"/>
  <c r="AH399" i="5"/>
  <c r="AH318" i="5"/>
  <c r="AI318" i="5"/>
  <c r="AH106" i="5"/>
  <c r="AI106" i="5"/>
  <c r="AH478" i="5"/>
  <c r="AI478" i="5"/>
  <c r="AH466" i="5"/>
  <c r="AI466" i="5"/>
  <c r="AH434" i="5"/>
  <c r="AI434" i="5"/>
  <c r="AH556" i="5"/>
  <c r="AI556" i="5"/>
  <c r="AI394" i="5"/>
  <c r="AH394" i="5"/>
  <c r="AI235" i="5"/>
  <c r="AH235" i="5"/>
  <c r="AH445" i="5"/>
  <c r="AI445" i="5"/>
  <c r="AH476" i="5"/>
  <c r="AI476" i="5"/>
  <c r="AI80" i="5"/>
  <c r="AH80" i="5"/>
  <c r="AH498" i="5"/>
  <c r="AI498" i="5"/>
  <c r="AI105" i="5"/>
  <c r="AH105" i="5"/>
  <c r="AI241" i="5"/>
  <c r="AH241" i="5"/>
  <c r="AI131" i="5"/>
  <c r="AH131" i="5"/>
  <c r="AI42" i="5"/>
  <c r="AH42" i="5"/>
  <c r="AI412" i="5"/>
  <c r="AH412" i="5"/>
  <c r="AI303" i="5"/>
  <c r="AH303" i="5"/>
  <c r="AI453" i="5"/>
  <c r="AH453" i="5"/>
  <c r="AI365" i="5"/>
  <c r="AH365" i="5"/>
  <c r="AH336" i="5"/>
  <c r="AI336" i="5"/>
  <c r="AI437" i="5"/>
  <c r="AH437" i="5"/>
  <c r="AH224" i="5"/>
  <c r="AI224" i="5"/>
  <c r="AH187" i="5"/>
  <c r="AI187" i="5"/>
  <c r="AH361" i="5"/>
  <c r="AI361" i="5"/>
  <c r="AI290" i="5"/>
  <c r="AH290" i="5"/>
  <c r="AI467" i="5"/>
  <c r="AH467" i="5"/>
  <c r="AH504" i="5"/>
  <c r="AI504" i="5"/>
  <c r="AH521" i="5"/>
  <c r="AI521" i="5"/>
  <c r="AI344" i="5"/>
  <c r="AH344" i="5"/>
  <c r="AH407" i="5"/>
  <c r="AI407" i="5"/>
  <c r="AH506" i="5"/>
  <c r="AI506" i="5"/>
  <c r="AH331" i="5"/>
  <c r="AI331" i="5"/>
  <c r="AH81" i="5"/>
  <c r="AI81" i="5"/>
  <c r="AH510" i="5"/>
  <c r="AI510" i="5"/>
  <c r="AH364" i="5"/>
  <c r="AI364" i="5"/>
  <c r="AI269" i="5"/>
  <c r="AH269" i="5"/>
  <c r="AH143" i="5"/>
  <c r="AI143" i="5"/>
  <c r="AI355" i="5"/>
  <c r="AH355" i="5"/>
  <c r="AH66" i="5"/>
  <c r="AI66" i="5"/>
  <c r="AI378" i="5"/>
  <c r="AH378" i="5"/>
  <c r="AH321" i="5"/>
  <c r="AI321" i="5"/>
  <c r="AI483" i="5"/>
  <c r="AH483" i="5"/>
  <c r="AH274" i="5"/>
  <c r="AI274" i="5"/>
  <c r="AI213" i="5"/>
  <c r="AH213" i="5"/>
  <c r="AI298" i="5"/>
  <c r="AH298" i="5"/>
  <c r="AI192" i="5"/>
  <c r="AH192" i="5"/>
  <c r="AH164" i="5"/>
  <c r="AI164" i="5"/>
  <c r="AI158" i="5"/>
  <c r="AH158" i="5"/>
  <c r="AH367" i="5"/>
  <c r="AI367" i="5"/>
  <c r="AI393" i="5"/>
  <c r="AH393" i="5"/>
  <c r="AE101" i="4"/>
  <c r="AH101" i="4"/>
  <c r="AH7" i="4"/>
  <c r="AE7" i="4"/>
  <c r="Z7" i="4"/>
  <c r="X7" i="4" s="1"/>
  <c r="AJ7" i="4" s="1"/>
  <c r="AO9" i="5"/>
  <c r="AN9" i="5"/>
  <c r="AA9" i="5"/>
  <c r="AB9" i="5"/>
  <c r="U9" i="5"/>
  <c r="V9" i="5"/>
  <c r="AO78" i="5"/>
  <c r="AN78" i="5"/>
  <c r="AO551" i="5"/>
  <c r="AN551" i="5"/>
  <c r="AN251" i="5"/>
  <c r="AO251" i="5"/>
  <c r="AN104" i="5"/>
  <c r="AO104" i="5"/>
  <c r="AN355" i="5"/>
  <c r="AO355" i="5"/>
  <c r="AO162" i="5"/>
  <c r="AN162" i="5"/>
  <c r="AO200" i="5"/>
  <c r="AN200" i="5"/>
  <c r="AN30" i="5"/>
  <c r="AO30" i="5"/>
  <c r="AO62" i="5"/>
  <c r="AN62" i="5"/>
  <c r="AO41" i="5"/>
  <c r="AN41" i="5"/>
  <c r="AO452" i="5"/>
  <c r="AN452" i="5"/>
  <c r="AO265" i="5"/>
  <c r="AN265" i="5"/>
  <c r="AN143" i="5"/>
  <c r="AO143" i="5"/>
  <c r="AO72" i="5"/>
  <c r="AN72" i="5"/>
  <c r="AO164" i="5"/>
  <c r="AN164" i="5"/>
  <c r="AO152" i="5"/>
  <c r="AN152" i="5"/>
  <c r="AO312" i="5"/>
  <c r="AN312" i="5"/>
  <c r="AO448" i="5"/>
  <c r="AN448" i="5"/>
  <c r="AN479" i="5"/>
  <c r="AO479" i="5"/>
  <c r="AN276" i="5"/>
  <c r="AO276" i="5"/>
  <c r="AN425" i="5"/>
  <c r="AO425" i="5"/>
  <c r="AO313" i="5"/>
  <c r="AN313" i="5"/>
  <c r="AO195" i="5"/>
  <c r="AN195" i="5"/>
  <c r="AO69" i="5"/>
  <c r="AN69" i="5"/>
  <c r="AN281" i="5"/>
  <c r="AO281" i="5"/>
  <c r="AO326" i="5"/>
  <c r="AN326" i="5"/>
  <c r="AN301" i="5"/>
  <c r="AO301" i="5"/>
  <c r="AO98" i="5"/>
  <c r="AN98" i="5"/>
  <c r="AN311" i="5"/>
  <c r="AO311" i="5"/>
  <c r="AN547" i="5"/>
  <c r="AO547" i="5"/>
  <c r="AO402" i="5"/>
  <c r="AN402" i="5"/>
  <c r="AN334" i="5"/>
  <c r="AO334" i="5"/>
  <c r="AN318" i="5"/>
  <c r="AO318" i="5"/>
  <c r="AO290" i="5"/>
  <c r="AN290" i="5"/>
  <c r="AN552" i="5"/>
  <c r="AO552" i="5"/>
  <c r="AO249" i="5"/>
  <c r="AN249" i="5"/>
  <c r="AO530" i="5"/>
  <c r="AN530" i="5"/>
  <c r="AO362" i="5"/>
  <c r="AN362" i="5"/>
  <c r="AN439" i="5"/>
  <c r="AO439" i="5"/>
  <c r="AO36" i="5"/>
  <c r="AN36" i="5"/>
  <c r="AN169" i="5"/>
  <c r="AO169" i="5"/>
  <c r="AN145" i="5"/>
  <c r="AO145" i="5"/>
  <c r="AN556" i="5"/>
  <c r="AO556" i="5"/>
  <c r="AN264" i="5"/>
  <c r="AO264" i="5"/>
  <c r="AO297" i="5"/>
  <c r="AN297" i="5"/>
  <c r="AO85" i="5"/>
  <c r="AN85" i="5"/>
  <c r="AO456" i="5"/>
  <c r="AN456" i="5"/>
  <c r="AO434" i="5"/>
  <c r="AN434" i="5"/>
  <c r="AO342" i="5"/>
  <c r="AN342" i="5"/>
  <c r="AO437" i="5"/>
  <c r="AN437" i="5"/>
  <c r="AO110" i="5"/>
  <c r="AN110" i="5"/>
  <c r="AO369" i="5"/>
  <c r="AN369" i="5"/>
  <c r="AO299" i="5"/>
  <c r="AN299" i="5"/>
  <c r="AO228" i="5"/>
  <c r="AN228" i="5"/>
  <c r="AO324" i="5"/>
  <c r="AN324" i="5"/>
  <c r="AN32" i="5"/>
  <c r="AO32" i="5"/>
  <c r="AO155" i="5"/>
  <c r="AN155" i="5"/>
  <c r="AN116" i="5"/>
  <c r="AO116" i="5"/>
  <c r="AN125" i="5"/>
  <c r="AO125" i="5"/>
  <c r="AO56" i="5"/>
  <c r="AN56" i="5"/>
  <c r="AN146" i="5"/>
  <c r="AO146" i="5"/>
  <c r="AN136" i="5"/>
  <c r="AO136" i="5"/>
  <c r="AN179" i="5"/>
  <c r="AO179" i="5"/>
  <c r="AO340" i="5"/>
  <c r="AN340" i="5"/>
  <c r="AN66" i="5"/>
  <c r="AO66" i="5"/>
  <c r="AN455" i="5"/>
  <c r="AO455" i="5"/>
  <c r="AN283" i="5"/>
  <c r="AO283" i="5"/>
  <c r="AO320" i="5"/>
  <c r="AN320" i="5"/>
  <c r="AN343" i="5"/>
  <c r="AO343" i="5"/>
  <c r="AN335" i="5"/>
  <c r="AO335" i="5"/>
  <c r="AN90" i="5"/>
  <c r="AO90" i="5"/>
  <c r="AO510" i="5"/>
  <c r="AN510" i="5"/>
  <c r="AO158" i="5"/>
  <c r="AN158" i="5"/>
  <c r="AN352" i="5"/>
  <c r="AO352" i="5"/>
  <c r="AN554" i="5"/>
  <c r="AO554" i="5"/>
  <c r="AN338" i="5"/>
  <c r="AO338" i="5"/>
  <c r="AO475" i="5"/>
  <c r="AN475" i="5"/>
  <c r="AO247" i="5"/>
  <c r="AN247" i="5"/>
  <c r="AO505" i="5"/>
  <c r="AN505" i="5"/>
  <c r="AO203" i="5"/>
  <c r="AN203" i="5"/>
  <c r="AN460" i="5"/>
  <c r="AO460" i="5"/>
  <c r="AO384" i="5"/>
  <c r="AN384" i="5"/>
  <c r="AN468" i="5"/>
  <c r="AO468" i="5"/>
  <c r="AO492" i="5"/>
  <c r="AN492" i="5"/>
  <c r="AN470" i="5"/>
  <c r="AO470" i="5"/>
  <c r="AN300" i="5"/>
  <c r="AO300" i="5"/>
  <c r="AN532" i="5"/>
  <c r="AO532" i="5"/>
  <c r="AN498" i="5"/>
  <c r="AO498" i="5"/>
  <c r="AN527" i="5"/>
  <c r="AO527" i="5"/>
  <c r="AN360" i="5"/>
  <c r="AO360" i="5"/>
  <c r="AO185" i="5"/>
  <c r="AN185" i="5"/>
  <c r="AO180" i="5"/>
  <c r="AN180" i="5"/>
  <c r="AO422" i="5"/>
  <c r="AN422" i="5"/>
  <c r="AN103" i="5"/>
  <c r="AO103" i="5"/>
  <c r="AO331" i="5"/>
  <c r="AN331" i="5"/>
  <c r="AO93" i="5"/>
  <c r="AN93" i="5"/>
  <c r="AN199" i="5"/>
  <c r="AO199" i="5"/>
  <c r="AN407" i="5"/>
  <c r="AO407" i="5"/>
  <c r="AO435" i="5"/>
  <c r="AN435" i="5"/>
  <c r="AN24" i="5"/>
  <c r="AO24" i="5"/>
  <c r="AN520" i="5"/>
  <c r="AO520" i="5"/>
  <c r="AN218" i="5"/>
  <c r="AO218" i="5"/>
  <c r="AN323" i="5"/>
  <c r="AO323" i="5"/>
  <c r="AN388" i="5"/>
  <c r="AO388" i="5"/>
  <c r="AO392" i="5"/>
  <c r="AN392" i="5"/>
  <c r="AN168" i="5"/>
  <c r="AO168" i="5"/>
  <c r="AO549" i="5"/>
  <c r="AN549" i="5"/>
  <c r="AO466" i="5"/>
  <c r="AN466" i="5"/>
  <c r="AO205" i="5"/>
  <c r="AN205" i="5"/>
  <c r="AO501" i="5"/>
  <c r="AN501" i="5"/>
  <c r="AN70" i="5"/>
  <c r="AO70" i="5"/>
  <c r="AO126" i="5"/>
  <c r="AN126" i="5"/>
  <c r="AN296" i="5"/>
  <c r="AO296" i="5"/>
  <c r="AN381" i="5"/>
  <c r="AO381" i="5"/>
  <c r="AO315" i="5"/>
  <c r="AN315" i="5"/>
  <c r="AO191" i="5"/>
  <c r="AN191" i="5"/>
  <c r="AN96" i="5"/>
  <c r="AO96" i="5"/>
  <c r="AO147" i="5"/>
  <c r="AN147" i="5"/>
  <c r="AN204" i="5"/>
  <c r="AO204" i="5"/>
  <c r="AN142" i="5"/>
  <c r="AO142" i="5"/>
  <c r="AN269" i="5"/>
  <c r="AO269" i="5"/>
  <c r="AO487" i="5"/>
  <c r="AN487" i="5"/>
  <c r="AN350" i="5"/>
  <c r="AO350" i="5"/>
  <c r="AO405" i="5"/>
  <c r="AN405" i="5"/>
  <c r="AN278" i="5"/>
  <c r="AO278" i="5"/>
  <c r="AO51" i="5"/>
  <c r="AN51" i="5"/>
  <c r="AO364" i="5"/>
  <c r="AN364" i="5"/>
  <c r="AN307" i="5"/>
  <c r="AO307" i="5"/>
  <c r="AN321" i="5"/>
  <c r="AO321" i="5"/>
  <c r="AO298" i="5"/>
  <c r="AN298" i="5"/>
  <c r="AO221" i="5"/>
  <c r="AN221" i="5"/>
  <c r="AO212" i="5"/>
  <c r="AN212" i="5"/>
  <c r="AN40" i="5"/>
  <c r="AO40" i="5"/>
  <c r="AO235" i="5"/>
  <c r="AN235" i="5"/>
  <c r="AN280" i="5"/>
  <c r="AO280" i="5"/>
  <c r="AN232" i="5"/>
  <c r="AO232" i="5"/>
  <c r="AH218" i="5"/>
  <c r="AI218" i="5"/>
  <c r="AI343" i="5"/>
  <c r="AH343" i="5"/>
  <c r="AI299" i="5"/>
  <c r="AH299" i="5"/>
  <c r="AH398" i="5"/>
  <c r="AI398" i="5"/>
  <c r="AI423" i="5"/>
  <c r="AH423" i="5"/>
  <c r="AI480" i="5"/>
  <c r="AH480" i="5"/>
  <c r="AI288" i="5"/>
  <c r="AH288" i="5"/>
  <c r="AI326" i="5"/>
  <c r="AH326" i="5"/>
  <c r="AH376" i="5"/>
  <c r="AI376" i="5"/>
  <c r="AI551" i="5"/>
  <c r="AH551" i="5"/>
  <c r="AI454" i="5"/>
  <c r="AH454" i="5"/>
  <c r="AI479" i="5"/>
  <c r="AH479" i="5"/>
  <c r="AH83" i="5"/>
  <c r="AI83" i="5"/>
  <c r="AH210" i="5"/>
  <c r="AI210" i="5"/>
  <c r="AI297" i="5"/>
  <c r="AH297" i="5"/>
  <c r="AI217" i="5"/>
  <c r="AH217" i="5"/>
  <c r="AH38" i="5"/>
  <c r="AI38" i="5"/>
  <c r="AI127" i="5"/>
  <c r="AH127" i="5"/>
  <c r="AI522" i="5"/>
  <c r="AH522" i="5"/>
  <c r="AI234" i="5"/>
  <c r="AH234" i="5"/>
  <c r="AI488" i="5"/>
  <c r="AH488" i="5"/>
  <c r="AI323" i="5"/>
  <c r="AH323" i="5"/>
  <c r="AH118" i="5"/>
  <c r="AI118" i="5"/>
  <c r="AH153" i="5"/>
  <c r="AI153" i="5"/>
  <c r="AI539" i="5"/>
  <c r="AH539" i="5"/>
  <c r="AI200" i="5"/>
  <c r="AH200" i="5"/>
  <c r="AI167" i="5"/>
  <c r="AH167" i="5"/>
  <c r="AI222" i="5"/>
  <c r="AH222" i="5"/>
  <c r="AI333" i="5"/>
  <c r="AH333" i="5"/>
  <c r="AI156" i="5"/>
  <c r="AH156" i="5"/>
  <c r="AH231" i="5"/>
  <c r="AI231" i="5"/>
  <c r="AH473" i="5"/>
  <c r="AI473" i="5"/>
  <c r="AI443" i="5"/>
  <c r="AH443" i="5"/>
  <c r="AI313" i="5"/>
  <c r="AH313" i="5"/>
  <c r="AH312" i="5"/>
  <c r="AI312" i="5"/>
  <c r="AI151" i="5"/>
  <c r="AH151" i="5"/>
  <c r="AH419" i="5"/>
  <c r="AI419" i="5"/>
  <c r="AH175" i="5"/>
  <c r="AI175" i="5"/>
  <c r="AH209" i="5"/>
  <c r="AI209" i="5"/>
  <c r="AH141" i="5"/>
  <c r="AI141" i="5"/>
  <c r="AI486" i="5"/>
  <c r="AH486" i="5"/>
  <c r="AH128" i="5"/>
  <c r="AI128" i="5"/>
  <c r="AH557" i="5"/>
  <c r="AI557" i="5"/>
  <c r="AI359" i="5"/>
  <c r="AH359" i="5"/>
  <c r="AH520" i="5"/>
  <c r="AI520" i="5"/>
  <c r="AI240" i="5"/>
  <c r="AH240" i="5"/>
  <c r="AI435" i="5"/>
  <c r="AH435" i="5"/>
  <c r="AI490" i="5"/>
  <c r="AH490" i="5"/>
  <c r="AH469" i="5"/>
  <c r="AI469" i="5"/>
  <c r="AI432" i="5"/>
  <c r="AH432" i="5"/>
  <c r="AI92" i="5"/>
  <c r="AH92" i="5"/>
  <c r="AH67" i="5"/>
  <c r="AI67" i="5"/>
  <c r="AH58" i="5"/>
  <c r="AI58" i="5"/>
  <c r="AH257" i="5"/>
  <c r="AI257" i="5"/>
  <c r="AI62" i="5"/>
  <c r="AH62" i="5"/>
  <c r="AI272" i="5"/>
  <c r="AH272" i="5"/>
  <c r="AI456" i="5"/>
  <c r="AH456" i="5"/>
  <c r="AI307" i="5"/>
  <c r="AH307" i="5"/>
  <c r="AH26" i="5"/>
  <c r="AI26" i="5"/>
  <c r="AI339" i="5"/>
  <c r="AH339" i="5"/>
  <c r="AI397" i="5"/>
  <c r="AH397" i="5"/>
  <c r="AI119" i="5"/>
  <c r="AH119" i="5"/>
  <c r="AI380" i="5"/>
  <c r="AH380" i="5"/>
  <c r="AI293" i="5"/>
  <c r="AH293" i="5"/>
  <c r="AH287" i="5"/>
  <c r="AI287" i="5"/>
  <c r="AI289" i="5"/>
  <c r="AH289" i="5"/>
  <c r="AH64" i="5"/>
  <c r="AI64" i="5"/>
  <c r="AH554" i="5"/>
  <c r="AI554" i="5"/>
  <c r="AH470" i="5"/>
  <c r="AI470" i="5"/>
  <c r="AH206" i="5"/>
  <c r="AI206" i="5"/>
  <c r="AI132" i="5"/>
  <c r="AH132" i="5"/>
  <c r="AI196" i="5"/>
  <c r="AH196" i="5"/>
  <c r="AH114" i="5"/>
  <c r="AI114" i="5"/>
  <c r="AH203" i="5"/>
  <c r="AI203" i="5"/>
  <c r="AI426" i="5"/>
  <c r="AH426" i="5"/>
  <c r="AH228" i="5"/>
  <c r="AI228" i="5"/>
  <c r="AI370" i="5"/>
  <c r="AH370" i="5"/>
  <c r="AH53" i="5"/>
  <c r="AI53" i="5"/>
  <c r="AI507" i="5"/>
  <c r="AH507" i="5"/>
  <c r="AI438" i="5"/>
  <c r="AH438" i="5"/>
  <c r="AI440" i="5"/>
  <c r="AH440" i="5"/>
  <c r="AI535" i="5"/>
  <c r="AH535" i="5"/>
  <c r="AI147" i="5"/>
  <c r="AH147" i="5"/>
  <c r="AI310" i="5"/>
  <c r="AH310" i="5"/>
  <c r="AH20" i="5"/>
  <c r="AI20" i="5"/>
  <c r="AH138" i="5"/>
  <c r="AI138" i="5"/>
  <c r="AH379" i="5"/>
  <c r="AI379" i="5"/>
  <c r="AI404" i="5"/>
  <c r="AH404" i="5"/>
  <c r="AH350" i="5"/>
  <c r="AI350" i="5"/>
  <c r="AH140" i="5"/>
  <c r="AI140" i="5"/>
  <c r="AI160" i="5"/>
  <c r="AH160" i="5"/>
  <c r="AH388" i="5"/>
  <c r="AI388" i="5"/>
  <c r="AH315" i="5"/>
  <c r="AI315" i="5"/>
  <c r="AH517" i="5"/>
  <c r="AI517" i="5"/>
  <c r="AI39" i="5"/>
  <c r="AH39" i="5"/>
  <c r="AH512" i="5"/>
  <c r="AI512" i="5"/>
  <c r="AH442" i="5"/>
  <c r="AI442" i="5"/>
  <c r="AI27" i="5"/>
  <c r="AH27" i="5"/>
  <c r="AH371" i="5"/>
  <c r="AI371" i="5"/>
  <c r="AI444" i="5"/>
  <c r="AH444" i="5"/>
  <c r="AH341" i="5"/>
  <c r="AI341" i="5"/>
  <c r="AH85" i="5"/>
  <c r="AI85" i="5"/>
  <c r="AI402" i="5"/>
  <c r="AH402" i="5"/>
  <c r="AI215" i="5"/>
  <c r="AH215" i="5"/>
  <c r="AI515" i="5"/>
  <c r="AH515" i="5"/>
  <c r="AI526" i="5"/>
  <c r="AH526" i="5"/>
  <c r="AH534" i="5"/>
  <c r="AI534" i="5"/>
  <c r="AH40" i="5"/>
  <c r="AI40" i="5"/>
  <c r="AI173" i="5"/>
  <c r="AH173" i="5"/>
  <c r="AH52" i="5"/>
  <c r="AI52" i="5"/>
  <c r="AI226" i="5"/>
  <c r="AH226" i="5"/>
  <c r="AH267" i="5"/>
  <c r="AI267" i="5"/>
  <c r="AI420" i="5"/>
  <c r="AH420" i="5"/>
  <c r="AH502" i="5"/>
  <c r="AI502" i="5"/>
  <c r="AI163" i="5"/>
  <c r="AH163" i="5"/>
  <c r="AI54" i="5"/>
  <c r="AH54" i="5"/>
  <c r="AI415" i="5"/>
  <c r="AH415" i="5"/>
  <c r="AH261" i="5"/>
  <c r="AI261" i="5"/>
  <c r="AI458" i="5"/>
  <c r="AH458" i="5"/>
  <c r="AI459" i="5"/>
  <c r="AH459" i="5"/>
  <c r="AH199" i="5"/>
  <c r="AI199" i="5"/>
  <c r="AH496" i="5"/>
  <c r="AI496" i="5"/>
  <c r="AH451" i="5"/>
  <c r="AI451" i="5"/>
  <c r="AI468" i="5"/>
  <c r="AH468" i="5"/>
  <c r="AH35" i="5"/>
  <c r="AI35" i="5"/>
  <c r="AH195" i="5"/>
  <c r="AI195" i="5"/>
  <c r="AI116" i="5"/>
  <c r="AH116" i="5"/>
  <c r="AI416" i="5"/>
  <c r="AH416" i="5"/>
  <c r="AH236" i="5"/>
  <c r="AI236" i="5"/>
  <c r="AH448" i="5"/>
  <c r="AI448" i="5"/>
  <c r="AI186" i="5"/>
  <c r="AH186" i="5"/>
  <c r="AI112" i="5"/>
  <c r="AH112" i="5"/>
  <c r="AI411" i="5"/>
  <c r="AH411" i="5"/>
  <c r="AH134" i="5"/>
  <c r="AI134" i="5"/>
  <c r="AI247" i="5"/>
  <c r="AH247" i="5"/>
  <c r="AI220" i="5"/>
  <c r="AH220" i="5"/>
  <c r="AI96" i="5"/>
  <c r="AH96" i="5"/>
  <c r="AH21" i="4"/>
  <c r="AE21" i="4"/>
  <c r="Z21" i="4"/>
  <c r="X21" i="4" s="1"/>
  <c r="AJ21" i="4" s="1"/>
  <c r="AH19" i="4"/>
  <c r="AE19" i="4"/>
  <c r="Z19" i="4"/>
  <c r="X19" i="4" s="1"/>
  <c r="AJ19" i="4" s="1"/>
  <c r="AH111" i="4"/>
  <c r="AE111" i="4"/>
  <c r="AH13" i="4"/>
  <c r="Z13" i="4"/>
  <c r="X13" i="4" s="1"/>
  <c r="AJ13" i="4" s="1"/>
  <c r="AE13" i="4"/>
  <c r="AH92" i="4"/>
  <c r="Z92" i="4"/>
  <c r="X92" i="4" s="1"/>
  <c r="AJ92" i="4" s="1"/>
  <c r="AE92" i="4"/>
  <c r="AH133" i="4"/>
  <c r="AE133" i="4"/>
  <c r="AH38" i="4"/>
  <c r="AE38" i="4"/>
  <c r="Z38" i="4"/>
  <c r="X38" i="4" s="1"/>
  <c r="AJ38" i="4" s="1"/>
  <c r="Z127" i="4"/>
  <c r="AE127" i="4"/>
  <c r="AH127" i="4"/>
  <c r="AA127" i="4"/>
  <c r="AE18" i="4"/>
  <c r="AH18" i="4"/>
  <c r="Z18" i="4"/>
  <c r="X18" i="4" s="1"/>
  <c r="AJ18" i="4" s="1"/>
  <c r="AE156" i="4"/>
  <c r="AJ156" i="4"/>
  <c r="AH156" i="4"/>
  <c r="AH77" i="4"/>
  <c r="AE77" i="4"/>
  <c r="AH40" i="4"/>
  <c r="AE40" i="4"/>
  <c r="Z40" i="4"/>
  <c r="X40" i="4" s="1"/>
  <c r="AE22" i="4"/>
  <c r="AH22" i="4"/>
  <c r="Z22" i="4"/>
  <c r="X22" i="4" s="1"/>
  <c r="AJ22" i="4" s="1"/>
  <c r="AH125" i="4"/>
  <c r="AE125" i="4"/>
  <c r="AA125" i="4"/>
  <c r="AJ125" i="4"/>
  <c r="AE115" i="4"/>
  <c r="AH115" i="4"/>
  <c r="AA115" i="4"/>
  <c r="Z115" i="4"/>
  <c r="AJ134" i="4"/>
  <c r="AH134" i="4"/>
  <c r="AE134" i="4"/>
  <c r="AE11" i="4"/>
  <c r="AH11" i="4"/>
  <c r="Z11" i="4"/>
  <c r="X11" i="4" s="1"/>
  <c r="AJ11" i="4" s="1"/>
  <c r="AH154" i="4"/>
  <c r="AE154" i="4"/>
  <c r="Z154" i="4"/>
  <c r="AA154" i="4"/>
  <c r="AH143" i="4"/>
  <c r="AE143" i="4"/>
  <c r="AJ143" i="4"/>
  <c r="AE52" i="4"/>
  <c r="AH52" i="4"/>
  <c r="Z52" i="4"/>
  <c r="AH17" i="4"/>
  <c r="Z17" i="4"/>
  <c r="X17" i="4" s="1"/>
  <c r="AA17" i="4" s="1"/>
  <c r="AE17" i="4"/>
  <c r="AH132" i="4"/>
  <c r="AJ132" i="4"/>
  <c r="Z132" i="4"/>
  <c r="AE132" i="4"/>
  <c r="AA132" i="4"/>
  <c r="AH86" i="4"/>
  <c r="Z86" i="4"/>
  <c r="X86" i="4" s="1"/>
  <c r="AE86" i="4"/>
  <c r="AH90" i="4"/>
  <c r="AE90" i="4"/>
  <c r="AH45" i="4"/>
  <c r="Z45" i="4"/>
  <c r="X45" i="4" s="1"/>
  <c r="AJ45" i="4" s="1"/>
  <c r="AE45" i="4"/>
  <c r="AH107" i="4"/>
  <c r="Z107" i="4"/>
  <c r="AE107" i="4"/>
  <c r="AR194" i="5"/>
  <c r="AQ194" i="5"/>
  <c r="BI194" i="5"/>
  <c r="AR133" i="5"/>
  <c r="AQ133" i="5"/>
  <c r="BI133" i="5"/>
  <c r="AQ32" i="5"/>
  <c r="BI32" i="5"/>
  <c r="AR32" i="5"/>
  <c r="AR62" i="5"/>
  <c r="AQ62" i="5"/>
  <c r="BI62" i="5"/>
  <c r="AQ265" i="5"/>
  <c r="AR265" i="5"/>
  <c r="BI265" i="5"/>
  <c r="AR93" i="5"/>
  <c r="AQ93" i="5"/>
  <c r="BI93" i="5"/>
  <c r="AR488" i="5"/>
  <c r="BI488" i="5"/>
  <c r="AQ488" i="5"/>
  <c r="AQ425" i="5"/>
  <c r="BI425" i="5"/>
  <c r="AR425" i="5"/>
  <c r="AQ550" i="5"/>
  <c r="BI550" i="5"/>
  <c r="AR550" i="5"/>
  <c r="AQ30" i="5"/>
  <c r="BI30" i="5"/>
  <c r="AR30" i="5"/>
  <c r="AQ118" i="5"/>
  <c r="BI118" i="5"/>
  <c r="AR118" i="5"/>
  <c r="AQ163" i="5"/>
  <c r="AR163" i="5"/>
  <c r="BI163" i="5"/>
  <c r="AQ465" i="5"/>
  <c r="AR465" i="5"/>
  <c r="BI465" i="5"/>
  <c r="AQ85" i="5"/>
  <c r="AR85" i="5"/>
  <c r="BI85" i="5"/>
  <c r="AR357" i="5"/>
  <c r="AQ357" i="5"/>
  <c r="BI357" i="5"/>
  <c r="AR544" i="5"/>
  <c r="AQ544" i="5"/>
  <c r="BI544" i="5"/>
  <c r="AQ532" i="5"/>
  <c r="AR532" i="5"/>
  <c r="BI532" i="5"/>
  <c r="AQ256" i="5"/>
  <c r="BI256" i="5"/>
  <c r="AR256" i="5"/>
  <c r="AP127" i="5"/>
  <c r="AR172" i="5"/>
  <c r="AQ172" i="5"/>
  <c r="BI172" i="5"/>
  <c r="AP500" i="5"/>
  <c r="AQ139" i="5"/>
  <c r="AR139" i="5"/>
  <c r="BI139" i="5"/>
  <c r="AR131" i="5"/>
  <c r="AQ131" i="5"/>
  <c r="BI131" i="5"/>
  <c r="AQ427" i="5"/>
  <c r="AR427" i="5"/>
  <c r="BI427" i="5"/>
  <c r="AQ445" i="5"/>
  <c r="BI445" i="5"/>
  <c r="BI460" i="5"/>
  <c r="AR460" i="5"/>
  <c r="AQ460" i="5"/>
  <c r="AR43" i="5"/>
  <c r="BI43" i="5"/>
  <c r="AQ43" i="5"/>
  <c r="AQ371" i="5"/>
  <c r="BI371" i="5"/>
  <c r="AR371" i="5"/>
  <c r="BI29" i="5"/>
  <c r="BI250" i="5"/>
  <c r="AR250" i="5"/>
  <c r="AQ250" i="5"/>
  <c r="AQ277" i="5"/>
  <c r="BI277" i="5"/>
  <c r="AR277" i="5"/>
  <c r="AP524" i="5"/>
  <c r="AH61" i="4"/>
  <c r="AE61" i="4"/>
  <c r="AJ141" i="4"/>
  <c r="AE141" i="4"/>
  <c r="AH141" i="4"/>
  <c r="AE33" i="4"/>
  <c r="Z33" i="4"/>
  <c r="AH33" i="4"/>
  <c r="AH44" i="4"/>
  <c r="AE44" i="4"/>
  <c r="Z44" i="4"/>
  <c r="X44" i="4" s="1"/>
  <c r="AE30" i="4"/>
  <c r="Z30" i="4"/>
  <c r="X30" i="4" s="1"/>
  <c r="AJ30" i="4" s="1"/>
  <c r="AH30" i="4"/>
  <c r="AH15" i="4"/>
  <c r="AE15" i="4"/>
  <c r="Z15" i="4"/>
  <c r="X15" i="4" s="1"/>
  <c r="AJ15" i="4" s="1"/>
  <c r="AH8" i="4"/>
  <c r="Z8" i="4"/>
  <c r="X8" i="4" s="1"/>
  <c r="AJ8" i="4" s="1"/>
  <c r="AE8" i="4"/>
  <c r="AA147" i="4"/>
  <c r="AE147" i="4"/>
  <c r="Z147" i="4"/>
  <c r="AH147" i="4"/>
  <c r="AH137" i="4"/>
  <c r="AJ137" i="4"/>
  <c r="AE137" i="4"/>
  <c r="AE28" i="4"/>
  <c r="Z28" i="4"/>
  <c r="X28" i="4" s="1"/>
  <c r="AH28" i="4"/>
  <c r="AE151" i="4"/>
  <c r="Z151" i="4"/>
  <c r="AH151" i="4"/>
  <c r="AU9" i="5"/>
  <c r="AV9" i="5"/>
  <c r="BC9" i="5"/>
  <c r="BB9" i="5"/>
  <c r="BA9" i="5"/>
  <c r="X9" i="5"/>
  <c r="Y9" i="5"/>
  <c r="AN397" i="5"/>
  <c r="AO397" i="5"/>
  <c r="AN237" i="5"/>
  <c r="AO237" i="5"/>
  <c r="AO37" i="5"/>
  <c r="AN37" i="5"/>
  <c r="AN558" i="5"/>
  <c r="AO558" i="5"/>
  <c r="AN166" i="5"/>
  <c r="AO166" i="5"/>
  <c r="AN404" i="5"/>
  <c r="AO404" i="5"/>
  <c r="AN187" i="5"/>
  <c r="AO187" i="5"/>
  <c r="AN216" i="5"/>
  <c r="AO216" i="5"/>
  <c r="AO420" i="5"/>
  <c r="AN420" i="5"/>
  <c r="AN427" i="5"/>
  <c r="AO427" i="5"/>
  <c r="AO447" i="5"/>
  <c r="AN447" i="5"/>
  <c r="AO286" i="5"/>
  <c r="AN286" i="5"/>
  <c r="AN473" i="5"/>
  <c r="AO473" i="5"/>
  <c r="AO503" i="5"/>
  <c r="AN503" i="5"/>
  <c r="AN202" i="5"/>
  <c r="AO202" i="5"/>
  <c r="AN215" i="5"/>
  <c r="AO215" i="5"/>
  <c r="AN177" i="5"/>
  <c r="AO177" i="5"/>
  <c r="AN328" i="5"/>
  <c r="AO328" i="5"/>
  <c r="AN306" i="5"/>
  <c r="AO306" i="5"/>
  <c r="AN421" i="5"/>
  <c r="AO421" i="5"/>
  <c r="AO109" i="5"/>
  <c r="AN109" i="5"/>
  <c r="AN545" i="5"/>
  <c r="AO545" i="5"/>
  <c r="AN344" i="5"/>
  <c r="AO344" i="5"/>
  <c r="AN491" i="5"/>
  <c r="AO491" i="5"/>
  <c r="AO512" i="5"/>
  <c r="AN512" i="5"/>
  <c r="AO544" i="5"/>
  <c r="AN544" i="5"/>
  <c r="AO134" i="5"/>
  <c r="AN134" i="5"/>
  <c r="AN433" i="5"/>
  <c r="AO433" i="5"/>
  <c r="AN22" i="5"/>
  <c r="AO22" i="5"/>
  <c r="AN181" i="5"/>
  <c r="AO181" i="5"/>
  <c r="AO555" i="5"/>
  <c r="AN555" i="5"/>
  <c r="AO262" i="5"/>
  <c r="AN262" i="5"/>
  <c r="AN410" i="5"/>
  <c r="AO410" i="5"/>
  <c r="AN502" i="5"/>
  <c r="AO502" i="5"/>
  <c r="AN233" i="5"/>
  <c r="AO233" i="5"/>
  <c r="AN319" i="5"/>
  <c r="AO319" i="5"/>
  <c r="AN457" i="5"/>
  <c r="AO457" i="5"/>
  <c r="AN304" i="5"/>
  <c r="AO304" i="5"/>
  <c r="AO46" i="5"/>
  <c r="AN46" i="5"/>
  <c r="AN400" i="5"/>
  <c r="AO400" i="5"/>
  <c r="AN398" i="5"/>
  <c r="AO398" i="5"/>
  <c r="AO440" i="5"/>
  <c r="AN440" i="5"/>
  <c r="AO198" i="5"/>
  <c r="AN198" i="5"/>
  <c r="AN34" i="5"/>
  <c r="AO34" i="5"/>
  <c r="AO64" i="5"/>
  <c r="AN64" i="5"/>
  <c r="AN50" i="5"/>
  <c r="AO50" i="5"/>
  <c r="AN431" i="5"/>
  <c r="AO431" i="5"/>
  <c r="AO542" i="5"/>
  <c r="AN542" i="5"/>
  <c r="AO206" i="5"/>
  <c r="AN206" i="5"/>
  <c r="AO370" i="5"/>
  <c r="AN370" i="5"/>
  <c r="AO499" i="5"/>
  <c r="AN499" i="5"/>
  <c r="AN10" i="5"/>
  <c r="AO10" i="5"/>
  <c r="AO481" i="5"/>
  <c r="AN481" i="5"/>
  <c r="AO239" i="5"/>
  <c r="AN239" i="5"/>
  <c r="AO263" i="5"/>
  <c r="AN263" i="5"/>
  <c r="AO258" i="5"/>
  <c r="AN258" i="5"/>
  <c r="AO55" i="5"/>
  <c r="AN55" i="5"/>
  <c r="AN255" i="5"/>
  <c r="AO255" i="5"/>
  <c r="AN112" i="5"/>
  <c r="AO112" i="5"/>
  <c r="AO332" i="5"/>
  <c r="AN332" i="5"/>
  <c r="AN543" i="5"/>
  <c r="AO543" i="5"/>
  <c r="AN53" i="5"/>
  <c r="AO53" i="5"/>
  <c r="AN88" i="5"/>
  <c r="AO88" i="5"/>
  <c r="AN513" i="5"/>
  <c r="AO513" i="5"/>
  <c r="AN396" i="5"/>
  <c r="AO396" i="5"/>
  <c r="AN217" i="5"/>
  <c r="AO217" i="5"/>
  <c r="AN519" i="5"/>
  <c r="AO519" i="5"/>
  <c r="AO464" i="5"/>
  <c r="AN464" i="5"/>
  <c r="AN357" i="5"/>
  <c r="AO357" i="5"/>
  <c r="AO94" i="5"/>
  <c r="AN94" i="5"/>
  <c r="AN102" i="5"/>
  <c r="AO102" i="5"/>
  <c r="AN19" i="5"/>
  <c r="AO19" i="5"/>
  <c r="AO97" i="5"/>
  <c r="AN97" i="5"/>
  <c r="AO279" i="5"/>
  <c r="AN279" i="5"/>
  <c r="AN165" i="5"/>
  <c r="AO165" i="5"/>
  <c r="AN67" i="5"/>
  <c r="AO67" i="5"/>
  <c r="AO415" i="5"/>
  <c r="AN415" i="5"/>
  <c r="AO52" i="5"/>
  <c r="AN52" i="5"/>
  <c r="AN43" i="5"/>
  <c r="AO43" i="5"/>
  <c r="AN317" i="5"/>
  <c r="AO317" i="5"/>
  <c r="AO523" i="5"/>
  <c r="AN523" i="5"/>
  <c r="AO359" i="5"/>
  <c r="AN359" i="5"/>
  <c r="AO131" i="5"/>
  <c r="AN131" i="5"/>
  <c r="AO100" i="5"/>
  <c r="AN100" i="5"/>
  <c r="AN528" i="5"/>
  <c r="AO528" i="5"/>
  <c r="AN303" i="5"/>
  <c r="AO303" i="5"/>
  <c r="AN349" i="5"/>
  <c r="AO349" i="5"/>
  <c r="AO540" i="5"/>
  <c r="AN540" i="5"/>
  <c r="AO174" i="5"/>
  <c r="AN174" i="5"/>
  <c r="AO29" i="5"/>
  <c r="AN29" i="5"/>
  <c r="AN471" i="5"/>
  <c r="AO471" i="5"/>
  <c r="AN488" i="5"/>
  <c r="AO488" i="5"/>
  <c r="AN20" i="5"/>
  <c r="AO20" i="5"/>
  <c r="AN238" i="5"/>
  <c r="AO238" i="5"/>
  <c r="AN508" i="5"/>
  <c r="AO508" i="5"/>
  <c r="AN23" i="5"/>
  <c r="AO23" i="5"/>
  <c r="AN111" i="5"/>
  <c r="AO111" i="5"/>
  <c r="AN161" i="5"/>
  <c r="AO161" i="5"/>
  <c r="AO99" i="5"/>
  <c r="AN99" i="5"/>
  <c r="AN35" i="5"/>
  <c r="AO35" i="5"/>
  <c r="AO119" i="5"/>
  <c r="AN119" i="5"/>
  <c r="AO271" i="5"/>
  <c r="AN271" i="5"/>
  <c r="AN449" i="5"/>
  <c r="AO449" i="5"/>
  <c r="AO538" i="5"/>
  <c r="AN538" i="5"/>
  <c r="AN47" i="5"/>
  <c r="AO47" i="5"/>
  <c r="AO58" i="5"/>
  <c r="AN58" i="5"/>
  <c r="AN379" i="5"/>
  <c r="AO379" i="5"/>
  <c r="AN339" i="5"/>
  <c r="AO339" i="5"/>
  <c r="AN522" i="5"/>
  <c r="AO522" i="5"/>
  <c r="AN423" i="5"/>
  <c r="AO423" i="5"/>
  <c r="AN223" i="5"/>
  <c r="AO223" i="5"/>
  <c r="AO75" i="5"/>
  <c r="AN75" i="5"/>
  <c r="AN91" i="5"/>
  <c r="AO91" i="5"/>
  <c r="AN123" i="5"/>
  <c r="AO123" i="5"/>
  <c r="AO493" i="5"/>
  <c r="AN493" i="5"/>
  <c r="AO7" i="5"/>
  <c r="AN7" i="5"/>
  <c r="AO346" i="5"/>
  <c r="AN346" i="5"/>
  <c r="AN484" i="5"/>
  <c r="AO484" i="5"/>
  <c r="AO8" i="5"/>
  <c r="AN8" i="5"/>
  <c r="AO130" i="5"/>
  <c r="AN130" i="5"/>
  <c r="AO289" i="5"/>
  <c r="AN289" i="5"/>
  <c r="AO534" i="5"/>
  <c r="AN534" i="5"/>
  <c r="AO253" i="5"/>
  <c r="AN253" i="5"/>
  <c r="AN89" i="5"/>
  <c r="AO89" i="5"/>
  <c r="AO121" i="5"/>
  <c r="AN121" i="5"/>
  <c r="AN395" i="5"/>
  <c r="AO395" i="5"/>
  <c r="AN330" i="5"/>
  <c r="AO330" i="5"/>
  <c r="AN188" i="5"/>
  <c r="AO188" i="5"/>
  <c r="AO441" i="5"/>
  <c r="AN441" i="5"/>
  <c r="AO486" i="5"/>
  <c r="AN486" i="5"/>
  <c r="AN92" i="5"/>
  <c r="AO92" i="5"/>
  <c r="AO60" i="5"/>
  <c r="AN60" i="5"/>
  <c r="AO80" i="5"/>
  <c r="AN80" i="5"/>
  <c r="AN114" i="5"/>
  <c r="AO114" i="5"/>
  <c r="AO261" i="5"/>
  <c r="AN261" i="5"/>
  <c r="AN245" i="5"/>
  <c r="AO245" i="5"/>
  <c r="AN516" i="5"/>
  <c r="AO516" i="5"/>
  <c r="AH335" i="5"/>
  <c r="AI335" i="5"/>
  <c r="AH482" i="5"/>
  <c r="AI482" i="5"/>
  <c r="AH446" i="5"/>
  <c r="AI446" i="5"/>
  <c r="AH386" i="5"/>
  <c r="AI386" i="5"/>
  <c r="AI162" i="5"/>
  <c r="AH162" i="5"/>
  <c r="AH8" i="5"/>
  <c r="AI8" i="5"/>
  <c r="AI497" i="5"/>
  <c r="AH497" i="5"/>
  <c r="AI455" i="5"/>
  <c r="AH455" i="5"/>
  <c r="AH529" i="5"/>
  <c r="AI529" i="5"/>
  <c r="AI309" i="5"/>
  <c r="AH309" i="5"/>
  <c r="AI90" i="5"/>
  <c r="AH90" i="5"/>
  <c r="AH431" i="5"/>
  <c r="AI431" i="5"/>
  <c r="AH126" i="5"/>
  <c r="AI126" i="5"/>
  <c r="AH32" i="5"/>
  <c r="AI32" i="5"/>
  <c r="AH373" i="5"/>
  <c r="AI373" i="5"/>
  <c r="AH108" i="5"/>
  <c r="AI108" i="5"/>
  <c r="AI281" i="5"/>
  <c r="AH281" i="5"/>
  <c r="AI176" i="5"/>
  <c r="AH176" i="5"/>
  <c r="AI237" i="5"/>
  <c r="AH237" i="5"/>
  <c r="AI538" i="5"/>
  <c r="AH538" i="5"/>
  <c r="AH284" i="5"/>
  <c r="AI284" i="5"/>
  <c r="AH270" i="5"/>
  <c r="AI270" i="5"/>
  <c r="AH509" i="5"/>
  <c r="AI509" i="5"/>
  <c r="AH511" i="5"/>
  <c r="AI511" i="5"/>
  <c r="AH260" i="5"/>
  <c r="AI260" i="5"/>
  <c r="AH472" i="5"/>
  <c r="AI472" i="5"/>
  <c r="AH19" i="5"/>
  <c r="AI19" i="5"/>
  <c r="AI207" i="5"/>
  <c r="AH207" i="5"/>
  <c r="AI168" i="5"/>
  <c r="AH168" i="5"/>
  <c r="AI70" i="5"/>
  <c r="AH70" i="5"/>
  <c r="AI24" i="5"/>
  <c r="AH24" i="5"/>
  <c r="AI302" i="5"/>
  <c r="AH302" i="5"/>
  <c r="AH403" i="5"/>
  <c r="AI403" i="5"/>
  <c r="AH133" i="5"/>
  <c r="AI133" i="5"/>
  <c r="AH159" i="5"/>
  <c r="AI159" i="5"/>
  <c r="AH363" i="5"/>
  <c r="AI363" i="5"/>
  <c r="AH238" i="5"/>
  <c r="AI238" i="5"/>
  <c r="AI129" i="5"/>
  <c r="AH129" i="5"/>
  <c r="AI185" i="5"/>
  <c r="AH185" i="5"/>
  <c r="AI428" i="5"/>
  <c r="AH428" i="5"/>
  <c r="AI362" i="5"/>
  <c r="AH362" i="5"/>
  <c r="AH130" i="5"/>
  <c r="AI130" i="5"/>
  <c r="AH277" i="5"/>
  <c r="AI277" i="5"/>
  <c r="AH492" i="5"/>
  <c r="AI492" i="5"/>
  <c r="AH452" i="5"/>
  <c r="AI452" i="5"/>
  <c r="AH332" i="5"/>
  <c r="AI332" i="5"/>
  <c r="AH124" i="5"/>
  <c r="AI124" i="5"/>
  <c r="AH481" i="5"/>
  <c r="AI481" i="5"/>
  <c r="AH305" i="5"/>
  <c r="AI305" i="5"/>
  <c r="AI251" i="5"/>
  <c r="AH251" i="5"/>
  <c r="AI227" i="5"/>
  <c r="AH227" i="5"/>
  <c r="AH201" i="5"/>
  <c r="AI201" i="5"/>
  <c r="AH99" i="5"/>
  <c r="AI99" i="5"/>
  <c r="AH275" i="5"/>
  <c r="AI275" i="5"/>
  <c r="AI180" i="5"/>
  <c r="AH180" i="5"/>
  <c r="AH304" i="5"/>
  <c r="AI304" i="5"/>
  <c r="AH214" i="5"/>
  <c r="AI214" i="5"/>
  <c r="AH65" i="5"/>
  <c r="AI65" i="5"/>
  <c r="AH256" i="5"/>
  <c r="AI256" i="5"/>
  <c r="AI109" i="5"/>
  <c r="AH109" i="5"/>
  <c r="AI279" i="5"/>
  <c r="AH279" i="5"/>
  <c r="AH104" i="5"/>
  <c r="AI104" i="5"/>
  <c r="AH525" i="5"/>
  <c r="AI525" i="5"/>
  <c r="AH387" i="5"/>
  <c r="AI387" i="5"/>
  <c r="AI223" i="5"/>
  <c r="AH223" i="5"/>
  <c r="AI137" i="5"/>
  <c r="AH137" i="5"/>
  <c r="AI485" i="5"/>
  <c r="AH485" i="5"/>
  <c r="AH477" i="5"/>
  <c r="AI477" i="5"/>
  <c r="AH461" i="5"/>
  <c r="AI461" i="5"/>
  <c r="AH245" i="5"/>
  <c r="AI245" i="5"/>
  <c r="AI528" i="5"/>
  <c r="AH528" i="5"/>
  <c r="AH169" i="5"/>
  <c r="AI169" i="5"/>
  <c r="AI135" i="5"/>
  <c r="AH135" i="5"/>
  <c r="AI246" i="5"/>
  <c r="AH246" i="5"/>
  <c r="AI122" i="5"/>
  <c r="AH122" i="5"/>
  <c r="AI338" i="5"/>
  <c r="AH338" i="5"/>
  <c r="AI533" i="5"/>
  <c r="AH533" i="5"/>
  <c r="AI86" i="5"/>
  <c r="AH86" i="5"/>
  <c r="AI516" i="5"/>
  <c r="AH516" i="5"/>
  <c r="AI474" i="5"/>
  <c r="AH474" i="5"/>
  <c r="AI487" i="5"/>
  <c r="AH487" i="5"/>
  <c r="AI49" i="5"/>
  <c r="AH49" i="5"/>
  <c r="AI501" i="5"/>
  <c r="AH501" i="5"/>
  <c r="AI148" i="5"/>
  <c r="AH148" i="5"/>
  <c r="AH157" i="5"/>
  <c r="AI157" i="5"/>
  <c r="AH471" i="5"/>
  <c r="AI471" i="5"/>
  <c r="AI544" i="5"/>
  <c r="AH544" i="5"/>
  <c r="AH232" i="5"/>
  <c r="AI232" i="5"/>
  <c r="AH95" i="5"/>
  <c r="AI95" i="5"/>
  <c r="AI191" i="5"/>
  <c r="AH191" i="5"/>
  <c r="AH44" i="5"/>
  <c r="AI44" i="5"/>
  <c r="AH559" i="5"/>
  <c r="AI559" i="5"/>
  <c r="AH139" i="5"/>
  <c r="AI139" i="5"/>
  <c r="AI537" i="5"/>
  <c r="AH537" i="5"/>
  <c r="AI179" i="5"/>
  <c r="AH179" i="5"/>
  <c r="AH545" i="5"/>
  <c r="AI545" i="5"/>
  <c r="AH489" i="5"/>
  <c r="AI489" i="5"/>
  <c r="AH197" i="5"/>
  <c r="AI197" i="5"/>
  <c r="AH357" i="5"/>
  <c r="AI357" i="5"/>
  <c r="AH263" i="5"/>
  <c r="AI263" i="5"/>
  <c r="AH532" i="5"/>
  <c r="AI532" i="5"/>
  <c r="AH449" i="5"/>
  <c r="AI449" i="5"/>
  <c r="AH346" i="5"/>
  <c r="AI346" i="5"/>
  <c r="AI301" i="5"/>
  <c r="AH301" i="5"/>
  <c r="AI101" i="5"/>
  <c r="AH101" i="5"/>
  <c r="AI117" i="5"/>
  <c r="AH117" i="5"/>
  <c r="AI202" i="5"/>
  <c r="AH202" i="5"/>
  <c r="AH172" i="5"/>
  <c r="AI172" i="5"/>
  <c r="AI190" i="5"/>
  <c r="AH190" i="5"/>
  <c r="AI68" i="5"/>
  <c r="AH68" i="5"/>
  <c r="AH183" i="5"/>
  <c r="AI183" i="5"/>
  <c r="AI145" i="5"/>
  <c r="AH145" i="5"/>
  <c r="AI400" i="5"/>
  <c r="AH400" i="5"/>
  <c r="AI475" i="5"/>
  <c r="AH475" i="5"/>
  <c r="AH311" i="5"/>
  <c r="AI311" i="5"/>
  <c r="AI193" i="5"/>
  <c r="AH193" i="5"/>
  <c r="AH500" i="5"/>
  <c r="AI500" i="5"/>
  <c r="AH351" i="5"/>
  <c r="AI351" i="5"/>
  <c r="AI508" i="5"/>
  <c r="AH508" i="5"/>
  <c r="AH249" i="5"/>
  <c r="AI249" i="5"/>
  <c r="AH418" i="5"/>
  <c r="AI418" i="5"/>
  <c r="AH182" i="5"/>
  <c r="AI182" i="5"/>
  <c r="AH150" i="5"/>
  <c r="AI150" i="5"/>
  <c r="AH252" i="5"/>
  <c r="AI252" i="5"/>
  <c r="AI149" i="5"/>
  <c r="AH149" i="5"/>
  <c r="AH110" i="5"/>
  <c r="AI110" i="5"/>
  <c r="AI243" i="5"/>
  <c r="AH243" i="5"/>
  <c r="AI98" i="5"/>
  <c r="AH98" i="5"/>
  <c r="AH30" i="5"/>
  <c r="AI30" i="5"/>
  <c r="AH450" i="5"/>
  <c r="AI450" i="5"/>
  <c r="AI374" i="5"/>
  <c r="AH374" i="5"/>
  <c r="AH155" i="5"/>
  <c r="AI155" i="5"/>
  <c r="AH13" i="5"/>
  <c r="AI13" i="5"/>
  <c r="AI88" i="5"/>
  <c r="AH88" i="5"/>
  <c r="AH184" i="5"/>
  <c r="AI184" i="5"/>
  <c r="AI72" i="5"/>
  <c r="AH72" i="5"/>
  <c r="AH352" i="5"/>
  <c r="AI352" i="5"/>
  <c r="AE103" i="4"/>
  <c r="Z103" i="4"/>
  <c r="X103" i="4" s="1"/>
  <c r="AH103" i="4"/>
  <c r="AH75" i="4"/>
  <c r="AE75" i="4"/>
  <c r="AR166" i="5" l="1"/>
  <c r="BI210" i="5"/>
  <c r="BI404" i="5"/>
  <c r="AR24" i="5"/>
  <c r="AR288" i="5"/>
  <c r="AQ242" i="5"/>
  <c r="AQ167" i="5"/>
  <c r="AR204" i="5"/>
  <c r="AQ204" i="5"/>
  <c r="AQ296" i="5"/>
  <c r="AR556" i="5"/>
  <c r="BI218" i="5"/>
  <c r="AQ232" i="5"/>
  <c r="BI288" i="5"/>
  <c r="BI301" i="5"/>
  <c r="AQ556" i="5"/>
  <c r="AR301" i="5"/>
  <c r="BI232" i="5"/>
  <c r="BI383" i="5"/>
  <c r="AR185" i="5"/>
  <c r="AR296" i="5"/>
  <c r="AR167" i="5"/>
  <c r="BI312" i="5"/>
  <c r="AR66" i="5"/>
  <c r="AR156" i="5"/>
  <c r="AQ318" i="5"/>
  <c r="AQ45" i="5"/>
  <c r="AQ58" i="5"/>
  <c r="AA130" i="4"/>
  <c r="BI58" i="5"/>
  <c r="AR240" i="5"/>
  <c r="AQ320" i="5"/>
  <c r="AR208" i="5"/>
  <c r="AR402" i="5"/>
  <c r="BI208" i="5"/>
  <c r="BI402" i="5"/>
  <c r="AQ335" i="5"/>
  <c r="AR335" i="5"/>
  <c r="BI552" i="5"/>
  <c r="AR551" i="5"/>
  <c r="AQ179" i="5"/>
  <c r="AQ116" i="5"/>
  <c r="BI326" i="5"/>
  <c r="BI75" i="5"/>
  <c r="AR75" i="5"/>
  <c r="BI120" i="5"/>
  <c r="AR120" i="5"/>
  <c r="BI7" i="5"/>
  <c r="BJ7" i="5" s="1"/>
  <c r="AR116" i="5"/>
  <c r="BI554" i="5"/>
  <c r="AR514" i="5"/>
  <c r="BI396" i="5"/>
  <c r="AQ66" i="5"/>
  <c r="BI551" i="5"/>
  <c r="AR280" i="5"/>
  <c r="BI24" i="5"/>
  <c r="AQ554" i="5"/>
  <c r="BI271" i="5"/>
  <c r="AQ409" i="5"/>
  <c r="AQ316" i="5"/>
  <c r="AQ280" i="5"/>
  <c r="AQ185" i="5"/>
  <c r="BI61" i="5"/>
  <c r="BI166" i="5"/>
  <c r="AQ29" i="5"/>
  <c r="AR241" i="5"/>
  <c r="AQ555" i="5"/>
  <c r="BI424" i="5"/>
  <c r="AR424" i="5"/>
  <c r="BI388" i="5"/>
  <c r="BI363" i="5"/>
  <c r="AQ63" i="5"/>
  <c r="AQ388" i="5"/>
  <c r="AQ363" i="5"/>
  <c r="AR67" i="5"/>
  <c r="BI63" i="5"/>
  <c r="BI67" i="5"/>
  <c r="AQ137" i="5"/>
  <c r="AQ415" i="5"/>
  <c r="AR137" i="5"/>
  <c r="AQ520" i="5"/>
  <c r="AR177" i="5"/>
  <c r="BI520" i="5"/>
  <c r="AQ173" i="5"/>
  <c r="AQ177" i="5"/>
  <c r="AQ205" i="5"/>
  <c r="AR173" i="5"/>
  <c r="AQ356" i="5"/>
  <c r="AR205" i="5"/>
  <c r="AR356" i="5"/>
  <c r="AR206" i="5"/>
  <c r="AQ206" i="5"/>
  <c r="AR342" i="5"/>
  <c r="AQ56" i="5"/>
  <c r="AQ366" i="5"/>
  <c r="BI342" i="5"/>
  <c r="AR56" i="5"/>
  <c r="AR401" i="5"/>
  <c r="AR111" i="5"/>
  <c r="AR366" i="5"/>
  <c r="BI401" i="5"/>
  <c r="AQ111" i="5"/>
  <c r="BI136" i="5"/>
  <c r="AQ136" i="5"/>
  <c r="BI299" i="5"/>
  <c r="AQ299" i="5"/>
  <c r="BI375" i="5"/>
  <c r="AQ293" i="5"/>
  <c r="BI293" i="5"/>
  <c r="BI434" i="5"/>
  <c r="AQ434" i="5"/>
  <c r="AQ423" i="5"/>
  <c r="AR423" i="5"/>
  <c r="AR275" i="5"/>
  <c r="BI275" i="5"/>
  <c r="AQ527" i="5"/>
  <c r="AR527" i="5"/>
  <c r="AR375" i="5"/>
  <c r="AR122" i="5"/>
  <c r="AQ60" i="5"/>
  <c r="BI508" i="5"/>
  <c r="AQ122" i="5"/>
  <c r="BI60" i="5"/>
  <c r="BK60" i="5" s="1"/>
  <c r="AR508" i="5"/>
  <c r="AR113" i="5"/>
  <c r="AQ178" i="5"/>
  <c r="BI178" i="5"/>
  <c r="BJ178" i="5" s="1"/>
  <c r="AQ395" i="5"/>
  <c r="AR243" i="5"/>
  <c r="BI81" i="5"/>
  <c r="AQ243" i="5"/>
  <c r="AQ113" i="5"/>
  <c r="AQ222" i="5"/>
  <c r="AR114" i="5"/>
  <c r="AR12" i="5"/>
  <c r="AQ181" i="5"/>
  <c r="AQ114" i="5"/>
  <c r="AR27" i="5"/>
  <c r="AR368" i="5"/>
  <c r="BI310" i="5"/>
  <c r="BI27" i="5"/>
  <c r="AQ501" i="5"/>
  <c r="AQ368" i="5"/>
  <c r="AR310" i="5"/>
  <c r="BI319" i="5"/>
  <c r="BI501" i="5"/>
  <c r="BI222" i="5"/>
  <c r="AR319" i="5"/>
  <c r="AQ502" i="5"/>
  <c r="BI181" i="5"/>
  <c r="BI502" i="5"/>
  <c r="BI528" i="5"/>
  <c r="BI315" i="5"/>
  <c r="AQ324" i="5"/>
  <c r="AR528" i="5"/>
  <c r="AQ536" i="5"/>
  <c r="AQ467" i="5"/>
  <c r="AR549" i="5"/>
  <c r="BI324" i="5"/>
  <c r="BK324" i="5" s="1"/>
  <c r="BI536" i="5"/>
  <c r="BI455" i="5"/>
  <c r="AR467" i="5"/>
  <c r="AQ549" i="5"/>
  <c r="AR292" i="5"/>
  <c r="AQ200" i="5"/>
  <c r="BI464" i="5"/>
  <c r="BJ464" i="5" s="1"/>
  <c r="AQ300" i="5"/>
  <c r="BI292" i="5"/>
  <c r="BK292" i="5" s="1"/>
  <c r="AR200" i="5"/>
  <c r="BI477" i="5"/>
  <c r="AQ464" i="5"/>
  <c r="AR477" i="5"/>
  <c r="BI378" i="5"/>
  <c r="AQ170" i="5"/>
  <c r="AQ55" i="5"/>
  <c r="AQ378" i="5"/>
  <c r="BI170" i="5"/>
  <c r="AR55" i="5"/>
  <c r="AQ360" i="5"/>
  <c r="AR323" i="5"/>
  <c r="BI479" i="5"/>
  <c r="BI360" i="5"/>
  <c r="AQ323" i="5"/>
  <c r="AQ479" i="5"/>
  <c r="AR437" i="5"/>
  <c r="BI437" i="5"/>
  <c r="AR19" i="5"/>
  <c r="AR359" i="5"/>
  <c r="AR395" i="5"/>
  <c r="AQ19" i="5"/>
  <c r="AQ81" i="5"/>
  <c r="AQ225" i="5"/>
  <c r="BI225" i="5"/>
  <c r="AR41" i="5"/>
  <c r="BI448" i="5"/>
  <c r="BI248" i="5"/>
  <c r="BJ248" i="5" s="1"/>
  <c r="BI255" i="5"/>
  <c r="BJ255" i="5" s="1"/>
  <c r="AQ248" i="5"/>
  <c r="AQ513" i="5"/>
  <c r="AR255" i="5"/>
  <c r="AQ359" i="5"/>
  <c r="AQ258" i="5"/>
  <c r="AQ278" i="5"/>
  <c r="AR513" i="5"/>
  <c r="AR258" i="5"/>
  <c r="BI179" i="5"/>
  <c r="AQ144" i="5"/>
  <c r="AR455" i="5"/>
  <c r="AQ315" i="5"/>
  <c r="AQ448" i="5"/>
  <c r="BI37" i="5"/>
  <c r="BI350" i="5"/>
  <c r="AR531" i="5"/>
  <c r="BI531" i="5"/>
  <c r="BI71" i="5"/>
  <c r="AQ71" i="5"/>
  <c r="Z130" i="4"/>
  <c r="BI523" i="5"/>
  <c r="BI89" i="5"/>
  <c r="BJ89" i="5" s="1"/>
  <c r="AR369" i="5"/>
  <c r="AQ89" i="5"/>
  <c r="BI369" i="5"/>
  <c r="BJ369" i="5" s="1"/>
  <c r="BI28" i="5"/>
  <c r="BJ28" i="5" s="1"/>
  <c r="AR28" i="5"/>
  <c r="AR390" i="5"/>
  <c r="AR300" i="5"/>
  <c r="BI316" i="5"/>
  <c r="BI542" i="5"/>
  <c r="AQ457" i="5"/>
  <c r="AQ542" i="5"/>
  <c r="BI457" i="5"/>
  <c r="BJ457" i="5" s="1"/>
  <c r="BI539" i="5"/>
  <c r="BJ539" i="5" s="1"/>
  <c r="AQ539" i="5"/>
  <c r="AR333" i="5"/>
  <c r="AA123" i="4"/>
  <c r="AP123" i="4" s="1"/>
  <c r="AQ72" i="5"/>
  <c r="AQ22" i="5"/>
  <c r="AJ72" i="4"/>
  <c r="AA72" i="4"/>
  <c r="AJ64" i="4"/>
  <c r="AA64" i="4"/>
  <c r="AJ70" i="4"/>
  <c r="AA70" i="4"/>
  <c r="AJ87" i="4"/>
  <c r="AA87" i="4"/>
  <c r="AJ104" i="4"/>
  <c r="AA104" i="4"/>
  <c r="AJ83" i="4"/>
  <c r="AA83" i="4"/>
  <c r="AP83" i="4" s="1"/>
  <c r="AJ86" i="4"/>
  <c r="AA86" i="4"/>
  <c r="AQ86" i="4" s="1"/>
  <c r="AJ73" i="4"/>
  <c r="AA73" i="4"/>
  <c r="AA68" i="4"/>
  <c r="AJ68" i="4"/>
  <c r="AJ88" i="4"/>
  <c r="AA88" i="4"/>
  <c r="AJ100" i="4"/>
  <c r="AA100" i="4"/>
  <c r="AJ84" i="4"/>
  <c r="AA84" i="4"/>
  <c r="AC84" i="4" s="1"/>
  <c r="AD84" i="4" s="1"/>
  <c r="AJ103" i="4"/>
  <c r="AA103" i="4"/>
  <c r="AC103" i="4" s="1"/>
  <c r="AD103" i="4" s="1"/>
  <c r="AQ188" i="5"/>
  <c r="AR337" i="5"/>
  <c r="AR188" i="5"/>
  <c r="AQ349" i="5"/>
  <c r="AR349" i="5"/>
  <c r="AQ240" i="5"/>
  <c r="BI413" i="5"/>
  <c r="AQ156" i="5"/>
  <c r="BI162" i="5"/>
  <c r="AQ413" i="5"/>
  <c r="BI333" i="5"/>
  <c r="AQ90" i="5"/>
  <c r="AQ422" i="5"/>
  <c r="AA80" i="4"/>
  <c r="X107" i="4"/>
  <c r="AJ107" i="4" s="1"/>
  <c r="AA99" i="4"/>
  <c r="AR25" i="5"/>
  <c r="BI25" i="5"/>
  <c r="AA91" i="4"/>
  <c r="X71" i="4"/>
  <c r="AJ71" i="4" s="1"/>
  <c r="AR492" i="5"/>
  <c r="BI325" i="5"/>
  <c r="BK325" i="5" s="1"/>
  <c r="AR325" i="5"/>
  <c r="BI187" i="5"/>
  <c r="BK187" i="5" s="1"/>
  <c r="AQ187" i="5"/>
  <c r="AR350" i="5"/>
  <c r="AQ430" i="5"/>
  <c r="AR430" i="5"/>
  <c r="AQ558" i="5"/>
  <c r="AR558" i="5"/>
  <c r="BI327" i="5"/>
  <c r="BK327" i="5" s="1"/>
  <c r="AR162" i="5"/>
  <c r="AQ392" i="5"/>
  <c r="AQ327" i="5"/>
  <c r="BI94" i="5"/>
  <c r="BI392" i="5"/>
  <c r="BJ392" i="5" s="1"/>
  <c r="BI97" i="5"/>
  <c r="AQ94" i="5"/>
  <c r="AR115" i="5"/>
  <c r="AR97" i="5"/>
  <c r="BI12" i="5"/>
  <c r="AQ523" i="5"/>
  <c r="BI290" i="5"/>
  <c r="AQ459" i="5"/>
  <c r="AR290" i="5"/>
  <c r="BI441" i="5"/>
  <c r="AQ441" i="5"/>
  <c r="BI251" i="5"/>
  <c r="AR161" i="5"/>
  <c r="BI348" i="5"/>
  <c r="BJ348" i="5" s="1"/>
  <c r="AQ347" i="5"/>
  <c r="AR555" i="5"/>
  <c r="AQ161" i="5"/>
  <c r="AQ384" i="5"/>
  <c r="AQ307" i="5"/>
  <c r="BI492" i="5"/>
  <c r="AR384" i="5"/>
  <c r="BI422" i="5"/>
  <c r="BI458" i="5"/>
  <c r="AQ458" i="5"/>
  <c r="AR307" i="5"/>
  <c r="AQ38" i="5"/>
  <c r="BI38" i="5"/>
  <c r="BJ38" i="5" s="1"/>
  <c r="AR249" i="5"/>
  <c r="AQ247" i="5"/>
  <c r="AQ249" i="5"/>
  <c r="AQ76" i="5"/>
  <c r="AR37" i="5"/>
  <c r="AR76" i="5"/>
  <c r="AR125" i="5"/>
  <c r="AQ168" i="5"/>
  <c r="BI45" i="5"/>
  <c r="AQ102" i="5"/>
  <c r="BI102" i="5"/>
  <c r="AQ61" i="5"/>
  <c r="AJ47" i="4"/>
  <c r="AA47" i="4"/>
  <c r="AJ51" i="4"/>
  <c r="AA51" i="4"/>
  <c r="AJ50" i="4"/>
  <c r="AA50" i="4"/>
  <c r="AJ40" i="4"/>
  <c r="AA40" i="4"/>
  <c r="AJ44" i="4"/>
  <c r="AA44" i="4"/>
  <c r="AJ56" i="4"/>
  <c r="AA56" i="4"/>
  <c r="AA37" i="4"/>
  <c r="X48" i="4"/>
  <c r="AJ48" i="4" s="1"/>
  <c r="AA46" i="4"/>
  <c r="AA45" i="4"/>
  <c r="AA38" i="4"/>
  <c r="AP38" i="4" s="1"/>
  <c r="X41" i="4"/>
  <c r="AJ41" i="4" s="1"/>
  <c r="X43" i="4"/>
  <c r="AJ43" i="4" s="1"/>
  <c r="X42" i="4"/>
  <c r="AJ42" i="4" s="1"/>
  <c r="X52" i="4"/>
  <c r="AJ52" i="4" s="1"/>
  <c r="AQ326" i="5"/>
  <c r="X58" i="4"/>
  <c r="AJ58" i="4" s="1"/>
  <c r="AA39" i="4"/>
  <c r="AA49" i="4"/>
  <c r="AA53" i="4"/>
  <c r="AQ142" i="5"/>
  <c r="AR142" i="5"/>
  <c r="AQ218" i="5"/>
  <c r="BI308" i="5"/>
  <c r="AQ308" i="5"/>
  <c r="AQ505" i="5"/>
  <c r="BI199" i="5"/>
  <c r="BI362" i="5"/>
  <c r="AR313" i="5"/>
  <c r="AQ145" i="5"/>
  <c r="BI41" i="5"/>
  <c r="AQ199" i="5"/>
  <c r="BI313" i="5"/>
  <c r="AR145" i="5"/>
  <c r="AJ26" i="4"/>
  <c r="AA26" i="4"/>
  <c r="AJ31" i="4"/>
  <c r="AA31" i="4"/>
  <c r="AQ31" i="4" s="1"/>
  <c r="AJ32" i="4"/>
  <c r="AA32" i="4"/>
  <c r="AC32" i="4" s="1"/>
  <c r="AD32" i="4" s="1"/>
  <c r="AJ35" i="4"/>
  <c r="AA35" i="4"/>
  <c r="AJ28" i="4"/>
  <c r="AA28" i="4"/>
  <c r="X36" i="4"/>
  <c r="AJ36" i="4" s="1"/>
  <c r="AR251" i="5"/>
  <c r="BI22" i="5"/>
  <c r="BK22" i="5" s="1"/>
  <c r="AA29" i="4"/>
  <c r="AA27" i="4"/>
  <c r="BI107" i="5"/>
  <c r="AQ125" i="5"/>
  <c r="X34" i="4"/>
  <c r="AJ34" i="4" s="1"/>
  <c r="AA30" i="4"/>
  <c r="AQ164" i="5"/>
  <c r="BI337" i="5"/>
  <c r="BI377" i="5"/>
  <c r="AR396" i="5"/>
  <c r="X33" i="4"/>
  <c r="AJ33" i="4" s="1"/>
  <c r="BI505" i="5"/>
  <c r="AR72" i="5"/>
  <c r="BI78" i="5"/>
  <c r="BI494" i="5"/>
  <c r="BI328" i="5"/>
  <c r="AQ328" i="5"/>
  <c r="AR195" i="5"/>
  <c r="AQ195" i="5"/>
  <c r="AR312" i="5"/>
  <c r="AR377" i="5"/>
  <c r="AR362" i="5"/>
  <c r="AR494" i="5"/>
  <c r="AQ264" i="5"/>
  <c r="AR264" i="5"/>
  <c r="BI495" i="5"/>
  <c r="BK495" i="5" s="1"/>
  <c r="BI79" i="5"/>
  <c r="AR276" i="5"/>
  <c r="AQ495" i="5"/>
  <c r="AR79" i="5"/>
  <c r="AR90" i="5"/>
  <c r="BI276" i="5"/>
  <c r="BJ276" i="5" s="1"/>
  <c r="AR347" i="5"/>
  <c r="BI115" i="5"/>
  <c r="BI459" i="5"/>
  <c r="BI168" i="5"/>
  <c r="BK168" i="5" s="1"/>
  <c r="AR247" i="5"/>
  <c r="BI164" i="5"/>
  <c r="BI340" i="5"/>
  <c r="BK340" i="5" s="1"/>
  <c r="AR107" i="5"/>
  <c r="AQ340" i="5"/>
  <c r="Z55" i="4"/>
  <c r="X55" i="4" s="1"/>
  <c r="AJ55" i="4" s="1"/>
  <c r="AQ10" i="5"/>
  <c r="AA55" i="4"/>
  <c r="AP55" i="4" s="1"/>
  <c r="Z54" i="4"/>
  <c r="X54" i="4" s="1"/>
  <c r="AJ54" i="4" s="1"/>
  <c r="Z105" i="4"/>
  <c r="X105" i="4" s="1"/>
  <c r="AJ105" i="4" s="1"/>
  <c r="AA151" i="4"/>
  <c r="AQ151" i="4" s="1"/>
  <c r="Z142" i="4"/>
  <c r="AA148" i="4"/>
  <c r="AP148" i="4" s="1"/>
  <c r="AA142" i="4"/>
  <c r="Z78" i="4"/>
  <c r="X78" i="4" s="1"/>
  <c r="AJ78" i="4" s="1"/>
  <c r="AA129" i="4"/>
  <c r="AC129" i="4" s="1"/>
  <c r="AD129" i="4" s="1"/>
  <c r="Z85" i="4"/>
  <c r="AF85" i="4" s="1"/>
  <c r="AG85" i="4" s="1"/>
  <c r="AI85" i="4" s="1"/>
  <c r="Z129" i="4"/>
  <c r="AN129" i="4" s="1"/>
  <c r="AA114" i="4"/>
  <c r="AC114" i="4" s="1"/>
  <c r="AD114" i="4" s="1"/>
  <c r="Z63" i="4"/>
  <c r="Z114" i="4"/>
  <c r="Z134" i="4"/>
  <c r="AK134" i="4" s="1"/>
  <c r="AL134" i="4" s="1"/>
  <c r="AA117" i="4"/>
  <c r="AQ117" i="4" s="1"/>
  <c r="Z61" i="4"/>
  <c r="AA134" i="4"/>
  <c r="AP134" i="4" s="1"/>
  <c r="Z152" i="4"/>
  <c r="AN152" i="4" s="1"/>
  <c r="AA152" i="4"/>
  <c r="AQ152" i="4" s="1"/>
  <c r="Z101" i="4"/>
  <c r="AA149" i="4"/>
  <c r="AQ149" i="4" s="1"/>
  <c r="AA155" i="4"/>
  <c r="AP155" i="4" s="1"/>
  <c r="Z133" i="4"/>
  <c r="AN133" i="4" s="1"/>
  <c r="Z69" i="4"/>
  <c r="Z95" i="4"/>
  <c r="Z110" i="4"/>
  <c r="Z111" i="4"/>
  <c r="Z106" i="4"/>
  <c r="Z65" i="4"/>
  <c r="Z113" i="4"/>
  <c r="AA135" i="4"/>
  <c r="AC135" i="4" s="1"/>
  <c r="AD135" i="4" s="1"/>
  <c r="Z59" i="4"/>
  <c r="Z112" i="4"/>
  <c r="Z117" i="4"/>
  <c r="AK117" i="4" s="1"/>
  <c r="AL117" i="4" s="1"/>
  <c r="Z135" i="4"/>
  <c r="AN135" i="4" s="1"/>
  <c r="Z57" i="4"/>
  <c r="AA141" i="4"/>
  <c r="AQ141" i="4" s="1"/>
  <c r="AA156" i="4"/>
  <c r="AQ156" i="4" s="1"/>
  <c r="AA92" i="4"/>
  <c r="AQ92" i="4" s="1"/>
  <c r="Z94" i="4"/>
  <c r="Z140" i="4"/>
  <c r="Z137" i="4"/>
  <c r="AF137" i="4" s="1"/>
  <c r="AG137" i="4" s="1"/>
  <c r="AI137" i="4" s="1"/>
  <c r="Z141" i="4"/>
  <c r="AN141" i="4" s="1"/>
  <c r="Z90" i="4"/>
  <c r="Z67" i="4"/>
  <c r="AA137" i="4"/>
  <c r="AP137" i="4" s="1"/>
  <c r="Z156" i="4"/>
  <c r="Z102" i="4"/>
  <c r="AA140" i="4"/>
  <c r="AC140" i="4" s="1"/>
  <c r="AD140" i="4" s="1"/>
  <c r="Z118" i="4"/>
  <c r="AK118" i="4" s="1"/>
  <c r="AL118" i="4" s="1"/>
  <c r="Z77" i="4"/>
  <c r="Z60" i="4"/>
  <c r="AA109" i="4"/>
  <c r="AP109" i="4" s="1"/>
  <c r="Z108" i="4"/>
  <c r="Z93" i="4"/>
  <c r="Z79" i="4"/>
  <c r="Z149" i="4"/>
  <c r="AK149" i="4" s="1"/>
  <c r="AL149" i="4" s="1"/>
  <c r="Z98" i="4"/>
  <c r="AA136" i="4"/>
  <c r="AC136" i="4" s="1"/>
  <c r="AD136" i="4" s="1"/>
  <c r="Z96" i="4"/>
  <c r="Z75" i="4"/>
  <c r="X75" i="4" s="1"/>
  <c r="AJ75" i="4" s="1"/>
  <c r="Z122" i="4"/>
  <c r="AN122" i="4" s="1"/>
  <c r="AA143" i="4"/>
  <c r="AQ143" i="4" s="1"/>
  <c r="Z81" i="4"/>
  <c r="Z136" i="4"/>
  <c r="AN136" i="4" s="1"/>
  <c r="Z89" i="4"/>
  <c r="AA133" i="4"/>
  <c r="AP133" i="4" s="1"/>
  <c r="Z66" i="4"/>
  <c r="AA122" i="4"/>
  <c r="AQ122" i="4" s="1"/>
  <c r="Z82" i="4"/>
  <c r="Z143" i="4"/>
  <c r="AN143" i="4" s="1"/>
  <c r="AA121" i="4"/>
  <c r="AP121" i="4" s="1"/>
  <c r="Z155" i="4"/>
  <c r="AK155" i="4" s="1"/>
  <c r="AL155" i="4" s="1"/>
  <c r="Z74" i="4"/>
  <c r="Z121" i="4"/>
  <c r="AK121" i="4" s="1"/>
  <c r="AL121" i="4" s="1"/>
  <c r="Z128" i="4"/>
  <c r="AK128" i="4" s="1"/>
  <c r="AL128" i="4" s="1"/>
  <c r="Z144" i="4"/>
  <c r="AK144" i="4" s="1"/>
  <c r="AL144" i="4" s="1"/>
  <c r="Z125" i="4"/>
  <c r="AN125" i="4" s="1"/>
  <c r="AA116" i="4"/>
  <c r="AC116" i="4" s="1"/>
  <c r="AD116" i="4" s="1"/>
  <c r="AA124" i="4"/>
  <c r="AC124" i="4" s="1"/>
  <c r="AD124" i="4" s="1"/>
  <c r="AA144" i="4"/>
  <c r="AC144" i="4" s="1"/>
  <c r="AD144" i="4" s="1"/>
  <c r="Z76" i="4"/>
  <c r="Z97" i="4"/>
  <c r="Z116" i="4"/>
  <c r="AK116" i="4" s="1"/>
  <c r="AL116" i="4" s="1"/>
  <c r="Z124" i="4"/>
  <c r="AF124" i="4" s="1"/>
  <c r="AG124" i="4" s="1"/>
  <c r="AI124" i="4" s="1"/>
  <c r="AA128" i="4"/>
  <c r="AA118" i="4"/>
  <c r="AQ118" i="4" s="1"/>
  <c r="Z62" i="4"/>
  <c r="AJ17" i="4"/>
  <c r="AA16" i="4"/>
  <c r="AC16" i="4" s="1"/>
  <c r="AD16" i="4" s="1"/>
  <c r="AA22" i="4"/>
  <c r="AC22" i="4" s="1"/>
  <c r="AD22" i="4" s="1"/>
  <c r="AA12" i="4"/>
  <c r="AQ12" i="4" s="1"/>
  <c r="AA19" i="4"/>
  <c r="AQ19" i="4" s="1"/>
  <c r="AA14" i="4"/>
  <c r="AQ14" i="4" s="1"/>
  <c r="AA20" i="4"/>
  <c r="AQ20" i="4" s="1"/>
  <c r="AA10" i="4"/>
  <c r="AP10" i="4" s="1"/>
  <c r="AA11" i="4"/>
  <c r="AQ11" i="4" s="1"/>
  <c r="AA23" i="4"/>
  <c r="AP23" i="4" s="1"/>
  <c r="AA24" i="4"/>
  <c r="AP24" i="4" s="1"/>
  <c r="AA9" i="4"/>
  <c r="AC9" i="4" s="1"/>
  <c r="AD9" i="4" s="1"/>
  <c r="AA21" i="4"/>
  <c r="AA8" i="4"/>
  <c r="AC8" i="4" s="1"/>
  <c r="AD8" i="4" s="1"/>
  <c r="AA15" i="4"/>
  <c r="AQ15" i="4" s="1"/>
  <c r="AA18" i="4"/>
  <c r="AP18" i="4" s="1"/>
  <c r="AA13" i="4"/>
  <c r="AP13" i="4" s="1"/>
  <c r="AA7" i="4"/>
  <c r="AC7" i="4" s="1"/>
  <c r="AD7" i="4" s="1"/>
  <c r="AA25" i="4"/>
  <c r="AP25" i="4" s="1"/>
  <c r="AQ7" i="5"/>
  <c r="B209" i="2" s="1"/>
  <c r="B214" i="2" s="1"/>
  <c r="B215" i="2" s="1"/>
  <c r="B188" i="2"/>
  <c r="B222" i="2" s="1"/>
  <c r="F68" i="1" s="1"/>
  <c r="B190" i="2"/>
  <c r="B226" i="2" s="1"/>
  <c r="F70" i="1" s="1"/>
  <c r="AC418" i="5"/>
  <c r="AD418" i="5" s="1"/>
  <c r="AN151" i="4"/>
  <c r="AK151" i="4"/>
  <c r="AL151" i="4" s="1"/>
  <c r="AF151" i="4"/>
  <c r="AG151" i="4" s="1"/>
  <c r="AI151" i="4" s="1"/>
  <c r="AN28" i="4"/>
  <c r="AK28" i="4"/>
  <c r="AL28" i="4" s="1"/>
  <c r="AF28" i="4"/>
  <c r="AG28" i="4" s="1"/>
  <c r="AI28" i="4" s="1"/>
  <c r="BJ250" i="5"/>
  <c r="BK250" i="5"/>
  <c r="BK43" i="5"/>
  <c r="BJ43" i="5"/>
  <c r="BJ460" i="5"/>
  <c r="BK460" i="5"/>
  <c r="BK427" i="5"/>
  <c r="BJ427" i="5"/>
  <c r="BK544" i="5"/>
  <c r="BJ544" i="5"/>
  <c r="BJ163" i="5"/>
  <c r="BK163" i="5"/>
  <c r="BK118" i="5"/>
  <c r="BJ118" i="5"/>
  <c r="BK488" i="5"/>
  <c r="BJ488" i="5"/>
  <c r="BJ62" i="5"/>
  <c r="BK62" i="5"/>
  <c r="BK32" i="5"/>
  <c r="BJ32" i="5"/>
  <c r="AN45" i="4"/>
  <c r="AK45" i="4"/>
  <c r="AL45" i="4" s="1"/>
  <c r="AF45" i="4"/>
  <c r="AG45" i="4" s="1"/>
  <c r="AI45" i="4" s="1"/>
  <c r="AQ132" i="4"/>
  <c r="AP132" i="4"/>
  <c r="AC132" i="4"/>
  <c r="AD132" i="4" s="1"/>
  <c r="AN17" i="4"/>
  <c r="AF17" i="4"/>
  <c r="AG17" i="4" s="1"/>
  <c r="AI17" i="4" s="1"/>
  <c r="AK17" i="4"/>
  <c r="AL17" i="4" s="1"/>
  <c r="AC154" i="4"/>
  <c r="AD154" i="4" s="1"/>
  <c r="AP154" i="4"/>
  <c r="AQ154" i="4"/>
  <c r="AP115" i="4"/>
  <c r="AQ115" i="4"/>
  <c r="AC115" i="4"/>
  <c r="AD115" i="4" s="1"/>
  <c r="AN40" i="4"/>
  <c r="AK40" i="4"/>
  <c r="AL40" i="4" s="1"/>
  <c r="AF40" i="4"/>
  <c r="AG40" i="4" s="1"/>
  <c r="AI40" i="4" s="1"/>
  <c r="AK13" i="4"/>
  <c r="AL13" i="4" s="1"/>
  <c r="AN13" i="4"/>
  <c r="AF13" i="4"/>
  <c r="AG13" i="4" s="1"/>
  <c r="AI13" i="4" s="1"/>
  <c r="AC83" i="4"/>
  <c r="AD83" i="4" s="1"/>
  <c r="AK31" i="4"/>
  <c r="AL31" i="4" s="1"/>
  <c r="AN31" i="4"/>
  <c r="AF31" i="4"/>
  <c r="AG31" i="4" s="1"/>
  <c r="AI31" i="4" s="1"/>
  <c r="BJ321" i="5"/>
  <c r="BK321" i="5"/>
  <c r="AQ148" i="5"/>
  <c r="BI148" i="5"/>
  <c r="AR148" i="5"/>
  <c r="BJ366" i="5"/>
  <c r="BK366" i="5"/>
  <c r="BJ153" i="5"/>
  <c r="BK153" i="5"/>
  <c r="BK100" i="5"/>
  <c r="BJ100" i="5"/>
  <c r="BJ451" i="5"/>
  <c r="BK451" i="5"/>
  <c r="BK203" i="5"/>
  <c r="BJ203" i="5"/>
  <c r="BJ257" i="5"/>
  <c r="BK257" i="5"/>
  <c r="BJ486" i="5"/>
  <c r="BK486" i="5"/>
  <c r="AN36" i="4"/>
  <c r="AF36" i="4"/>
  <c r="AG36" i="4" s="1"/>
  <c r="AI36" i="4" s="1"/>
  <c r="AP131" i="4"/>
  <c r="AC131" i="4"/>
  <c r="AD131" i="4" s="1"/>
  <c r="AQ131" i="4"/>
  <c r="AN12" i="4"/>
  <c r="AF12" i="4"/>
  <c r="AG12" i="4" s="1"/>
  <c r="AI12" i="4" s="1"/>
  <c r="AK12" i="4"/>
  <c r="AL12" i="4" s="1"/>
  <c r="BK499" i="5"/>
  <c r="BJ499" i="5"/>
  <c r="BK542" i="5"/>
  <c r="BJ542" i="5"/>
  <c r="BK122" i="5"/>
  <c r="BJ122" i="5"/>
  <c r="BJ19" i="5"/>
  <c r="BK19" i="5"/>
  <c r="BJ424" i="5"/>
  <c r="BK424" i="5"/>
  <c r="BJ314" i="5"/>
  <c r="BK314" i="5"/>
  <c r="BK216" i="5"/>
  <c r="BJ216" i="5"/>
  <c r="BJ429" i="5"/>
  <c r="BK429" i="5"/>
  <c r="BI504" i="5"/>
  <c r="AR504" i="5"/>
  <c r="AQ504" i="5"/>
  <c r="BI419" i="5"/>
  <c r="AQ419" i="5"/>
  <c r="AR419" i="5"/>
  <c r="BJ549" i="5"/>
  <c r="BK549" i="5"/>
  <c r="BJ503" i="5"/>
  <c r="BK503" i="5"/>
  <c r="BJ320" i="5"/>
  <c r="BK320" i="5"/>
  <c r="AR462" i="5"/>
  <c r="AQ462" i="5"/>
  <c r="BI462" i="5"/>
  <c r="BJ117" i="5"/>
  <c r="BK117" i="5"/>
  <c r="BJ223" i="5"/>
  <c r="BK223" i="5"/>
  <c r="BI284" i="5"/>
  <c r="AR284" i="5"/>
  <c r="AQ284" i="5"/>
  <c r="BK82" i="5"/>
  <c r="BJ82" i="5"/>
  <c r="BK269" i="5"/>
  <c r="BJ269" i="5"/>
  <c r="BK50" i="5"/>
  <c r="BJ50" i="5"/>
  <c r="AR186" i="5"/>
  <c r="AQ186" i="5"/>
  <c r="BI186" i="5"/>
  <c r="BJ450" i="5"/>
  <c r="BK450" i="5"/>
  <c r="BK147" i="5"/>
  <c r="BJ147" i="5"/>
  <c r="BJ152" i="5"/>
  <c r="BK152" i="5"/>
  <c r="BK69" i="5"/>
  <c r="BJ69" i="5"/>
  <c r="BJ238" i="5"/>
  <c r="BK238" i="5"/>
  <c r="BK518" i="5"/>
  <c r="BJ518" i="5"/>
  <c r="BJ493" i="5"/>
  <c r="BK493" i="5"/>
  <c r="AQ146" i="4"/>
  <c r="AP146" i="4"/>
  <c r="AC146" i="4"/>
  <c r="AD146" i="4" s="1"/>
  <c r="AK64" i="4"/>
  <c r="AL64" i="4" s="1"/>
  <c r="AN64" i="4"/>
  <c r="AF64" i="4"/>
  <c r="AG64" i="4" s="1"/>
  <c r="AI64" i="4" s="1"/>
  <c r="AK109" i="4"/>
  <c r="AL109" i="4" s="1"/>
  <c r="AN109" i="4"/>
  <c r="AF109" i="4"/>
  <c r="AG109" i="4" s="1"/>
  <c r="AI109" i="4" s="1"/>
  <c r="AN37" i="4"/>
  <c r="AF37" i="4"/>
  <c r="AG37" i="4" s="1"/>
  <c r="AI37" i="4" s="1"/>
  <c r="AK37" i="4"/>
  <c r="AL37" i="4" s="1"/>
  <c r="AK68" i="4"/>
  <c r="AL68" i="4" s="1"/>
  <c r="AN68" i="4"/>
  <c r="AF68" i="4"/>
  <c r="AG68" i="4" s="1"/>
  <c r="AI68" i="4" s="1"/>
  <c r="AK56" i="4"/>
  <c r="AL56" i="4" s="1"/>
  <c r="AN56" i="4"/>
  <c r="AF56" i="4"/>
  <c r="AG56" i="4" s="1"/>
  <c r="AI56" i="4" s="1"/>
  <c r="AK119" i="4"/>
  <c r="AL119" i="4" s="1"/>
  <c r="AN119" i="4"/>
  <c r="AF119" i="4"/>
  <c r="AG119" i="4" s="1"/>
  <c r="AI119" i="4" s="1"/>
  <c r="AN43" i="4"/>
  <c r="AF43" i="4"/>
  <c r="AG43" i="4" s="1"/>
  <c r="AI43" i="4" s="1"/>
  <c r="AN84" i="4"/>
  <c r="AK84" i="4"/>
  <c r="AL84" i="4" s="1"/>
  <c r="AF84" i="4"/>
  <c r="AG84" i="4" s="1"/>
  <c r="AI84" i="4" s="1"/>
  <c r="AQ84" i="4"/>
  <c r="AN148" i="4"/>
  <c r="AK148" i="4"/>
  <c r="AL148" i="4" s="1"/>
  <c r="AF148" i="4"/>
  <c r="AG148" i="4" s="1"/>
  <c r="AI148" i="4" s="1"/>
  <c r="AK70" i="4"/>
  <c r="AL70" i="4" s="1"/>
  <c r="AN70" i="4"/>
  <c r="AF70" i="4"/>
  <c r="AG70" i="4" s="1"/>
  <c r="AI70" i="4" s="1"/>
  <c r="BK200" i="5"/>
  <c r="BJ200" i="5"/>
  <c r="BJ431" i="5"/>
  <c r="BK431" i="5"/>
  <c r="BK381" i="5"/>
  <c r="BJ381" i="5"/>
  <c r="BJ263" i="5"/>
  <c r="BK263" i="5"/>
  <c r="BK560" i="5"/>
  <c r="BJ560" i="5"/>
  <c r="BK155" i="5"/>
  <c r="BJ155" i="5"/>
  <c r="BK389" i="5"/>
  <c r="BJ389" i="5"/>
  <c r="BK190" i="5"/>
  <c r="BJ190" i="5"/>
  <c r="BK417" i="5"/>
  <c r="BJ417" i="5"/>
  <c r="BJ211" i="5"/>
  <c r="BK211" i="5"/>
  <c r="BJ91" i="5"/>
  <c r="BK91" i="5"/>
  <c r="BJ47" i="5"/>
  <c r="BK47" i="5"/>
  <c r="BK406" i="5"/>
  <c r="BJ406" i="5"/>
  <c r="BJ528" i="5"/>
  <c r="BK528" i="5"/>
  <c r="BJ456" i="5"/>
  <c r="BK456" i="5"/>
  <c r="BK157" i="5"/>
  <c r="BJ157" i="5"/>
  <c r="BJ418" i="5"/>
  <c r="BK418" i="5"/>
  <c r="BJ329" i="5"/>
  <c r="BK329" i="5"/>
  <c r="BJ449" i="5"/>
  <c r="BK449" i="5"/>
  <c r="AQ386" i="5"/>
  <c r="BI386" i="5"/>
  <c r="AR386" i="5"/>
  <c r="BK352" i="5"/>
  <c r="BJ352" i="5"/>
  <c r="BK358" i="5"/>
  <c r="BJ358" i="5"/>
  <c r="BK225" i="5"/>
  <c r="BJ225" i="5"/>
  <c r="BJ233" i="5"/>
  <c r="BK233" i="5"/>
  <c r="BK300" i="5"/>
  <c r="BJ300" i="5"/>
  <c r="S9" i="5"/>
  <c r="R9" i="5"/>
  <c r="R135" i="5"/>
  <c r="S135" i="5"/>
  <c r="R432" i="5"/>
  <c r="S432" i="5"/>
  <c r="S381" i="5"/>
  <c r="R381" i="5"/>
  <c r="S151" i="5"/>
  <c r="R151" i="5"/>
  <c r="R129" i="5"/>
  <c r="S129" i="5"/>
  <c r="S222" i="5"/>
  <c r="R222" i="5"/>
  <c r="R107" i="5"/>
  <c r="S107" i="5"/>
  <c r="R240" i="5"/>
  <c r="S240" i="5"/>
  <c r="S34" i="5"/>
  <c r="R34" i="5"/>
  <c r="R454" i="5"/>
  <c r="S454" i="5"/>
  <c r="R257" i="5"/>
  <c r="S257" i="5"/>
  <c r="S378" i="5"/>
  <c r="R378" i="5"/>
  <c r="S223" i="5"/>
  <c r="R223" i="5"/>
  <c r="R125" i="5"/>
  <c r="S125" i="5"/>
  <c r="R128" i="5"/>
  <c r="S128" i="5"/>
  <c r="S253" i="5"/>
  <c r="R253" i="5"/>
  <c r="R419" i="5"/>
  <c r="S419" i="5"/>
  <c r="R533" i="5"/>
  <c r="S533" i="5"/>
  <c r="S343" i="5"/>
  <c r="R343" i="5"/>
  <c r="R37" i="5"/>
  <c r="S37" i="5"/>
  <c r="R401" i="5"/>
  <c r="S401" i="5"/>
  <c r="S536" i="5"/>
  <c r="R536" i="5"/>
  <c r="R489" i="5"/>
  <c r="S489" i="5"/>
  <c r="S324" i="5"/>
  <c r="R324" i="5"/>
  <c r="R508" i="5"/>
  <c r="S508" i="5"/>
  <c r="R444" i="5"/>
  <c r="S444" i="5"/>
  <c r="S289" i="5"/>
  <c r="R289" i="5"/>
  <c r="R259" i="5"/>
  <c r="S259" i="5"/>
  <c r="R20" i="5"/>
  <c r="S20" i="5"/>
  <c r="S486" i="5"/>
  <c r="R486" i="5"/>
  <c r="S195" i="5"/>
  <c r="R195" i="5"/>
  <c r="S178" i="5"/>
  <c r="R178" i="5"/>
  <c r="S126" i="5"/>
  <c r="R126" i="5"/>
  <c r="R85" i="5"/>
  <c r="S85" i="5"/>
  <c r="S556" i="5"/>
  <c r="R556" i="5"/>
  <c r="R546" i="5"/>
  <c r="S546" i="5"/>
  <c r="S59" i="5"/>
  <c r="R59" i="5"/>
  <c r="R203" i="5"/>
  <c r="S203" i="5"/>
  <c r="R147" i="5"/>
  <c r="S147" i="5"/>
  <c r="S232" i="5"/>
  <c r="R232" i="5"/>
  <c r="R162" i="5"/>
  <c r="S162" i="5"/>
  <c r="S420" i="5"/>
  <c r="R420" i="5"/>
  <c r="S41" i="5"/>
  <c r="R41" i="5"/>
  <c r="S406" i="5"/>
  <c r="R406" i="5"/>
  <c r="R270" i="5"/>
  <c r="S270" i="5"/>
  <c r="S49" i="5"/>
  <c r="R49" i="5"/>
  <c r="S519" i="5"/>
  <c r="R519" i="5"/>
  <c r="S83" i="5"/>
  <c r="R83" i="5"/>
  <c r="S196" i="5"/>
  <c r="R196" i="5"/>
  <c r="S205" i="5"/>
  <c r="R205" i="5"/>
  <c r="S491" i="5"/>
  <c r="R491" i="5"/>
  <c r="R340" i="5"/>
  <c r="S340" i="5"/>
  <c r="S380" i="5"/>
  <c r="R380" i="5"/>
  <c r="R469" i="5"/>
  <c r="S469" i="5"/>
  <c r="S297" i="5"/>
  <c r="R297" i="5"/>
  <c r="S153" i="5"/>
  <c r="R153" i="5"/>
  <c r="R216" i="5"/>
  <c r="S216" i="5"/>
  <c r="S84" i="5"/>
  <c r="R84" i="5"/>
  <c r="S511" i="5"/>
  <c r="R511" i="5"/>
  <c r="R403" i="5"/>
  <c r="S403" i="5"/>
  <c r="S77" i="5"/>
  <c r="R77" i="5"/>
  <c r="R358" i="5"/>
  <c r="S358" i="5"/>
  <c r="S198" i="5"/>
  <c r="R198" i="5"/>
  <c r="S262" i="5"/>
  <c r="R262" i="5"/>
  <c r="S160" i="5"/>
  <c r="R160" i="5"/>
  <c r="R307" i="5"/>
  <c r="S307" i="5"/>
  <c r="S100" i="5"/>
  <c r="R100" i="5"/>
  <c r="S437" i="5"/>
  <c r="R437" i="5"/>
  <c r="R525" i="5"/>
  <c r="S525" i="5"/>
  <c r="R312" i="5"/>
  <c r="S312" i="5"/>
  <c r="R189" i="5"/>
  <c r="S189" i="5"/>
  <c r="S258" i="5"/>
  <c r="R258" i="5"/>
  <c r="R239" i="5"/>
  <c r="S239" i="5"/>
  <c r="S171" i="5"/>
  <c r="R171" i="5"/>
  <c r="R31" i="5"/>
  <c r="S31" i="5"/>
  <c r="R230" i="5"/>
  <c r="S230" i="5"/>
  <c r="S433" i="5"/>
  <c r="R433" i="5"/>
  <c r="R106" i="5"/>
  <c r="S106" i="5"/>
  <c r="S494" i="5"/>
  <c r="R494" i="5"/>
  <c r="R431" i="5"/>
  <c r="S431" i="5"/>
  <c r="R429" i="5"/>
  <c r="S429" i="5"/>
  <c r="R553" i="5"/>
  <c r="S553" i="5"/>
  <c r="R446" i="5"/>
  <c r="S446" i="5"/>
  <c r="R379" i="5"/>
  <c r="S379" i="5"/>
  <c r="S200" i="5"/>
  <c r="R200" i="5"/>
  <c r="R228" i="5"/>
  <c r="S228" i="5"/>
  <c r="S164" i="5"/>
  <c r="R164" i="5"/>
  <c r="S370" i="5"/>
  <c r="R370" i="5"/>
  <c r="S552" i="5"/>
  <c r="R552" i="5"/>
  <c r="S140" i="5"/>
  <c r="R140" i="5"/>
  <c r="S467" i="5"/>
  <c r="R467" i="5"/>
  <c r="S414" i="5"/>
  <c r="R414" i="5"/>
  <c r="R427" i="5"/>
  <c r="S427" i="5"/>
  <c r="R473" i="5"/>
  <c r="S473" i="5"/>
  <c r="R74" i="5"/>
  <c r="S74" i="5"/>
  <c r="S248" i="5"/>
  <c r="R248" i="5"/>
  <c r="S261" i="5"/>
  <c r="R261" i="5"/>
  <c r="S163" i="5"/>
  <c r="R163" i="5"/>
  <c r="S320" i="5"/>
  <c r="R320" i="5"/>
  <c r="R172" i="5"/>
  <c r="S172" i="5"/>
  <c r="S349" i="5"/>
  <c r="R349" i="5"/>
  <c r="S197" i="5"/>
  <c r="R197" i="5"/>
  <c r="R19" i="5"/>
  <c r="S19" i="5"/>
  <c r="S82" i="5"/>
  <c r="R82" i="5"/>
  <c r="S315" i="5"/>
  <c r="R315" i="5"/>
  <c r="R535" i="5"/>
  <c r="S535" i="5"/>
  <c r="S296" i="5"/>
  <c r="R296" i="5"/>
  <c r="R346" i="5"/>
  <c r="S346" i="5"/>
  <c r="S393" i="5"/>
  <c r="R393" i="5"/>
  <c r="S149" i="5"/>
  <c r="R149" i="5"/>
  <c r="S204" i="5"/>
  <c r="R204" i="5"/>
  <c r="S187" i="5"/>
  <c r="R187" i="5"/>
  <c r="S506" i="5"/>
  <c r="R506" i="5"/>
  <c r="S412" i="5"/>
  <c r="R412" i="5"/>
  <c r="R66" i="5"/>
  <c r="S66" i="5"/>
  <c r="S434" i="5"/>
  <c r="R434" i="5"/>
  <c r="R461" i="5"/>
  <c r="S461" i="5"/>
  <c r="S72" i="5"/>
  <c r="R72" i="5"/>
  <c r="R389" i="5"/>
  <c r="S389" i="5"/>
  <c r="R529" i="5"/>
  <c r="S529" i="5"/>
  <c r="R350" i="5"/>
  <c r="S350" i="5"/>
  <c r="S111" i="5"/>
  <c r="R111" i="5"/>
  <c r="S542" i="5"/>
  <c r="R542" i="5"/>
  <c r="R269" i="5"/>
  <c r="S269" i="5"/>
  <c r="R460" i="5"/>
  <c r="S460" i="5"/>
  <c r="R123" i="5"/>
  <c r="S123" i="5"/>
  <c r="S168" i="5"/>
  <c r="R168" i="5"/>
  <c r="R137" i="5"/>
  <c r="S137" i="5"/>
  <c r="R69" i="5"/>
  <c r="S69" i="5"/>
  <c r="R400" i="5"/>
  <c r="S400" i="5"/>
  <c r="R416" i="5"/>
  <c r="S416" i="5"/>
  <c r="R504" i="5"/>
  <c r="S504" i="5"/>
  <c r="R495" i="5"/>
  <c r="S495" i="5"/>
  <c r="R459" i="5"/>
  <c r="S459" i="5"/>
  <c r="R150" i="5"/>
  <c r="S150" i="5"/>
  <c r="Q11" i="5"/>
  <c r="AG11" i="5"/>
  <c r="AT11" i="5"/>
  <c r="AM11" i="5"/>
  <c r="AZ11" i="5"/>
  <c r="T11" i="5"/>
  <c r="AW11" i="5"/>
  <c r="AJ11" i="5"/>
  <c r="W11" i="5"/>
  <c r="Z11" i="5"/>
  <c r="AN103" i="4"/>
  <c r="AK103" i="4"/>
  <c r="AL103" i="4" s="1"/>
  <c r="AF103" i="4"/>
  <c r="AG103" i="4" s="1"/>
  <c r="AI103" i="4" s="1"/>
  <c r="AP103" i="4"/>
  <c r="AQ103" i="4"/>
  <c r="BE9" i="5"/>
  <c r="BD9" i="5"/>
  <c r="AP147" i="4"/>
  <c r="AC147" i="4"/>
  <c r="AD147" i="4" s="1"/>
  <c r="AQ147" i="4"/>
  <c r="AN30" i="4"/>
  <c r="AK30" i="4"/>
  <c r="AL30" i="4" s="1"/>
  <c r="AF30" i="4"/>
  <c r="AG30" i="4" s="1"/>
  <c r="AI30" i="4" s="1"/>
  <c r="AK44" i="4"/>
  <c r="AL44" i="4" s="1"/>
  <c r="AN44" i="4"/>
  <c r="AF44" i="4"/>
  <c r="AG44" i="4" s="1"/>
  <c r="AI44" i="4" s="1"/>
  <c r="AF33" i="4"/>
  <c r="AG33" i="4" s="1"/>
  <c r="AI33" i="4" s="1"/>
  <c r="AN33" i="4"/>
  <c r="BJ277" i="5"/>
  <c r="BK277" i="5"/>
  <c r="BJ371" i="5"/>
  <c r="BK371" i="5"/>
  <c r="BJ445" i="5"/>
  <c r="BK445" i="5"/>
  <c r="AR500" i="5"/>
  <c r="BI500" i="5"/>
  <c r="AQ500" i="5"/>
  <c r="AQ127" i="5"/>
  <c r="BI127" i="5"/>
  <c r="AR127" i="5"/>
  <c r="BJ532" i="5"/>
  <c r="BK532" i="5"/>
  <c r="BK465" i="5"/>
  <c r="BJ465" i="5"/>
  <c r="BJ425" i="5"/>
  <c r="BK425" i="5"/>
  <c r="BJ265" i="5"/>
  <c r="BK265" i="5"/>
  <c r="BK194" i="5"/>
  <c r="BJ194" i="5"/>
  <c r="AK107" i="4"/>
  <c r="AL107" i="4" s="1"/>
  <c r="AN107" i="4"/>
  <c r="AF107" i="4"/>
  <c r="AG107" i="4" s="1"/>
  <c r="AI107" i="4" s="1"/>
  <c r="AP86" i="4"/>
  <c r="AC86" i="4"/>
  <c r="AD86" i="4" s="1"/>
  <c r="AN11" i="4"/>
  <c r="AK11" i="4"/>
  <c r="AL11" i="4" s="1"/>
  <c r="AF11" i="4"/>
  <c r="AG11" i="4" s="1"/>
  <c r="AI11" i="4" s="1"/>
  <c r="AN18" i="4"/>
  <c r="AF18" i="4"/>
  <c r="AG18" i="4" s="1"/>
  <c r="AI18" i="4" s="1"/>
  <c r="AK18" i="4"/>
  <c r="AL18" i="4" s="1"/>
  <c r="AN127" i="4"/>
  <c r="AK127" i="4"/>
  <c r="AL127" i="4" s="1"/>
  <c r="AF127" i="4"/>
  <c r="AG127" i="4" s="1"/>
  <c r="AI127" i="4" s="1"/>
  <c r="AN19" i="4"/>
  <c r="AK19" i="4"/>
  <c r="AL19" i="4" s="1"/>
  <c r="AF19" i="4"/>
  <c r="AG19" i="4" s="1"/>
  <c r="AI19" i="4" s="1"/>
  <c r="AF7" i="4"/>
  <c r="AG7" i="4" s="1"/>
  <c r="AI7" i="4" s="1"/>
  <c r="AN7" i="4"/>
  <c r="AK7" i="4"/>
  <c r="AL7" i="4" s="1"/>
  <c r="AK83" i="4"/>
  <c r="AL83" i="4" s="1"/>
  <c r="AN83" i="4"/>
  <c r="AF83" i="4"/>
  <c r="AG83" i="4" s="1"/>
  <c r="AI83" i="4" s="1"/>
  <c r="AQ126" i="4"/>
  <c r="AC126" i="4"/>
  <c r="AD126" i="4" s="1"/>
  <c r="AP126" i="4"/>
  <c r="AP31" i="4"/>
  <c r="AR9" i="5"/>
  <c r="AQ9" i="5"/>
  <c r="BI9" i="5"/>
  <c r="BK56" i="5"/>
  <c r="BJ56" i="5"/>
  <c r="BJ461" i="5"/>
  <c r="BK461" i="5"/>
  <c r="BK360" i="5"/>
  <c r="BJ360" i="5"/>
  <c r="BJ430" i="5"/>
  <c r="BK430" i="5"/>
  <c r="BK295" i="5"/>
  <c r="BJ295" i="5"/>
  <c r="AQ267" i="5"/>
  <c r="BI267" i="5"/>
  <c r="AR267" i="5"/>
  <c r="BK128" i="5"/>
  <c r="BJ128" i="5"/>
  <c r="AQ72" i="4"/>
  <c r="AP72" i="4"/>
  <c r="AC72" i="4"/>
  <c r="AD72" i="4" s="1"/>
  <c r="AN131" i="4"/>
  <c r="AK131" i="4"/>
  <c r="AL131" i="4" s="1"/>
  <c r="AF131" i="4"/>
  <c r="AG131" i="4" s="1"/>
  <c r="AI131" i="4" s="1"/>
  <c r="AK73" i="4"/>
  <c r="AL73" i="4" s="1"/>
  <c r="AN73" i="4"/>
  <c r="AF73" i="4"/>
  <c r="AG73" i="4" s="1"/>
  <c r="AI73" i="4" s="1"/>
  <c r="AN49" i="4"/>
  <c r="AK49" i="4"/>
  <c r="AL49" i="4" s="1"/>
  <c r="AF49" i="4"/>
  <c r="AG49" i="4" s="1"/>
  <c r="AI49" i="4" s="1"/>
  <c r="BJ513" i="5"/>
  <c r="BK513" i="5"/>
  <c r="AR77" i="5"/>
  <c r="AQ77" i="5"/>
  <c r="BI77" i="5"/>
  <c r="BK55" i="5"/>
  <c r="BJ55" i="5"/>
  <c r="BJ104" i="5"/>
  <c r="BK104" i="5"/>
  <c r="BK89" i="5"/>
  <c r="BK467" i="5"/>
  <c r="BJ467" i="5"/>
  <c r="BK401" i="5"/>
  <c r="BJ401" i="5"/>
  <c r="BJ506" i="5"/>
  <c r="BK506" i="5"/>
  <c r="BJ361" i="5"/>
  <c r="BK361" i="5"/>
  <c r="BK123" i="5"/>
  <c r="BJ123" i="5"/>
  <c r="BJ110" i="5"/>
  <c r="BK110" i="5"/>
  <c r="BK20" i="5"/>
  <c r="BJ20" i="5"/>
  <c r="BK520" i="5"/>
  <c r="BJ520" i="5"/>
  <c r="AR416" i="5"/>
  <c r="BI416" i="5"/>
  <c r="AQ416" i="5"/>
  <c r="BJ51" i="5"/>
  <c r="BK51" i="5"/>
  <c r="BJ88" i="5"/>
  <c r="BK88" i="5"/>
  <c r="BK390" i="5"/>
  <c r="BJ390" i="5"/>
  <c r="BK92" i="5"/>
  <c r="BJ92" i="5"/>
  <c r="BK398" i="5"/>
  <c r="BJ398" i="5"/>
  <c r="BK354" i="5"/>
  <c r="BJ354" i="5"/>
  <c r="BJ230" i="5"/>
  <c r="BK230" i="5"/>
  <c r="BK270" i="5"/>
  <c r="BJ270" i="5"/>
  <c r="BJ215" i="5"/>
  <c r="BK215" i="5"/>
  <c r="BJ224" i="5"/>
  <c r="BK224" i="5"/>
  <c r="BK482" i="5"/>
  <c r="BJ482" i="5"/>
  <c r="BJ559" i="5"/>
  <c r="BK559" i="5"/>
  <c r="AN146" i="4"/>
  <c r="AK146" i="4"/>
  <c r="AL146" i="4" s="1"/>
  <c r="AF146" i="4"/>
  <c r="AG146" i="4" s="1"/>
  <c r="AI146" i="4" s="1"/>
  <c r="AP64" i="4"/>
  <c r="AQ64" i="4"/>
  <c r="AC64" i="4"/>
  <c r="AD64" i="4" s="1"/>
  <c r="AP37" i="4"/>
  <c r="AC37" i="4"/>
  <c r="AD37" i="4" s="1"/>
  <c r="AQ37" i="4"/>
  <c r="AP68" i="4"/>
  <c r="AC68" i="4"/>
  <c r="AD68" i="4" s="1"/>
  <c r="AQ68" i="4"/>
  <c r="AK130" i="4"/>
  <c r="AL130" i="4" s="1"/>
  <c r="AN130" i="4"/>
  <c r="AF130" i="4"/>
  <c r="AG130" i="4" s="1"/>
  <c r="AI130" i="4" s="1"/>
  <c r="AK55" i="4"/>
  <c r="AL55" i="4" s="1"/>
  <c r="AN20" i="4"/>
  <c r="AF20" i="4"/>
  <c r="AG20" i="4" s="1"/>
  <c r="AI20" i="4" s="1"/>
  <c r="AK20" i="4"/>
  <c r="AL20" i="4" s="1"/>
  <c r="AQ140" i="4"/>
  <c r="AN88" i="4"/>
  <c r="AK88" i="4"/>
  <c r="AL88" i="4" s="1"/>
  <c r="AF88" i="4"/>
  <c r="AG88" i="4" s="1"/>
  <c r="AI88" i="4" s="1"/>
  <c r="AQ70" i="4"/>
  <c r="AP70" i="4"/>
  <c r="AC70" i="4"/>
  <c r="AD70" i="4" s="1"/>
  <c r="AQ150" i="4"/>
  <c r="AP150" i="4"/>
  <c r="AC150" i="4"/>
  <c r="AD150" i="4" s="1"/>
  <c r="BJ39" i="5"/>
  <c r="BK39" i="5"/>
  <c r="BK309" i="5"/>
  <c r="BJ309" i="5"/>
  <c r="BJ438" i="5"/>
  <c r="BK438" i="5"/>
  <c r="BJ405" i="5"/>
  <c r="BK405" i="5"/>
  <c r="BK475" i="5"/>
  <c r="BJ475" i="5"/>
  <c r="BK36" i="5"/>
  <c r="BJ36" i="5"/>
  <c r="BJ46" i="5"/>
  <c r="BK46" i="5"/>
  <c r="BK447" i="5"/>
  <c r="BJ447" i="5"/>
  <c r="BK453" i="5"/>
  <c r="BJ453" i="5"/>
  <c r="BJ158" i="5"/>
  <c r="BK158" i="5"/>
  <c r="BK428" i="5"/>
  <c r="BJ428" i="5"/>
  <c r="BK439" i="5"/>
  <c r="BJ439" i="5"/>
  <c r="BK236" i="5"/>
  <c r="BJ236" i="5"/>
  <c r="BJ191" i="5"/>
  <c r="BK191" i="5"/>
  <c r="BJ143" i="5"/>
  <c r="BK143" i="5"/>
  <c r="BK204" i="5"/>
  <c r="BJ204" i="5"/>
  <c r="BJ470" i="5"/>
  <c r="BK470" i="5"/>
  <c r="BJ338" i="5"/>
  <c r="BK338" i="5"/>
  <c r="BK67" i="5"/>
  <c r="BJ67" i="5"/>
  <c r="BK466" i="5"/>
  <c r="BJ466" i="5"/>
  <c r="BK508" i="5"/>
  <c r="BJ508" i="5"/>
  <c r="BK81" i="5"/>
  <c r="BJ81" i="5"/>
  <c r="BK407" i="5"/>
  <c r="BJ407" i="5"/>
  <c r="AR84" i="5"/>
  <c r="BI84" i="5"/>
  <c r="AQ84" i="5"/>
  <c r="BK378" i="5"/>
  <c r="BJ378" i="5"/>
  <c r="BJ228" i="5"/>
  <c r="BK228" i="5"/>
  <c r="BJ49" i="5"/>
  <c r="BK49" i="5"/>
  <c r="R179" i="5"/>
  <c r="S179" i="5"/>
  <c r="S35" i="5"/>
  <c r="R35" i="5"/>
  <c r="S550" i="5"/>
  <c r="R550" i="5"/>
  <c r="R375" i="5"/>
  <c r="S375" i="5"/>
  <c r="S264" i="5"/>
  <c r="R264" i="5"/>
  <c r="S265" i="5"/>
  <c r="R265" i="5"/>
  <c r="R323" i="5"/>
  <c r="S323" i="5"/>
  <c r="R369" i="5"/>
  <c r="S369" i="5"/>
  <c r="S373" i="5"/>
  <c r="R373" i="5"/>
  <c r="S109" i="5"/>
  <c r="R109" i="5"/>
  <c r="S56" i="5"/>
  <c r="R56" i="5"/>
  <c r="S141" i="5"/>
  <c r="R141" i="5"/>
  <c r="S80" i="5"/>
  <c r="R80" i="5"/>
  <c r="R121" i="5"/>
  <c r="S121" i="5"/>
  <c r="R25" i="5"/>
  <c r="S25" i="5"/>
  <c r="R36" i="5"/>
  <c r="S36" i="5"/>
  <c r="R47" i="5"/>
  <c r="S47" i="5"/>
  <c r="R102" i="5"/>
  <c r="S102" i="5"/>
  <c r="R299" i="5"/>
  <c r="S299" i="5"/>
  <c r="S520" i="5"/>
  <c r="R520" i="5"/>
  <c r="R507" i="5"/>
  <c r="S507" i="5"/>
  <c r="R234" i="5"/>
  <c r="S234" i="5"/>
  <c r="R57" i="5"/>
  <c r="S57" i="5"/>
  <c r="R413" i="5"/>
  <c r="S413" i="5"/>
  <c r="S181" i="5"/>
  <c r="R181" i="5"/>
  <c r="R398" i="5"/>
  <c r="S398" i="5"/>
  <c r="R138" i="5"/>
  <c r="S138" i="5"/>
  <c r="R559" i="5"/>
  <c r="S559" i="5"/>
  <c r="R21" i="5"/>
  <c r="S21" i="5"/>
  <c r="R98" i="5"/>
  <c r="S98" i="5"/>
  <c r="S425" i="5"/>
  <c r="R425" i="5"/>
  <c r="S544" i="5"/>
  <c r="R544" i="5"/>
  <c r="S560" i="5"/>
  <c r="R560" i="5"/>
  <c r="S145" i="5"/>
  <c r="R145" i="5"/>
  <c r="R335" i="5"/>
  <c r="S335" i="5"/>
  <c r="R280" i="5"/>
  <c r="S280" i="5"/>
  <c r="S22" i="5"/>
  <c r="R22" i="5"/>
  <c r="R510" i="5"/>
  <c r="S510" i="5"/>
  <c r="R355" i="5"/>
  <c r="S355" i="5"/>
  <c r="S271" i="5"/>
  <c r="R271" i="5"/>
  <c r="R127" i="5"/>
  <c r="S127" i="5"/>
  <c r="S152" i="5"/>
  <c r="R152" i="5"/>
  <c r="R313" i="5"/>
  <c r="S313" i="5"/>
  <c r="R521" i="5"/>
  <c r="S521" i="5"/>
  <c r="R490" i="5"/>
  <c r="S490" i="5"/>
  <c r="R450" i="5"/>
  <c r="S450" i="5"/>
  <c r="R532" i="5"/>
  <c r="S532" i="5"/>
  <c r="S268" i="5"/>
  <c r="R268" i="5"/>
  <c r="S276" i="5"/>
  <c r="R276" i="5"/>
  <c r="R337" i="5"/>
  <c r="S337" i="5"/>
  <c r="R468" i="5"/>
  <c r="S468" i="5"/>
  <c r="S426" i="5"/>
  <c r="R426" i="5"/>
  <c r="R475" i="5"/>
  <c r="S475" i="5"/>
  <c r="S174" i="5"/>
  <c r="R174" i="5"/>
  <c r="S482" i="5"/>
  <c r="R482" i="5"/>
  <c r="S76" i="5"/>
  <c r="R76" i="5"/>
  <c r="S445" i="5"/>
  <c r="R445" i="5"/>
  <c r="R115" i="5"/>
  <c r="S115" i="5"/>
  <c r="R341" i="5"/>
  <c r="S341" i="5"/>
  <c r="S374" i="5"/>
  <c r="R374" i="5"/>
  <c r="S290" i="5"/>
  <c r="R290" i="5"/>
  <c r="S487" i="5"/>
  <c r="R487" i="5"/>
  <c r="S247" i="5"/>
  <c r="R247" i="5"/>
  <c r="S558" i="5"/>
  <c r="R558" i="5"/>
  <c r="S345" i="5"/>
  <c r="R345" i="5"/>
  <c r="R330" i="5"/>
  <c r="S330" i="5"/>
  <c r="R371" i="5"/>
  <c r="S371" i="5"/>
  <c r="S75" i="5"/>
  <c r="R75" i="5"/>
  <c r="R483" i="5"/>
  <c r="S483" i="5"/>
  <c r="R523" i="5"/>
  <c r="S523" i="5"/>
  <c r="R474" i="5"/>
  <c r="S474" i="5"/>
  <c r="R229" i="5"/>
  <c r="S229" i="5"/>
  <c r="R549" i="5"/>
  <c r="S549" i="5"/>
  <c r="S479" i="5"/>
  <c r="R479" i="5"/>
  <c r="S372" i="5"/>
  <c r="R372" i="5"/>
  <c r="R95" i="5"/>
  <c r="S95" i="5"/>
  <c r="R255" i="5"/>
  <c r="S255" i="5"/>
  <c r="R384" i="5"/>
  <c r="S384" i="5"/>
  <c r="R155" i="5"/>
  <c r="S155" i="5"/>
  <c r="S496" i="5"/>
  <c r="R496" i="5"/>
  <c r="R278" i="5"/>
  <c r="S278" i="5"/>
  <c r="R368" i="5"/>
  <c r="S368" i="5"/>
  <c r="S40" i="5"/>
  <c r="R40" i="5"/>
  <c r="S453" i="5"/>
  <c r="R453" i="5"/>
  <c r="S44" i="5"/>
  <c r="R44" i="5"/>
  <c r="R309" i="5"/>
  <c r="S309" i="5"/>
  <c r="S334" i="5"/>
  <c r="R334" i="5"/>
  <c r="R202" i="5"/>
  <c r="S202" i="5"/>
  <c r="S61" i="5"/>
  <c r="R61" i="5"/>
  <c r="R46" i="5"/>
  <c r="S46" i="5"/>
  <c r="S396" i="5"/>
  <c r="R396" i="5"/>
  <c r="S157" i="5"/>
  <c r="R157" i="5"/>
  <c r="R480" i="5"/>
  <c r="S480" i="5"/>
  <c r="S279" i="5"/>
  <c r="R279" i="5"/>
  <c r="R351" i="5"/>
  <c r="S351" i="5"/>
  <c r="R64" i="5"/>
  <c r="S64" i="5"/>
  <c r="R505" i="5"/>
  <c r="S505" i="5"/>
  <c r="S515" i="5"/>
  <c r="R515" i="5"/>
  <c r="S29" i="5"/>
  <c r="R29" i="5"/>
  <c r="R266" i="5"/>
  <c r="S266" i="5"/>
  <c r="R530" i="5"/>
  <c r="S530" i="5"/>
  <c r="S333" i="5"/>
  <c r="R333" i="5"/>
  <c r="S538" i="5"/>
  <c r="R538" i="5"/>
  <c r="R359" i="5"/>
  <c r="S359" i="5"/>
  <c r="S39" i="5"/>
  <c r="R39" i="5"/>
  <c r="R110" i="5"/>
  <c r="S110" i="5"/>
  <c r="S356" i="5"/>
  <c r="R356" i="5"/>
  <c r="S99" i="5"/>
  <c r="R99" i="5"/>
  <c r="R301" i="5"/>
  <c r="S301" i="5"/>
  <c r="S212" i="5"/>
  <c r="R212" i="5"/>
  <c r="S273" i="5"/>
  <c r="R273" i="5"/>
  <c r="R238" i="5"/>
  <c r="S238" i="5"/>
  <c r="R246" i="5"/>
  <c r="S246" i="5"/>
  <c r="R283" i="5"/>
  <c r="S283" i="5"/>
  <c r="R24" i="5"/>
  <c r="S24" i="5"/>
  <c r="R390" i="5"/>
  <c r="S390" i="5"/>
  <c r="S113" i="5"/>
  <c r="R113" i="5"/>
  <c r="R12" i="5"/>
  <c r="S12" i="5"/>
  <c r="R466" i="5"/>
  <c r="S466" i="5"/>
  <c r="R156" i="5"/>
  <c r="S156" i="5"/>
  <c r="S81" i="5"/>
  <c r="R81" i="5"/>
  <c r="S363" i="5"/>
  <c r="R363" i="5"/>
  <c r="S452" i="5"/>
  <c r="R452" i="5"/>
  <c r="S451" i="5"/>
  <c r="R451" i="5"/>
  <c r="S244" i="5"/>
  <c r="R244" i="5"/>
  <c r="R134" i="5"/>
  <c r="S134" i="5"/>
  <c r="S386" i="5"/>
  <c r="R386" i="5"/>
  <c r="S442" i="5"/>
  <c r="R442" i="5"/>
  <c r="R281" i="5"/>
  <c r="S281" i="5"/>
  <c r="R233" i="5"/>
  <c r="S233" i="5"/>
  <c r="R488" i="5"/>
  <c r="S488" i="5"/>
  <c r="R131" i="5"/>
  <c r="S131" i="5"/>
  <c r="R292" i="5"/>
  <c r="S292" i="5"/>
  <c r="S45" i="5"/>
  <c r="R45" i="5"/>
  <c r="R402" i="5"/>
  <c r="S402" i="5"/>
  <c r="R464" i="5"/>
  <c r="S464" i="5"/>
  <c r="R154" i="5"/>
  <c r="S154" i="5"/>
  <c r="BK556" i="5"/>
  <c r="BJ556" i="5"/>
  <c r="AK99" i="4"/>
  <c r="AL99" i="4" s="1"/>
  <c r="AF99" i="4"/>
  <c r="AG99" i="4" s="1"/>
  <c r="AI99" i="4" s="1"/>
  <c r="AN99" i="4"/>
  <c r="AP91" i="4"/>
  <c r="AQ91" i="4"/>
  <c r="AC91" i="4"/>
  <c r="AD91" i="4" s="1"/>
  <c r="AP53" i="4"/>
  <c r="AQ53" i="4"/>
  <c r="AC53" i="4"/>
  <c r="AD53" i="4" s="1"/>
  <c r="AN48" i="4"/>
  <c r="AF48" i="4"/>
  <c r="AG48" i="4" s="1"/>
  <c r="AI48" i="4" s="1"/>
  <c r="AC129" i="5"/>
  <c r="AC249" i="5"/>
  <c r="AC167" i="5"/>
  <c r="AC170" i="5"/>
  <c r="AC527" i="5"/>
  <c r="AC315" i="5"/>
  <c r="AN147" i="4"/>
  <c r="AK147" i="4"/>
  <c r="AL147" i="4" s="1"/>
  <c r="AF147" i="4"/>
  <c r="AG147" i="4" s="1"/>
  <c r="AI147" i="4" s="1"/>
  <c r="AQ44" i="4"/>
  <c r="AP44" i="4"/>
  <c r="AC44" i="4"/>
  <c r="AD44" i="4" s="1"/>
  <c r="BK395" i="5"/>
  <c r="BJ395" i="5"/>
  <c r="BK342" i="5"/>
  <c r="BJ342" i="5"/>
  <c r="BK29" i="5"/>
  <c r="BJ29" i="5"/>
  <c r="BJ139" i="5"/>
  <c r="BK139" i="5"/>
  <c r="BK172" i="5"/>
  <c r="BJ172" i="5"/>
  <c r="BK85" i="5"/>
  <c r="BJ85" i="5"/>
  <c r="BJ550" i="5"/>
  <c r="BK550" i="5"/>
  <c r="BK93" i="5"/>
  <c r="BJ93" i="5"/>
  <c r="BJ133" i="5"/>
  <c r="BK133" i="5"/>
  <c r="AN86" i="4"/>
  <c r="AK86" i="4"/>
  <c r="AL86" i="4" s="1"/>
  <c r="AF86" i="4"/>
  <c r="AG86" i="4" s="1"/>
  <c r="AI86" i="4" s="1"/>
  <c r="AN132" i="4"/>
  <c r="AK132" i="4"/>
  <c r="AL132" i="4" s="1"/>
  <c r="AF132" i="4"/>
  <c r="AG132" i="4" s="1"/>
  <c r="AI132" i="4" s="1"/>
  <c r="AQ17" i="4"/>
  <c r="AC17" i="4"/>
  <c r="AD17" i="4" s="1"/>
  <c r="AP17" i="4"/>
  <c r="AK52" i="4"/>
  <c r="AL52" i="4" s="1"/>
  <c r="AN52" i="4"/>
  <c r="AF52" i="4"/>
  <c r="AG52" i="4" s="1"/>
  <c r="AI52" i="4" s="1"/>
  <c r="AK154" i="4"/>
  <c r="AL154" i="4" s="1"/>
  <c r="AF154" i="4"/>
  <c r="AG154" i="4" s="1"/>
  <c r="AI154" i="4" s="1"/>
  <c r="AN154" i="4"/>
  <c r="AP125" i="4"/>
  <c r="AQ125" i="4"/>
  <c r="AC125" i="4"/>
  <c r="AD125" i="4" s="1"/>
  <c r="AF22" i="4"/>
  <c r="AG22" i="4" s="1"/>
  <c r="AI22" i="4" s="1"/>
  <c r="AK22" i="4"/>
  <c r="AL22" i="4" s="1"/>
  <c r="AN22" i="4"/>
  <c r="AQ40" i="4"/>
  <c r="AP40" i="4"/>
  <c r="AC40" i="4"/>
  <c r="AD40" i="4" s="1"/>
  <c r="AK156" i="4"/>
  <c r="AL156" i="4" s="1"/>
  <c r="AN156" i="4"/>
  <c r="AF156" i="4"/>
  <c r="AG156" i="4" s="1"/>
  <c r="AI156" i="4" s="1"/>
  <c r="AP127" i="4"/>
  <c r="AQ127" i="4"/>
  <c r="AC127" i="4"/>
  <c r="AD127" i="4" s="1"/>
  <c r="AK38" i="4"/>
  <c r="AL38" i="4" s="1"/>
  <c r="AN38" i="4"/>
  <c r="AF38" i="4"/>
  <c r="AG38" i="4" s="1"/>
  <c r="AI38" i="4" s="1"/>
  <c r="AN126" i="4"/>
  <c r="AK126" i="4"/>
  <c r="AL126" i="4" s="1"/>
  <c r="AF126" i="4"/>
  <c r="AG126" i="4" s="1"/>
  <c r="AI126" i="4" s="1"/>
  <c r="AP145" i="4"/>
  <c r="AQ145" i="4"/>
  <c r="AC145" i="4"/>
  <c r="AD145" i="4" s="1"/>
  <c r="AR497" i="5"/>
  <c r="BI497" i="5"/>
  <c r="AQ497" i="5"/>
  <c r="AQ33" i="5"/>
  <c r="BI33" i="5"/>
  <c r="AR33" i="5"/>
  <c r="BK177" i="5"/>
  <c r="BJ177" i="5"/>
  <c r="BJ205" i="5"/>
  <c r="BK205" i="5"/>
  <c r="BK370" i="5"/>
  <c r="BJ370" i="5"/>
  <c r="BJ140" i="5"/>
  <c r="BK140" i="5"/>
  <c r="AK72" i="4"/>
  <c r="AL72" i="4" s="1"/>
  <c r="AN72" i="4"/>
  <c r="AF72" i="4"/>
  <c r="AG72" i="4" s="1"/>
  <c r="AI72" i="4" s="1"/>
  <c r="AF14" i="4"/>
  <c r="AG14" i="4" s="1"/>
  <c r="AI14" i="4" s="1"/>
  <c r="AK14" i="4"/>
  <c r="AL14" i="4" s="1"/>
  <c r="AN14" i="4"/>
  <c r="AN23" i="4"/>
  <c r="AK23" i="4"/>
  <c r="AL23" i="4" s="1"/>
  <c r="AF23" i="4"/>
  <c r="AG23" i="4" s="1"/>
  <c r="AI23" i="4" s="1"/>
  <c r="AK153" i="4"/>
  <c r="AL153" i="4" s="1"/>
  <c r="AN153" i="4"/>
  <c r="AF153" i="4"/>
  <c r="AG153" i="4" s="1"/>
  <c r="AI153" i="4" s="1"/>
  <c r="AK58" i="4"/>
  <c r="AL58" i="4" s="1"/>
  <c r="AN58" i="4"/>
  <c r="AF58" i="4"/>
  <c r="AG58" i="4" s="1"/>
  <c r="AI58" i="4" s="1"/>
  <c r="AN123" i="4"/>
  <c r="AK123" i="4"/>
  <c r="AL123" i="4" s="1"/>
  <c r="AF123" i="4"/>
  <c r="AG123" i="4" s="1"/>
  <c r="AI123" i="4" s="1"/>
  <c r="AN26" i="4"/>
  <c r="AK26" i="4"/>
  <c r="AL26" i="4" s="1"/>
  <c r="AF26" i="4"/>
  <c r="AG26" i="4" s="1"/>
  <c r="AI26" i="4" s="1"/>
  <c r="AQ26" i="4"/>
  <c r="AP26" i="4"/>
  <c r="AC26" i="4"/>
  <c r="AD26" i="4" s="1"/>
  <c r="AQ124" i="4"/>
  <c r="AP124" i="4"/>
  <c r="AQ73" i="4"/>
  <c r="AP73" i="4"/>
  <c r="AC73" i="4"/>
  <c r="AD73" i="4" s="1"/>
  <c r="AN155" i="4"/>
  <c r="AF155" i="4"/>
  <c r="AG155" i="4" s="1"/>
  <c r="AI155" i="4" s="1"/>
  <c r="AK157" i="4"/>
  <c r="AL157" i="4" s="1"/>
  <c r="AN157" i="4"/>
  <c r="AF157" i="4"/>
  <c r="AG157" i="4" s="1"/>
  <c r="AI157" i="4" s="1"/>
  <c r="BK414" i="5"/>
  <c r="BJ414" i="5"/>
  <c r="BK517" i="5"/>
  <c r="BJ517" i="5"/>
  <c r="BK281" i="5"/>
  <c r="BJ281" i="5"/>
  <c r="BK364" i="5"/>
  <c r="BJ364" i="5"/>
  <c r="BJ393" i="5"/>
  <c r="BK393" i="5"/>
  <c r="BK310" i="5"/>
  <c r="BJ310" i="5"/>
  <c r="BJ138" i="5"/>
  <c r="BK138" i="5"/>
  <c r="BJ443" i="5"/>
  <c r="BK443" i="5"/>
  <c r="BJ510" i="5"/>
  <c r="BK510" i="5"/>
  <c r="BK435" i="5"/>
  <c r="BJ435" i="5"/>
  <c r="BK319" i="5"/>
  <c r="BJ319" i="5"/>
  <c r="BJ478" i="5"/>
  <c r="BK478" i="5"/>
  <c r="BJ48" i="5"/>
  <c r="BK48" i="5"/>
  <c r="BJ558" i="5"/>
  <c r="BK558" i="5"/>
  <c r="BJ434" i="5"/>
  <c r="BK434" i="5"/>
  <c r="BJ474" i="5"/>
  <c r="BK474" i="5"/>
  <c r="BJ388" i="5"/>
  <c r="BK388" i="5"/>
  <c r="BK246" i="5"/>
  <c r="BJ246" i="5"/>
  <c r="AQ209" i="5"/>
  <c r="AR209" i="5"/>
  <c r="BI209" i="5"/>
  <c r="AR13" i="5"/>
  <c r="BI13" i="5"/>
  <c r="AQ13" i="5"/>
  <c r="BK491" i="5"/>
  <c r="BJ491" i="5"/>
  <c r="BK262" i="5"/>
  <c r="BJ262" i="5"/>
  <c r="BK53" i="5"/>
  <c r="BJ53" i="5"/>
  <c r="BK75" i="5"/>
  <c r="BJ75" i="5"/>
  <c r="BK521" i="5"/>
  <c r="BJ521" i="5"/>
  <c r="BJ484" i="5"/>
  <c r="BK484" i="5"/>
  <c r="BK297" i="5"/>
  <c r="BJ297" i="5"/>
  <c r="BK165" i="5"/>
  <c r="BJ165" i="5"/>
  <c r="BK413" i="5"/>
  <c r="BJ413" i="5"/>
  <c r="BJ552" i="5"/>
  <c r="BK552" i="5"/>
  <c r="BK298" i="5"/>
  <c r="BJ298" i="5"/>
  <c r="BJ541" i="5"/>
  <c r="BK541" i="5"/>
  <c r="BJ192" i="5"/>
  <c r="BK192" i="5"/>
  <c r="BJ35" i="5"/>
  <c r="BK35" i="5"/>
  <c r="BJ355" i="5"/>
  <c r="BK355" i="5"/>
  <c r="BJ509" i="5"/>
  <c r="BK509" i="5"/>
  <c r="BJ144" i="5"/>
  <c r="BK144" i="5"/>
  <c r="BK379" i="5"/>
  <c r="BJ379" i="5"/>
  <c r="BJ340" i="5"/>
  <c r="BK285" i="5"/>
  <c r="BJ285" i="5"/>
  <c r="BJ202" i="5"/>
  <c r="BK202" i="5"/>
  <c r="BJ420" i="5"/>
  <c r="BK420" i="5"/>
  <c r="AN34" i="4"/>
  <c r="AK34" i="4"/>
  <c r="AL34" i="4" s="1"/>
  <c r="AF34" i="4"/>
  <c r="AG34" i="4" s="1"/>
  <c r="AI34" i="4" s="1"/>
  <c r="AQ56" i="4"/>
  <c r="AP56" i="4"/>
  <c r="AC56" i="4"/>
  <c r="AD56" i="4" s="1"/>
  <c r="AQ39" i="4"/>
  <c r="AC39" i="4"/>
  <c r="AD39" i="4" s="1"/>
  <c r="AP39" i="4"/>
  <c r="AQ88" i="4"/>
  <c r="AP88" i="4"/>
  <c r="AC88" i="4"/>
  <c r="AD88" i="4" s="1"/>
  <c r="AQ128" i="4"/>
  <c r="AC128" i="4"/>
  <c r="AD128" i="4" s="1"/>
  <c r="AP128" i="4"/>
  <c r="AN150" i="4"/>
  <c r="AK150" i="4"/>
  <c r="AL150" i="4" s="1"/>
  <c r="AF150" i="4"/>
  <c r="AG150" i="4" s="1"/>
  <c r="AI150" i="4" s="1"/>
  <c r="BJ345" i="5"/>
  <c r="BK345" i="5"/>
  <c r="BK375" i="5"/>
  <c r="BJ375" i="5"/>
  <c r="BK242" i="5"/>
  <c r="BJ242" i="5"/>
  <c r="BK480" i="5"/>
  <c r="BJ480" i="5"/>
  <c r="BI73" i="5"/>
  <c r="AQ73" i="5"/>
  <c r="AR73" i="5"/>
  <c r="BK547" i="5"/>
  <c r="BJ547" i="5"/>
  <c r="BK283" i="5"/>
  <c r="BJ283" i="5"/>
  <c r="BJ126" i="5"/>
  <c r="BK126" i="5"/>
  <c r="BK42" i="5"/>
  <c r="BJ42" i="5"/>
  <c r="AR151" i="5"/>
  <c r="BI151" i="5"/>
  <c r="AQ151" i="5"/>
  <c r="BK214" i="5"/>
  <c r="BJ214" i="5"/>
  <c r="BJ114" i="5"/>
  <c r="BK114" i="5"/>
  <c r="BJ294" i="5"/>
  <c r="BK294" i="5"/>
  <c r="BK423" i="5"/>
  <c r="BJ423" i="5"/>
  <c r="BK287" i="5"/>
  <c r="BJ287" i="5"/>
  <c r="BJ410" i="5"/>
  <c r="BK410" i="5"/>
  <c r="BJ137" i="5"/>
  <c r="BK137" i="5"/>
  <c r="BK259" i="5"/>
  <c r="BJ259" i="5"/>
  <c r="AQ219" i="5"/>
  <c r="BI219" i="5"/>
  <c r="AR219" i="5"/>
  <c r="BK44" i="5"/>
  <c r="BJ44" i="5"/>
  <c r="BK468" i="5"/>
  <c r="BJ468" i="5"/>
  <c r="BK373" i="5"/>
  <c r="BJ373" i="5"/>
  <c r="BJ530" i="5"/>
  <c r="BK530" i="5"/>
  <c r="BJ25" i="5"/>
  <c r="BK25" i="5"/>
  <c r="BK293" i="5"/>
  <c r="BJ293" i="5"/>
  <c r="BK514" i="5"/>
  <c r="BJ514" i="5"/>
  <c r="BJ149" i="5"/>
  <c r="BK149" i="5"/>
  <c r="BK382" i="5"/>
  <c r="BJ382" i="5"/>
  <c r="S311" i="5"/>
  <c r="R311" i="5"/>
  <c r="R183" i="5"/>
  <c r="S183" i="5"/>
  <c r="R13" i="5"/>
  <c r="S13" i="5"/>
  <c r="S302" i="5"/>
  <c r="R302" i="5"/>
  <c r="S242" i="5"/>
  <c r="R242" i="5"/>
  <c r="R367" i="5"/>
  <c r="S367" i="5"/>
  <c r="R118" i="5"/>
  <c r="S118" i="5"/>
  <c r="R423" i="5"/>
  <c r="S423" i="5"/>
  <c r="R256" i="5"/>
  <c r="S256" i="5"/>
  <c r="S182" i="5"/>
  <c r="R182" i="5"/>
  <c r="R555" i="5"/>
  <c r="S555" i="5"/>
  <c r="R394" i="5"/>
  <c r="S394" i="5"/>
  <c r="R331" i="5"/>
  <c r="S331" i="5"/>
  <c r="R267" i="5"/>
  <c r="S267" i="5"/>
  <c r="S557" i="5"/>
  <c r="R557" i="5"/>
  <c r="S105" i="5"/>
  <c r="R105" i="5"/>
  <c r="S512" i="5"/>
  <c r="R512" i="5"/>
  <c r="S357" i="5"/>
  <c r="R357" i="5"/>
  <c r="R435" i="5"/>
  <c r="S435" i="5"/>
  <c r="R209" i="5"/>
  <c r="S209" i="5"/>
  <c r="R201" i="5"/>
  <c r="S201" i="5"/>
  <c r="R441" i="5"/>
  <c r="S441" i="5"/>
  <c r="R415" i="5"/>
  <c r="S415" i="5"/>
  <c r="S68" i="5"/>
  <c r="R68" i="5"/>
  <c r="R514" i="5"/>
  <c r="S514" i="5"/>
  <c r="S225" i="5"/>
  <c r="R225" i="5"/>
  <c r="S190" i="5"/>
  <c r="R190" i="5"/>
  <c r="S537" i="5"/>
  <c r="R537" i="5"/>
  <c r="R500" i="5"/>
  <c r="S500" i="5"/>
  <c r="S319" i="5"/>
  <c r="R319" i="5"/>
  <c r="R193" i="5"/>
  <c r="S193" i="5"/>
  <c r="R295" i="5"/>
  <c r="S295" i="5"/>
  <c r="S142" i="5"/>
  <c r="R142" i="5"/>
  <c r="S169" i="5"/>
  <c r="R169" i="5"/>
  <c r="S516" i="5"/>
  <c r="R516" i="5"/>
  <c r="S457" i="5"/>
  <c r="R457" i="5"/>
  <c r="S481" i="5"/>
  <c r="R481" i="5"/>
  <c r="R221" i="5"/>
  <c r="S221" i="5"/>
  <c r="S227" i="5"/>
  <c r="R227" i="5"/>
  <c r="S439" i="5"/>
  <c r="R439" i="5"/>
  <c r="S395" i="5"/>
  <c r="R395" i="5"/>
  <c r="R148" i="5"/>
  <c r="S148" i="5"/>
  <c r="S90" i="5"/>
  <c r="R90" i="5"/>
  <c r="R447" i="5"/>
  <c r="S447" i="5"/>
  <c r="S360" i="5"/>
  <c r="R360" i="5"/>
  <c r="S526" i="5"/>
  <c r="R526" i="5"/>
  <c r="S407" i="5"/>
  <c r="R407" i="5"/>
  <c r="R405" i="5"/>
  <c r="S405" i="5"/>
  <c r="R42" i="5"/>
  <c r="S42" i="5"/>
  <c r="S436" i="5"/>
  <c r="R436" i="5"/>
  <c r="R186" i="5"/>
  <c r="S186" i="5"/>
  <c r="S165" i="5"/>
  <c r="R165" i="5"/>
  <c r="S294" i="5"/>
  <c r="R294" i="5"/>
  <c r="S170" i="5"/>
  <c r="R170" i="5"/>
  <c r="R284" i="5"/>
  <c r="S284" i="5"/>
  <c r="S30" i="5"/>
  <c r="R30" i="5"/>
  <c r="S551" i="5"/>
  <c r="R551" i="5"/>
  <c r="S449" i="5"/>
  <c r="R449" i="5"/>
  <c r="R485" i="5"/>
  <c r="S485" i="5"/>
  <c r="S54" i="5"/>
  <c r="R54" i="5"/>
  <c r="S92" i="5"/>
  <c r="R92" i="5"/>
  <c r="R365" i="5"/>
  <c r="S365" i="5"/>
  <c r="R208" i="5"/>
  <c r="S208" i="5"/>
  <c r="S43" i="5"/>
  <c r="R43" i="5"/>
  <c r="S139" i="5"/>
  <c r="R139" i="5"/>
  <c r="R524" i="5"/>
  <c r="S524" i="5"/>
  <c r="S275" i="5"/>
  <c r="R275" i="5"/>
  <c r="R245" i="5"/>
  <c r="S245" i="5"/>
  <c r="R470" i="5"/>
  <c r="S470" i="5"/>
  <c r="S554" i="5"/>
  <c r="R554" i="5"/>
  <c r="R136" i="5"/>
  <c r="S136" i="5"/>
  <c r="S236" i="5"/>
  <c r="R236" i="5"/>
  <c r="S397" i="5"/>
  <c r="R397" i="5"/>
  <c r="R277" i="5"/>
  <c r="S277" i="5"/>
  <c r="S167" i="5"/>
  <c r="R167" i="5"/>
  <c r="S332" i="5"/>
  <c r="R332" i="5"/>
  <c r="R347" i="5"/>
  <c r="S347" i="5"/>
  <c r="R176" i="5"/>
  <c r="S176" i="5"/>
  <c r="R291" i="5"/>
  <c r="S291" i="5"/>
  <c r="R159" i="5"/>
  <c r="S159" i="5"/>
  <c r="S185" i="5"/>
  <c r="R185" i="5"/>
  <c r="S263" i="5"/>
  <c r="R263" i="5"/>
  <c r="S88" i="5"/>
  <c r="R88" i="5"/>
  <c r="R499" i="5"/>
  <c r="S499" i="5"/>
  <c r="S28" i="5"/>
  <c r="R28" i="5"/>
  <c r="S219" i="5"/>
  <c r="R219" i="5"/>
  <c r="S300" i="5"/>
  <c r="R300" i="5"/>
  <c r="R288" i="5"/>
  <c r="S288" i="5"/>
  <c r="S344" i="5"/>
  <c r="R344" i="5"/>
  <c r="R78" i="5"/>
  <c r="S78" i="5"/>
  <c r="S8" i="5"/>
  <c r="R8" i="5"/>
  <c r="S541" i="5"/>
  <c r="R541" i="5"/>
  <c r="R387" i="5"/>
  <c r="S387" i="5"/>
  <c r="S428" i="5"/>
  <c r="R428" i="5"/>
  <c r="S543" i="5"/>
  <c r="R543" i="5"/>
  <c r="R114" i="5"/>
  <c r="S114" i="5"/>
  <c r="S382" i="5"/>
  <c r="R382" i="5"/>
  <c r="S438" i="5"/>
  <c r="R438" i="5"/>
  <c r="S518" i="5"/>
  <c r="R518" i="5"/>
  <c r="S293" i="5"/>
  <c r="R293" i="5"/>
  <c r="S326" i="5"/>
  <c r="R326" i="5"/>
  <c r="S463" i="5"/>
  <c r="R463" i="5"/>
  <c r="R207" i="5"/>
  <c r="S207" i="5"/>
  <c r="R336" i="5"/>
  <c r="S336" i="5"/>
  <c r="R132" i="5"/>
  <c r="S132" i="5"/>
  <c r="R62" i="5"/>
  <c r="S62" i="5"/>
  <c r="S321" i="5"/>
  <c r="R321" i="5"/>
  <c r="R327" i="5"/>
  <c r="S327" i="5"/>
  <c r="S215" i="5"/>
  <c r="R215" i="5"/>
  <c r="R272" i="5"/>
  <c r="S272" i="5"/>
  <c r="R96" i="5"/>
  <c r="S96" i="5"/>
  <c r="S513" i="5"/>
  <c r="R513" i="5"/>
  <c r="S217" i="5"/>
  <c r="R217" i="5"/>
  <c r="R161" i="5"/>
  <c r="S161" i="5"/>
  <c r="R547" i="5"/>
  <c r="S547" i="5"/>
  <c r="S322" i="5"/>
  <c r="R322" i="5"/>
  <c r="S70" i="5"/>
  <c r="R70" i="5"/>
  <c r="R89" i="5"/>
  <c r="S89" i="5"/>
  <c r="R458" i="5"/>
  <c r="S458" i="5"/>
  <c r="R317" i="5"/>
  <c r="S317" i="5"/>
  <c r="S286" i="5"/>
  <c r="R286" i="5"/>
  <c r="R173" i="5"/>
  <c r="S173" i="5"/>
  <c r="R517" i="5"/>
  <c r="S517" i="5"/>
  <c r="S117" i="5"/>
  <c r="R117" i="5"/>
  <c r="S33" i="5"/>
  <c r="R33" i="5"/>
  <c r="R534" i="5"/>
  <c r="S534" i="5"/>
  <c r="R194" i="5"/>
  <c r="S194" i="5"/>
  <c r="R285" i="5"/>
  <c r="S285" i="5"/>
  <c r="S214" i="5"/>
  <c r="R214" i="5"/>
  <c r="R455" i="5"/>
  <c r="S455" i="5"/>
  <c r="S79" i="5"/>
  <c r="R79" i="5"/>
  <c r="S339" i="5"/>
  <c r="R339" i="5"/>
  <c r="S325" i="5"/>
  <c r="R325" i="5"/>
  <c r="S404" i="5"/>
  <c r="R404" i="5"/>
  <c r="S424" i="5"/>
  <c r="R424" i="5"/>
  <c r="R385" i="5"/>
  <c r="S385" i="5"/>
  <c r="R53" i="5"/>
  <c r="S53" i="5"/>
  <c r="AN24" i="4"/>
  <c r="AF24" i="4"/>
  <c r="AG24" i="4" s="1"/>
  <c r="AI24" i="4" s="1"/>
  <c r="AK24" i="4"/>
  <c r="AL24" i="4" s="1"/>
  <c r="AF54" i="4"/>
  <c r="AG54" i="4" s="1"/>
  <c r="AI54" i="4" s="1"/>
  <c r="BJ37" i="5"/>
  <c r="BK37" i="5"/>
  <c r="AK50" i="4"/>
  <c r="AL50" i="4" s="1"/>
  <c r="AN50" i="4"/>
  <c r="AF50" i="4"/>
  <c r="AG50" i="4" s="1"/>
  <c r="AI50" i="4" s="1"/>
  <c r="AP50" i="4"/>
  <c r="AQ50" i="4"/>
  <c r="AC50" i="4"/>
  <c r="AD50" i="4" s="1"/>
  <c r="AC248" i="5"/>
  <c r="AC235" i="5"/>
  <c r="AC218" i="5"/>
  <c r="AC525" i="5"/>
  <c r="AC304" i="5"/>
  <c r="AC494" i="5"/>
  <c r="AN75" i="4"/>
  <c r="AF75" i="4"/>
  <c r="AG75" i="4" s="1"/>
  <c r="AI75" i="4" s="1"/>
  <c r="AP28" i="4"/>
  <c r="AQ28" i="4"/>
  <c r="AC28" i="4"/>
  <c r="AD28" i="4" s="1"/>
  <c r="AN8" i="4"/>
  <c r="AK8" i="4"/>
  <c r="AL8" i="4" s="1"/>
  <c r="AF8" i="4"/>
  <c r="AG8" i="4" s="1"/>
  <c r="AI8" i="4" s="1"/>
  <c r="AN15" i="4"/>
  <c r="AF15" i="4"/>
  <c r="AG15" i="4" s="1"/>
  <c r="AI15" i="4" s="1"/>
  <c r="AK15" i="4"/>
  <c r="AL15" i="4" s="1"/>
  <c r="AP30" i="4"/>
  <c r="AQ30" i="4"/>
  <c r="AC30" i="4"/>
  <c r="AD30" i="4" s="1"/>
  <c r="AQ524" i="5"/>
  <c r="AR524" i="5"/>
  <c r="BI524" i="5"/>
  <c r="BJ136" i="5"/>
  <c r="BK136" i="5"/>
  <c r="BK131" i="5"/>
  <c r="BJ131" i="5"/>
  <c r="BJ256" i="5"/>
  <c r="BK256" i="5"/>
  <c r="BJ357" i="5"/>
  <c r="BK357" i="5"/>
  <c r="BK30" i="5"/>
  <c r="BJ30" i="5"/>
  <c r="AQ45" i="4"/>
  <c r="AP45" i="4"/>
  <c r="AC45" i="4"/>
  <c r="AD45" i="4" s="1"/>
  <c r="AK115" i="4"/>
  <c r="AL115" i="4" s="1"/>
  <c r="AN115" i="4"/>
  <c r="AF115" i="4"/>
  <c r="AG115" i="4" s="1"/>
  <c r="AI115" i="4" s="1"/>
  <c r="AK92" i="4"/>
  <c r="AL92" i="4" s="1"/>
  <c r="AF92" i="4"/>
  <c r="AG92" i="4" s="1"/>
  <c r="AI92" i="4" s="1"/>
  <c r="AN92" i="4"/>
  <c r="AP19" i="4"/>
  <c r="AC19" i="4"/>
  <c r="AD19" i="4" s="1"/>
  <c r="AN21" i="4"/>
  <c r="AK21" i="4"/>
  <c r="AL21" i="4" s="1"/>
  <c r="AF21" i="4"/>
  <c r="AG21" i="4" s="1"/>
  <c r="AI21" i="4" s="1"/>
  <c r="AQ21" i="4"/>
  <c r="AP21" i="4"/>
  <c r="AC21" i="4"/>
  <c r="AD21" i="4" s="1"/>
  <c r="AK145" i="4"/>
  <c r="AL145" i="4" s="1"/>
  <c r="AN145" i="4"/>
  <c r="AF145" i="4"/>
  <c r="AG145" i="4" s="1"/>
  <c r="AI145" i="4" s="1"/>
  <c r="AR452" i="5"/>
  <c r="BI452" i="5"/>
  <c r="AQ452" i="5"/>
  <c r="BK440" i="5"/>
  <c r="BJ440" i="5"/>
  <c r="BK98" i="5"/>
  <c r="BJ98" i="5"/>
  <c r="BK146" i="5"/>
  <c r="BJ146" i="5"/>
  <c r="BK189" i="5"/>
  <c r="BJ189" i="5"/>
  <c r="BJ234" i="5"/>
  <c r="BK234" i="5"/>
  <c r="BJ548" i="5"/>
  <c r="BK548" i="5"/>
  <c r="BK212" i="5"/>
  <c r="BJ212" i="5"/>
  <c r="BK231" i="5"/>
  <c r="BJ231" i="5"/>
  <c r="AK32" i="4"/>
  <c r="AL32" i="4" s="1"/>
  <c r="AN32" i="4"/>
  <c r="AF32" i="4"/>
  <c r="AG32" i="4" s="1"/>
  <c r="AI32" i="4" s="1"/>
  <c r="AN42" i="4"/>
  <c r="AF42" i="4"/>
  <c r="AG42" i="4" s="1"/>
  <c r="AI42" i="4" s="1"/>
  <c r="AP153" i="4"/>
  <c r="AQ153" i="4"/>
  <c r="AC153" i="4"/>
  <c r="AD153" i="4" s="1"/>
  <c r="AP152" i="4"/>
  <c r="AC152" i="4"/>
  <c r="AD152" i="4" s="1"/>
  <c r="AQ157" i="4"/>
  <c r="AP157" i="4"/>
  <c r="AC157" i="4"/>
  <c r="AD157" i="4" s="1"/>
  <c r="AQ49" i="4"/>
  <c r="AP49" i="4"/>
  <c r="AC49" i="4"/>
  <c r="AD49" i="4" s="1"/>
  <c r="AN71" i="4"/>
  <c r="AK71" i="4"/>
  <c r="AL71" i="4" s="1"/>
  <c r="AF71" i="4"/>
  <c r="AG71" i="4" s="1"/>
  <c r="AI71" i="4" s="1"/>
  <c r="BJ391" i="5"/>
  <c r="BK391" i="5"/>
  <c r="BJ511" i="5"/>
  <c r="BK511" i="5"/>
  <c r="BK305" i="5"/>
  <c r="BJ305" i="5"/>
  <c r="BK112" i="5"/>
  <c r="BJ112" i="5"/>
  <c r="BJ243" i="5"/>
  <c r="BK243" i="5"/>
  <c r="BJ415" i="5"/>
  <c r="BK415" i="5"/>
  <c r="BJ241" i="5"/>
  <c r="BK241" i="5"/>
  <c r="BK555" i="5"/>
  <c r="BJ555" i="5"/>
  <c r="BJ63" i="5"/>
  <c r="BK63" i="5"/>
  <c r="BK132" i="5"/>
  <c r="BJ132" i="5"/>
  <c r="BJ279" i="5"/>
  <c r="BK279" i="5"/>
  <c r="BK540" i="5"/>
  <c r="BJ540" i="5"/>
  <c r="BJ526" i="5"/>
  <c r="BK526" i="5"/>
  <c r="BJ334" i="5"/>
  <c r="BK334" i="5"/>
  <c r="BJ385" i="5"/>
  <c r="BK385" i="5"/>
  <c r="BK323" i="5"/>
  <c r="BJ323" i="5"/>
  <c r="BJ161" i="5"/>
  <c r="BK161" i="5"/>
  <c r="BJ222" i="5"/>
  <c r="BK222" i="5"/>
  <c r="BK160" i="5"/>
  <c r="BJ160" i="5"/>
  <c r="BJ479" i="5"/>
  <c r="BK479" i="5"/>
  <c r="BK426" i="5"/>
  <c r="BJ426" i="5"/>
  <c r="BK180" i="5"/>
  <c r="BJ180" i="5"/>
  <c r="BK239" i="5"/>
  <c r="BJ239" i="5"/>
  <c r="BJ553" i="5"/>
  <c r="BK553" i="5"/>
  <c r="AQ54" i="5"/>
  <c r="BI54" i="5"/>
  <c r="AR54" i="5"/>
  <c r="BK353" i="5"/>
  <c r="BJ353" i="5"/>
  <c r="BK271" i="5"/>
  <c r="BJ271" i="5"/>
  <c r="BJ174" i="5"/>
  <c r="BK174" i="5"/>
  <c r="BJ363" i="5"/>
  <c r="BK363" i="5"/>
  <c r="BK380" i="5"/>
  <c r="BJ380" i="5"/>
  <c r="BJ74" i="5"/>
  <c r="BK74" i="5"/>
  <c r="BK557" i="5"/>
  <c r="BJ557" i="5"/>
  <c r="BJ21" i="5"/>
  <c r="BK21" i="5"/>
  <c r="BK487" i="5"/>
  <c r="BJ487" i="5"/>
  <c r="AK41" i="4"/>
  <c r="AL41" i="4" s="1"/>
  <c r="AN41" i="4"/>
  <c r="AF41" i="4"/>
  <c r="AG41" i="4" s="1"/>
  <c r="AI41" i="4" s="1"/>
  <c r="AN39" i="4"/>
  <c r="AK39" i="4"/>
  <c r="AL39" i="4" s="1"/>
  <c r="AF39" i="4"/>
  <c r="AG39" i="4" s="1"/>
  <c r="AI39" i="4" s="1"/>
  <c r="AQ119" i="4"/>
  <c r="AP119" i="4"/>
  <c r="AC119" i="4"/>
  <c r="AD119" i="4" s="1"/>
  <c r="AP130" i="4"/>
  <c r="AQ130" i="4"/>
  <c r="AC130" i="4"/>
  <c r="AD130" i="4" s="1"/>
  <c r="AK105" i="4"/>
  <c r="AL105" i="4" s="1"/>
  <c r="AQ55" i="4"/>
  <c r="AC55" i="4"/>
  <c r="AD55" i="4" s="1"/>
  <c r="AK140" i="4"/>
  <c r="AL140" i="4" s="1"/>
  <c r="AN140" i="4"/>
  <c r="AF140" i="4"/>
  <c r="AG140" i="4" s="1"/>
  <c r="AI140" i="4" s="1"/>
  <c r="BJ206" i="5"/>
  <c r="BK206" i="5"/>
  <c r="BJ150" i="5"/>
  <c r="BK150" i="5"/>
  <c r="BK197" i="5"/>
  <c r="BJ197" i="5"/>
  <c r="BJ169" i="5"/>
  <c r="BK169" i="5"/>
  <c r="BJ253" i="5"/>
  <c r="BK253" i="5"/>
  <c r="BK498" i="5"/>
  <c r="BJ498" i="5"/>
  <c r="BJ193" i="5"/>
  <c r="BK193" i="5"/>
  <c r="BK477" i="5"/>
  <c r="BJ477" i="5"/>
  <c r="AQ372" i="5"/>
  <c r="AR372" i="5"/>
  <c r="BI372" i="5"/>
  <c r="BK166" i="5"/>
  <c r="BJ166" i="5"/>
  <c r="BK374" i="5"/>
  <c r="BJ374" i="5"/>
  <c r="BK207" i="5"/>
  <c r="BJ207" i="5"/>
  <c r="BK404" i="5"/>
  <c r="BJ404" i="5"/>
  <c r="BJ175" i="5"/>
  <c r="BK175" i="5"/>
  <c r="BK70" i="5"/>
  <c r="BJ70" i="5"/>
  <c r="BK384" i="5"/>
  <c r="BJ384" i="5"/>
  <c r="BK121" i="5"/>
  <c r="BJ121" i="5"/>
  <c r="BJ367" i="5"/>
  <c r="BK367" i="5"/>
  <c r="BJ103" i="5"/>
  <c r="BK103" i="5"/>
  <c r="BJ409" i="5"/>
  <c r="BK409" i="5"/>
  <c r="BK220" i="5"/>
  <c r="BJ220" i="5"/>
  <c r="BK502" i="5"/>
  <c r="BJ502" i="5"/>
  <c r="BJ442" i="5"/>
  <c r="BK442" i="5"/>
  <c r="BI485" i="5"/>
  <c r="AR485" i="5"/>
  <c r="AQ485" i="5"/>
  <c r="BJ322" i="5"/>
  <c r="BK322" i="5"/>
  <c r="BK130" i="5"/>
  <c r="BJ130" i="5"/>
  <c r="BJ383" i="5"/>
  <c r="BK383" i="5"/>
  <c r="BK306" i="5"/>
  <c r="BJ306" i="5"/>
  <c r="BK289" i="5"/>
  <c r="BJ289" i="5"/>
  <c r="BJ96" i="5"/>
  <c r="BK96" i="5"/>
  <c r="BJ272" i="5"/>
  <c r="BK272" i="5"/>
  <c r="BJ531" i="5"/>
  <c r="BK531" i="5"/>
  <c r="BK264" i="5"/>
  <c r="BJ264" i="5"/>
  <c r="BK71" i="5"/>
  <c r="BJ71" i="5"/>
  <c r="BJ545" i="5"/>
  <c r="BK545" i="5"/>
  <c r="BK113" i="5"/>
  <c r="BJ113" i="5"/>
  <c r="BK432" i="5"/>
  <c r="BJ432" i="5"/>
  <c r="BJ376" i="5"/>
  <c r="BK376" i="5"/>
  <c r="S63" i="5"/>
  <c r="R63" i="5"/>
  <c r="S282" i="5"/>
  <c r="R282" i="5"/>
  <c r="S522" i="5"/>
  <c r="R522" i="5"/>
  <c r="S318" i="5"/>
  <c r="R318" i="5"/>
  <c r="R303" i="5"/>
  <c r="S303" i="5"/>
  <c r="S443" i="5"/>
  <c r="R443" i="5"/>
  <c r="S210" i="5"/>
  <c r="R210" i="5"/>
  <c r="R509" i="5"/>
  <c r="S509" i="5"/>
  <c r="S298" i="5"/>
  <c r="R298" i="5"/>
  <c r="S497" i="5"/>
  <c r="R497" i="5"/>
  <c r="S191" i="5"/>
  <c r="R191" i="5"/>
  <c r="S91" i="5"/>
  <c r="R91" i="5"/>
  <c r="R237" i="5"/>
  <c r="S237" i="5"/>
  <c r="R93" i="5"/>
  <c r="S93" i="5"/>
  <c r="S527" i="5"/>
  <c r="R527" i="5"/>
  <c r="S60" i="5"/>
  <c r="R60" i="5"/>
  <c r="R180" i="5"/>
  <c r="S180" i="5"/>
  <c r="S116" i="5"/>
  <c r="R116" i="5"/>
  <c r="S249" i="5"/>
  <c r="R249" i="5"/>
  <c r="S71" i="5"/>
  <c r="R71" i="5"/>
  <c r="R120" i="5"/>
  <c r="S120" i="5"/>
  <c r="S65" i="5"/>
  <c r="R65" i="5"/>
  <c r="R476" i="5"/>
  <c r="S476" i="5"/>
  <c r="R462" i="5"/>
  <c r="S462" i="5"/>
  <c r="S306" i="5"/>
  <c r="R306" i="5"/>
  <c r="R206" i="5"/>
  <c r="S206" i="5"/>
  <c r="R391" i="5"/>
  <c r="S391" i="5"/>
  <c r="R231" i="5"/>
  <c r="S231" i="5"/>
  <c r="R342" i="5"/>
  <c r="S342" i="5"/>
  <c r="R218" i="5"/>
  <c r="S218" i="5"/>
  <c r="S539" i="5"/>
  <c r="R539" i="5"/>
  <c r="S376" i="5"/>
  <c r="R376" i="5"/>
  <c r="R50" i="5"/>
  <c r="S50" i="5"/>
  <c r="S252" i="5"/>
  <c r="R252" i="5"/>
  <c r="R188" i="5"/>
  <c r="S188" i="5"/>
  <c r="R67" i="5"/>
  <c r="S67" i="5"/>
  <c r="R383" i="5"/>
  <c r="S383" i="5"/>
  <c r="S235" i="5"/>
  <c r="R235" i="5"/>
  <c r="S226" i="5"/>
  <c r="R226" i="5"/>
  <c r="R94" i="5"/>
  <c r="S94" i="5"/>
  <c r="S112" i="5"/>
  <c r="R112" i="5"/>
  <c r="R493" i="5"/>
  <c r="S493" i="5"/>
  <c r="R353" i="5"/>
  <c r="S353" i="5"/>
  <c r="S316" i="5"/>
  <c r="R316" i="5"/>
  <c r="S310" i="5"/>
  <c r="R310" i="5"/>
  <c r="S86" i="5"/>
  <c r="R86" i="5"/>
  <c r="S478" i="5"/>
  <c r="R478" i="5"/>
  <c r="S87" i="5"/>
  <c r="R87" i="5"/>
  <c r="S260" i="5"/>
  <c r="R260" i="5"/>
  <c r="S502" i="5"/>
  <c r="R502" i="5"/>
  <c r="R241" i="5"/>
  <c r="S241" i="5"/>
  <c r="R410" i="5"/>
  <c r="S410" i="5"/>
  <c r="R430" i="5"/>
  <c r="S430" i="5"/>
  <c r="S354" i="5"/>
  <c r="R354" i="5"/>
  <c r="S122" i="5"/>
  <c r="R122" i="5"/>
  <c r="R192" i="5"/>
  <c r="S192" i="5"/>
  <c r="S220" i="5"/>
  <c r="R220" i="5"/>
  <c r="R32" i="5"/>
  <c r="S32" i="5"/>
  <c r="S417" i="5"/>
  <c r="R417" i="5"/>
  <c r="R308" i="5"/>
  <c r="S308" i="5"/>
  <c r="R314" i="5"/>
  <c r="S314" i="5"/>
  <c r="S254" i="5"/>
  <c r="R254" i="5"/>
  <c r="R166" i="5"/>
  <c r="S166" i="5"/>
  <c r="R101" i="5"/>
  <c r="S101" i="5"/>
  <c r="S545" i="5"/>
  <c r="R545" i="5"/>
  <c r="R305" i="5"/>
  <c r="S305" i="5"/>
  <c r="S498" i="5"/>
  <c r="R498" i="5"/>
  <c r="S352" i="5"/>
  <c r="R352" i="5"/>
  <c r="S51" i="5"/>
  <c r="R51" i="5"/>
  <c r="S10" i="5"/>
  <c r="R10" i="5"/>
  <c r="R548" i="5"/>
  <c r="S548" i="5"/>
  <c r="R422" i="5"/>
  <c r="S422" i="5"/>
  <c r="S440" i="5"/>
  <c r="R440" i="5"/>
  <c r="R175" i="5"/>
  <c r="S175" i="5"/>
  <c r="S251" i="5"/>
  <c r="R251" i="5"/>
  <c r="S243" i="5"/>
  <c r="R243" i="5"/>
  <c r="S472" i="5"/>
  <c r="R472" i="5"/>
  <c r="S492" i="5"/>
  <c r="R492" i="5"/>
  <c r="R338" i="5"/>
  <c r="S338" i="5"/>
  <c r="S130" i="5"/>
  <c r="R130" i="5"/>
  <c r="S456" i="5"/>
  <c r="R456" i="5"/>
  <c r="S399" i="5"/>
  <c r="R399" i="5"/>
  <c r="S329" i="5"/>
  <c r="R329" i="5"/>
  <c r="S377" i="5"/>
  <c r="R377" i="5"/>
  <c r="R38" i="5"/>
  <c r="S38" i="5"/>
  <c r="R364" i="5"/>
  <c r="S364" i="5"/>
  <c r="R250" i="5"/>
  <c r="S250" i="5"/>
  <c r="R528" i="5"/>
  <c r="S528" i="5"/>
  <c r="R477" i="5"/>
  <c r="S477" i="5"/>
  <c r="S411" i="5"/>
  <c r="R411" i="5"/>
  <c r="R213" i="5"/>
  <c r="S213" i="5"/>
  <c r="S501" i="5"/>
  <c r="R501" i="5"/>
  <c r="R73" i="5"/>
  <c r="S73" i="5"/>
  <c r="R199" i="5"/>
  <c r="S199" i="5"/>
  <c r="R484" i="5"/>
  <c r="S484" i="5"/>
  <c r="S409" i="5"/>
  <c r="R409" i="5"/>
  <c r="R27" i="5"/>
  <c r="S27" i="5"/>
  <c r="S211" i="5"/>
  <c r="R211" i="5"/>
  <c r="S304" i="5"/>
  <c r="R304" i="5"/>
  <c r="R26" i="5"/>
  <c r="S26" i="5"/>
  <c r="S58" i="5"/>
  <c r="R58" i="5"/>
  <c r="R184" i="5"/>
  <c r="S184" i="5"/>
  <c r="S348" i="5"/>
  <c r="R348" i="5"/>
  <c r="S328" i="5"/>
  <c r="R328" i="5"/>
  <c r="R448" i="5"/>
  <c r="S448" i="5"/>
  <c r="S23" i="5"/>
  <c r="R23" i="5"/>
  <c r="S388" i="5"/>
  <c r="R388" i="5"/>
  <c r="R224" i="5"/>
  <c r="S224" i="5"/>
  <c r="S52" i="5"/>
  <c r="R52" i="5"/>
  <c r="R104" i="5"/>
  <c r="S104" i="5"/>
  <c r="R97" i="5"/>
  <c r="S97" i="5"/>
  <c r="R108" i="5"/>
  <c r="S108" i="5"/>
  <c r="S146" i="5"/>
  <c r="R146" i="5"/>
  <c r="R361" i="5"/>
  <c r="S361" i="5"/>
  <c r="S124" i="5"/>
  <c r="R124" i="5"/>
  <c r="R503" i="5"/>
  <c r="S503" i="5"/>
  <c r="S144" i="5"/>
  <c r="R144" i="5"/>
  <c r="S465" i="5"/>
  <c r="R465" i="5"/>
  <c r="S274" i="5"/>
  <c r="R274" i="5"/>
  <c r="R119" i="5"/>
  <c r="S119" i="5"/>
  <c r="R55" i="5"/>
  <c r="S55" i="5"/>
  <c r="S540" i="5"/>
  <c r="R540" i="5"/>
  <c r="R362" i="5"/>
  <c r="S362" i="5"/>
  <c r="R531" i="5"/>
  <c r="S531" i="5"/>
  <c r="S103" i="5"/>
  <c r="R103" i="5"/>
  <c r="S158" i="5"/>
  <c r="R158" i="5"/>
  <c r="S133" i="5"/>
  <c r="R133" i="5"/>
  <c r="S143" i="5"/>
  <c r="R143" i="5"/>
  <c r="R366" i="5"/>
  <c r="S366" i="5"/>
  <c r="R421" i="5"/>
  <c r="S421" i="5"/>
  <c r="S48" i="5"/>
  <c r="R48" i="5"/>
  <c r="R471" i="5"/>
  <c r="S471" i="5"/>
  <c r="R392" i="5"/>
  <c r="S392" i="5"/>
  <c r="R177" i="5"/>
  <c r="S177" i="5"/>
  <c r="S418" i="5"/>
  <c r="R418" i="5"/>
  <c r="R287" i="5"/>
  <c r="S287" i="5"/>
  <c r="S408" i="5"/>
  <c r="R408" i="5"/>
  <c r="BH7" i="5"/>
  <c r="BM7" i="5" s="1"/>
  <c r="BG7" i="5"/>
  <c r="BL7" i="5" s="1"/>
  <c r="BK344" i="5"/>
  <c r="BJ344" i="5"/>
  <c r="BJ217" i="5"/>
  <c r="BK217" i="5"/>
  <c r="AK53" i="4"/>
  <c r="AL53" i="4" s="1"/>
  <c r="AN53" i="4"/>
  <c r="AF53" i="4"/>
  <c r="AG53" i="4" s="1"/>
  <c r="AI53" i="4" s="1"/>
  <c r="AQ46" i="4"/>
  <c r="AC46" i="4"/>
  <c r="AD46" i="4" s="1"/>
  <c r="AP46" i="4"/>
  <c r="AC35" i="5"/>
  <c r="AC517" i="5"/>
  <c r="AC444" i="5"/>
  <c r="AC367" i="5"/>
  <c r="AC60" i="5"/>
  <c r="AC496" i="5"/>
  <c r="AC302" i="5"/>
  <c r="AC239" i="5"/>
  <c r="AC188" i="5"/>
  <c r="AC39" i="5"/>
  <c r="AC386" i="5"/>
  <c r="AC529" i="5"/>
  <c r="AC392" i="5"/>
  <c r="AC59" i="5"/>
  <c r="AC355" i="5"/>
  <c r="AC354" i="5"/>
  <c r="AC250" i="5"/>
  <c r="AC310" i="5"/>
  <c r="AC404" i="5"/>
  <c r="AC398" i="5"/>
  <c r="AC200" i="5"/>
  <c r="AC520" i="5"/>
  <c r="AC192" i="5"/>
  <c r="AC179" i="5"/>
  <c r="AC163" i="5"/>
  <c r="AC169" i="5"/>
  <c r="AC78" i="5"/>
  <c r="AC216" i="5"/>
  <c r="AC317" i="5"/>
  <c r="AC146" i="5"/>
  <c r="AC215" i="5"/>
  <c r="AC340" i="5"/>
  <c r="AC219" i="5"/>
  <c r="AC189" i="5"/>
  <c r="AC196" i="5"/>
  <c r="AC365" i="5"/>
  <c r="AC54" i="5"/>
  <c r="AC548" i="5"/>
  <c r="AC536" i="5"/>
  <c r="AC138" i="5"/>
  <c r="AC481" i="5"/>
  <c r="AC136" i="5"/>
  <c r="AC305" i="5"/>
  <c r="AC23" i="5"/>
  <c r="AC321" i="5"/>
  <c r="AC359" i="5"/>
  <c r="AC306" i="5"/>
  <c r="AC255" i="5"/>
  <c r="AC342" i="5"/>
  <c r="AC274" i="5"/>
  <c r="AC347" i="5"/>
  <c r="AC263" i="5"/>
  <c r="AC491" i="5"/>
  <c r="AC237" i="5"/>
  <c r="AC154" i="5"/>
  <c r="AC285" i="5"/>
  <c r="AC426" i="5"/>
  <c r="AC532" i="5"/>
  <c r="AC530" i="5"/>
  <c r="AC267" i="5"/>
  <c r="AC252" i="5"/>
  <c r="AC523" i="5"/>
  <c r="AC389" i="5"/>
  <c r="AC476" i="5"/>
  <c r="AC168" i="5"/>
  <c r="AC159" i="5"/>
  <c r="AC335" i="5"/>
  <c r="AC266" i="5"/>
  <c r="AC290" i="5"/>
  <c r="AC99" i="5"/>
  <c r="AC223" i="5"/>
  <c r="AC307" i="5"/>
  <c r="AC526" i="5"/>
  <c r="AC229" i="5"/>
  <c r="AC155" i="5"/>
  <c r="AC121" i="5"/>
  <c r="AC477" i="5"/>
  <c r="AC394" i="5"/>
  <c r="AC323" i="5"/>
  <c r="AC449" i="5"/>
  <c r="AC231" i="5"/>
  <c r="AC495" i="5"/>
  <c r="AC33" i="5"/>
  <c r="AC535" i="5"/>
  <c r="AC538" i="5"/>
  <c r="AC412" i="5"/>
  <c r="AC82" i="5"/>
  <c r="AC435" i="5"/>
  <c r="AC112" i="5"/>
  <c r="AC262" i="5"/>
  <c r="AC346" i="5"/>
  <c r="AC457" i="5"/>
  <c r="AC185" i="5"/>
  <c r="AC417" i="5"/>
  <c r="AC399" i="5"/>
  <c r="AC171" i="5"/>
  <c r="AC482" i="5"/>
  <c r="AC339" i="5"/>
  <c r="AC74" i="5"/>
  <c r="AC124" i="5"/>
  <c r="AC429" i="5"/>
  <c r="AC349" i="5"/>
  <c r="AC153" i="5"/>
  <c r="AC162" i="5"/>
  <c r="AC243" i="5"/>
  <c r="AC195" i="5"/>
  <c r="AC301" i="5"/>
  <c r="AC402" i="5"/>
  <c r="AC245" i="5"/>
  <c r="AC329" i="5"/>
  <c r="AC458" i="5"/>
  <c r="AC324" i="5"/>
  <c r="AC370" i="5"/>
  <c r="AC554" i="5"/>
  <c r="AC87" i="5"/>
  <c r="AC277" i="5"/>
  <c r="AC254" i="5"/>
  <c r="AC164" i="5"/>
  <c r="AC353" i="5"/>
  <c r="AC473" i="5"/>
  <c r="AC8" i="5"/>
  <c r="AC500" i="5"/>
  <c r="AC209" i="5"/>
  <c r="AC421" i="5"/>
  <c r="AC88" i="5"/>
  <c r="AC110" i="5"/>
  <c r="AC181" i="5"/>
  <c r="AC415" i="5"/>
  <c r="AC144" i="5"/>
  <c r="AC328" i="5"/>
  <c r="AC341" i="5"/>
  <c r="AC542" i="5"/>
  <c r="AC431" i="5"/>
  <c r="AC137" i="5"/>
  <c r="AC19" i="5"/>
  <c r="AC28" i="5"/>
  <c r="AC44" i="5"/>
  <c r="AQ139" i="4"/>
  <c r="AC139" i="4"/>
  <c r="AD139" i="4" s="1"/>
  <c r="AP139" i="4"/>
  <c r="AP104" i="4"/>
  <c r="AQ104" i="4"/>
  <c r="AC104" i="4"/>
  <c r="AD104" i="4" s="1"/>
  <c r="AN69" i="4"/>
  <c r="BK341" i="5"/>
  <c r="BJ341" i="5"/>
  <c r="BK64" i="5"/>
  <c r="BJ64" i="5"/>
  <c r="BJ27" i="5"/>
  <c r="BK27" i="5"/>
  <c r="AN142" i="4"/>
  <c r="AK142" i="4"/>
  <c r="AL142" i="4" s="1"/>
  <c r="AF142" i="4"/>
  <c r="AG142" i="4" s="1"/>
  <c r="AI142" i="4" s="1"/>
  <c r="BJ232" i="5"/>
  <c r="BK232" i="5"/>
  <c r="BJ167" i="5"/>
  <c r="BK167" i="5"/>
  <c r="BK330" i="5"/>
  <c r="BJ330" i="5"/>
  <c r="BK288" i="5"/>
  <c r="BJ288" i="5"/>
  <c r="BJ551" i="5"/>
  <c r="BK551" i="5"/>
  <c r="BJ208" i="5"/>
  <c r="BK208" i="5"/>
  <c r="BJ116" i="5"/>
  <c r="BK116" i="5"/>
  <c r="BK318" i="5"/>
  <c r="BJ318" i="5"/>
  <c r="BJ76" i="5"/>
  <c r="BK76" i="5"/>
  <c r="BK268" i="5"/>
  <c r="BJ268" i="5"/>
  <c r="BK346" i="5"/>
  <c r="BJ346" i="5"/>
  <c r="BJ291" i="5"/>
  <c r="BK291" i="5"/>
  <c r="BJ399" i="5"/>
  <c r="BK399" i="5"/>
  <c r="BJ52" i="5"/>
  <c r="BK52" i="5"/>
  <c r="BJ326" i="5"/>
  <c r="BK326" i="5"/>
  <c r="BJ66" i="5"/>
  <c r="BK66" i="5"/>
  <c r="BJ350" i="5"/>
  <c r="BK350" i="5"/>
  <c r="BK23" i="5"/>
  <c r="BJ23" i="5"/>
  <c r="BJ455" i="5"/>
  <c r="BK455" i="5"/>
  <c r="BK261" i="5"/>
  <c r="BJ261" i="5"/>
  <c r="AQ411" i="5"/>
  <c r="BI411" i="5"/>
  <c r="AR411" i="5"/>
  <c r="AQ446" i="5"/>
  <c r="BI446" i="5"/>
  <c r="AR446" i="5"/>
  <c r="BK79" i="5"/>
  <c r="BJ79" i="5"/>
  <c r="BK280" i="5"/>
  <c r="BJ280" i="5"/>
  <c r="BJ481" i="5"/>
  <c r="BK481" i="5"/>
  <c r="BJ351" i="5"/>
  <c r="BK351" i="5"/>
  <c r="BJ377" i="5"/>
  <c r="BK377" i="5"/>
  <c r="BJ40" i="5"/>
  <c r="BK40" i="5"/>
  <c r="BK365" i="5"/>
  <c r="BJ365" i="5"/>
  <c r="BK476" i="5"/>
  <c r="BJ476" i="5"/>
  <c r="BJ349" i="5"/>
  <c r="BK349" i="5"/>
  <c r="BK226" i="5"/>
  <c r="BJ226" i="5"/>
  <c r="BK471" i="5"/>
  <c r="BJ471" i="5"/>
  <c r="BJ512" i="5"/>
  <c r="BK512" i="5"/>
  <c r="BK343" i="5"/>
  <c r="BJ343" i="5"/>
  <c r="AP87" i="4"/>
  <c r="AQ87" i="4"/>
  <c r="AC87" i="4"/>
  <c r="AD87" i="4" s="1"/>
  <c r="AF25" i="4"/>
  <c r="AG25" i="4" s="1"/>
  <c r="AI25" i="4" s="1"/>
  <c r="AK25" i="4"/>
  <c r="AL25" i="4" s="1"/>
  <c r="AN25" i="4"/>
  <c r="AN27" i="4"/>
  <c r="AK27" i="4"/>
  <c r="AL27" i="4" s="1"/>
  <c r="AF27" i="4"/>
  <c r="AG27" i="4" s="1"/>
  <c r="AI27" i="4" s="1"/>
  <c r="BJ170" i="5"/>
  <c r="BK170" i="5"/>
  <c r="BJ80" i="5"/>
  <c r="BK80" i="5"/>
  <c r="BK362" i="5"/>
  <c r="BJ362" i="5"/>
  <c r="BJ527" i="5"/>
  <c r="BK527" i="5"/>
  <c r="BJ459" i="5"/>
  <c r="BK459" i="5"/>
  <c r="BK247" i="5"/>
  <c r="BJ247" i="5"/>
  <c r="BJ368" i="5"/>
  <c r="BK368" i="5"/>
  <c r="BK8" i="5"/>
  <c r="BJ8" i="5"/>
  <c r="BK99" i="5"/>
  <c r="BJ99" i="5"/>
  <c r="BJ554" i="5"/>
  <c r="BK554" i="5"/>
  <c r="BK240" i="5"/>
  <c r="BJ240" i="5"/>
  <c r="BJ282" i="5"/>
  <c r="BK282" i="5"/>
  <c r="BJ472" i="5"/>
  <c r="BK472" i="5"/>
  <c r="BK229" i="5"/>
  <c r="BJ229" i="5"/>
  <c r="BK218" i="5"/>
  <c r="BJ218" i="5"/>
  <c r="BK145" i="5"/>
  <c r="BJ145" i="5"/>
  <c r="BK463" i="5"/>
  <c r="BJ463" i="5"/>
  <c r="BK356" i="5"/>
  <c r="BJ356" i="5"/>
  <c r="BK535" i="5"/>
  <c r="BJ535" i="5"/>
  <c r="AC133" i="5"/>
  <c r="AC454" i="5"/>
  <c r="AC92" i="5"/>
  <c r="AC75" i="5"/>
  <c r="AC193" i="5"/>
  <c r="AC280" i="5"/>
  <c r="AC413" i="5"/>
  <c r="AC244" i="5"/>
  <c r="AC356" i="5"/>
  <c r="AC283" i="5"/>
  <c r="AC456" i="5"/>
  <c r="AC546" i="5"/>
  <c r="AC371" i="5"/>
  <c r="AC557" i="5"/>
  <c r="AC94" i="5"/>
  <c r="AC484" i="5"/>
  <c r="AC460" i="5"/>
  <c r="AC336" i="5"/>
  <c r="AC228" i="5"/>
  <c r="AC174" i="5"/>
  <c r="AC198" i="5"/>
  <c r="AC152" i="5"/>
  <c r="AC173" i="5"/>
  <c r="AC469" i="5"/>
  <c r="AC395" i="5"/>
  <c r="AC251" i="5"/>
  <c r="AC117" i="5"/>
  <c r="AC241" i="5"/>
  <c r="AC407" i="5"/>
  <c r="AC420" i="5"/>
  <c r="AC48" i="5"/>
  <c r="AC471" i="5"/>
  <c r="AC89" i="5"/>
  <c r="AC143" i="5"/>
  <c r="AC428" i="5"/>
  <c r="AC211" i="5"/>
  <c r="AC57" i="5"/>
  <c r="AC490" i="5"/>
  <c r="AC493" i="5"/>
  <c r="AC472" i="5"/>
  <c r="AC177" i="5"/>
  <c r="AC291" i="5"/>
  <c r="AC547" i="5"/>
  <c r="AC199" i="5"/>
  <c r="AC374" i="5"/>
  <c r="AC480" i="5"/>
  <c r="AC351" i="5"/>
  <c r="AC433" i="5"/>
  <c r="AC105" i="5"/>
  <c r="AC497" i="5"/>
  <c r="AC288" i="5"/>
  <c r="AC25" i="5"/>
  <c r="AC427" i="5"/>
  <c r="AC130" i="5"/>
  <c r="AC388" i="5"/>
  <c r="AC483" i="5"/>
  <c r="AC505" i="5"/>
  <c r="AC100" i="5"/>
  <c r="AC53" i="5"/>
  <c r="AC151" i="5"/>
  <c r="AC264" i="5"/>
  <c r="AC156" i="5"/>
  <c r="AC512" i="5"/>
  <c r="AC275" i="5"/>
  <c r="AC303" i="5"/>
  <c r="AC343" i="5"/>
  <c r="AC452" i="5"/>
  <c r="AC67" i="5"/>
  <c r="AC314" i="5"/>
  <c r="AC68" i="5"/>
  <c r="AC295" i="5"/>
  <c r="AC378" i="5"/>
  <c r="AC539" i="5"/>
  <c r="AC65" i="5"/>
  <c r="AC253" i="5"/>
  <c r="AC545" i="5"/>
  <c r="AC47" i="5"/>
  <c r="AC425" i="5"/>
  <c r="AC432" i="5"/>
  <c r="AC333" i="5"/>
  <c r="AC450" i="5"/>
  <c r="AC271" i="5"/>
  <c r="AC287" i="5"/>
  <c r="AC95" i="5"/>
  <c r="AC120" i="5"/>
  <c r="AC289" i="5"/>
  <c r="AC544" i="5"/>
  <c r="AC486" i="5"/>
  <c r="AC488" i="5"/>
  <c r="AC487" i="5"/>
  <c r="AC128" i="5"/>
  <c r="AC203" i="5"/>
  <c r="AC453" i="5"/>
  <c r="AC220" i="5"/>
  <c r="AC191" i="5"/>
  <c r="AC322" i="5"/>
  <c r="AC381" i="5"/>
  <c r="AC207" i="5"/>
  <c r="AC474" i="5"/>
  <c r="AC424" i="5"/>
  <c r="AC41" i="5"/>
  <c r="AC279" i="5"/>
  <c r="AC93" i="5"/>
  <c r="AC393" i="5"/>
  <c r="AC331" i="5"/>
  <c r="AC150" i="5"/>
  <c r="AC236" i="5"/>
  <c r="AC352" i="5"/>
  <c r="AC551" i="5"/>
  <c r="AC549" i="5"/>
  <c r="AC83" i="5"/>
  <c r="AC234" i="5"/>
  <c r="AC316" i="5"/>
  <c r="AC372" i="5"/>
  <c r="AC51" i="5"/>
  <c r="AC187" i="5"/>
  <c r="AC309" i="5"/>
  <c r="AC437" i="5"/>
  <c r="AC507" i="5"/>
  <c r="AC558" i="5"/>
  <c r="AC522" i="5"/>
  <c r="AC210" i="5"/>
  <c r="AC166" i="5"/>
  <c r="AC258" i="5"/>
  <c r="AC70" i="5"/>
  <c r="AC21" i="5"/>
  <c r="AC76" i="5"/>
  <c r="AC282" i="5"/>
  <c r="AC29" i="5"/>
  <c r="AC541" i="5"/>
  <c r="AN114" i="4"/>
  <c r="AK114" i="4"/>
  <c r="AL114" i="4" s="1"/>
  <c r="AF114" i="4"/>
  <c r="AG114" i="4" s="1"/>
  <c r="AI114" i="4" s="1"/>
  <c r="AN51" i="4"/>
  <c r="AK51" i="4"/>
  <c r="AL51" i="4" s="1"/>
  <c r="AF51" i="4"/>
  <c r="AG51" i="4" s="1"/>
  <c r="AI51" i="4" s="1"/>
  <c r="BJ336" i="5"/>
  <c r="BK336" i="5"/>
  <c r="BJ196" i="5"/>
  <c r="BK196" i="5"/>
  <c r="BJ536" i="5"/>
  <c r="BK536" i="5"/>
  <c r="BK436" i="5"/>
  <c r="BJ436" i="5"/>
  <c r="BK182" i="5"/>
  <c r="BJ182" i="5"/>
  <c r="BJ184" i="5"/>
  <c r="BK184" i="5"/>
  <c r="AK120" i="4"/>
  <c r="AL120" i="4" s="1"/>
  <c r="AF120" i="4"/>
  <c r="AG120" i="4" s="1"/>
  <c r="AI120" i="4" s="1"/>
  <c r="AN120" i="4"/>
  <c r="BK94" i="5"/>
  <c r="BJ94" i="5"/>
  <c r="BK496" i="5"/>
  <c r="BJ496" i="5"/>
  <c r="BK164" i="5"/>
  <c r="BJ164" i="5"/>
  <c r="BJ454" i="5"/>
  <c r="BK454" i="5"/>
  <c r="BK537" i="5"/>
  <c r="BJ537" i="5"/>
  <c r="BK142" i="5"/>
  <c r="BJ142" i="5"/>
  <c r="BK135" i="5"/>
  <c r="BJ135" i="5"/>
  <c r="BK490" i="5"/>
  <c r="BJ490" i="5"/>
  <c r="BJ507" i="5"/>
  <c r="BK507" i="5"/>
  <c r="BK156" i="5"/>
  <c r="BJ156" i="5"/>
  <c r="BK45" i="5"/>
  <c r="BJ45" i="5"/>
  <c r="BK312" i="5"/>
  <c r="BJ312" i="5"/>
  <c r="BK237" i="5"/>
  <c r="BJ237" i="5"/>
  <c r="BJ107" i="5"/>
  <c r="BK107" i="5"/>
  <c r="AQ176" i="5"/>
  <c r="AR176" i="5"/>
  <c r="BI176" i="5"/>
  <c r="BJ483" i="5"/>
  <c r="BK483" i="5"/>
  <c r="BJ199" i="5"/>
  <c r="BK199" i="5"/>
  <c r="BK188" i="5"/>
  <c r="BJ188" i="5"/>
  <c r="BK400" i="5"/>
  <c r="BJ400" i="5"/>
  <c r="BK221" i="5"/>
  <c r="BJ221" i="5"/>
  <c r="BK494" i="5"/>
  <c r="BJ494" i="5"/>
  <c r="BK328" i="5"/>
  <c r="BJ328" i="5"/>
  <c r="BK115" i="5"/>
  <c r="BJ115" i="5"/>
  <c r="BJ275" i="5"/>
  <c r="BK275" i="5"/>
  <c r="BJ316" i="5"/>
  <c r="BK316" i="5"/>
  <c r="AN29" i="4"/>
  <c r="AK29" i="4"/>
  <c r="AL29" i="4" s="1"/>
  <c r="AF29" i="4"/>
  <c r="AG29" i="4" s="1"/>
  <c r="AI29" i="4" s="1"/>
  <c r="AN76" i="4"/>
  <c r="AC10" i="4"/>
  <c r="AD10" i="4" s="1"/>
  <c r="AQ138" i="4"/>
  <c r="AP138" i="4"/>
  <c r="AC138" i="4"/>
  <c r="AD138" i="4" s="1"/>
  <c r="BJ213" i="5"/>
  <c r="BK213" i="5"/>
  <c r="BJ304" i="5"/>
  <c r="BK304" i="5"/>
  <c r="BK286" i="5"/>
  <c r="BJ286" i="5"/>
  <c r="BK34" i="5"/>
  <c r="BJ34" i="5"/>
  <c r="AN9" i="4"/>
  <c r="AK9" i="4"/>
  <c r="AL9" i="4" s="1"/>
  <c r="AF9" i="4"/>
  <c r="AG9" i="4" s="1"/>
  <c r="AI9" i="4" s="1"/>
  <c r="BJ333" i="5"/>
  <c r="BK333" i="5"/>
  <c r="BK525" i="5"/>
  <c r="BJ525" i="5"/>
  <c r="BK387" i="5"/>
  <c r="BJ387" i="5"/>
  <c r="BJ124" i="5"/>
  <c r="BK124" i="5"/>
  <c r="BJ302" i="5"/>
  <c r="BK302" i="5"/>
  <c r="BK437" i="5"/>
  <c r="BJ437" i="5"/>
  <c r="BJ299" i="5"/>
  <c r="BK299" i="5"/>
  <c r="BK274" i="5"/>
  <c r="BJ274" i="5"/>
  <c r="BJ106" i="5"/>
  <c r="BK106" i="5"/>
  <c r="BJ162" i="5"/>
  <c r="BK162" i="5"/>
  <c r="AC556" i="5"/>
  <c r="AC345" i="5"/>
  <c r="AC233" i="5"/>
  <c r="AC238" i="5"/>
  <c r="AC32" i="5"/>
  <c r="AC232" i="5"/>
  <c r="AC127" i="5"/>
  <c r="AC270" i="5"/>
  <c r="AC10" i="5"/>
  <c r="AC503" i="5"/>
  <c r="AC212" i="5"/>
  <c r="AC145" i="5"/>
  <c r="AC259" i="5"/>
  <c r="AC157" i="5"/>
  <c r="AC227" i="5"/>
  <c r="AC126" i="5"/>
  <c r="AC12" i="5"/>
  <c r="AC334" i="5"/>
  <c r="AC161" i="5"/>
  <c r="AC461" i="5"/>
  <c r="AC293" i="5"/>
  <c r="AC318" i="5"/>
  <c r="AC114" i="5"/>
  <c r="AC176" i="5"/>
  <c r="AC284" i="5"/>
  <c r="AC106" i="5"/>
  <c r="AC86" i="5"/>
  <c r="AC501" i="5"/>
  <c r="AC396" i="5"/>
  <c r="AC205" i="5"/>
  <c r="AC511" i="5"/>
  <c r="AC247" i="5"/>
  <c r="AC63" i="5"/>
  <c r="AC516" i="5"/>
  <c r="AC533" i="5"/>
  <c r="AC508" i="5"/>
  <c r="AC186" i="5"/>
  <c r="AC20" i="5"/>
  <c r="AC246" i="5"/>
  <c r="AC190" i="5"/>
  <c r="AC366" i="5"/>
  <c r="AC182" i="5"/>
  <c r="AC434" i="5"/>
  <c r="AC118" i="5"/>
  <c r="AC66" i="5"/>
  <c r="AC552" i="5"/>
  <c r="AC506" i="5"/>
  <c r="AC201" i="5"/>
  <c r="AC296" i="5"/>
  <c r="AC510" i="5"/>
  <c r="AC222" i="5"/>
  <c r="AC397" i="5"/>
  <c r="AC73" i="5"/>
  <c r="AC308" i="5"/>
  <c r="AC204" i="5"/>
  <c r="AC414" i="5"/>
  <c r="AC327" i="5"/>
  <c r="AC208" i="5"/>
  <c r="AC240" i="5"/>
  <c r="AC178" i="5"/>
  <c r="AC325" i="5"/>
  <c r="AC139" i="5"/>
  <c r="AC555" i="5"/>
  <c r="AC230" i="5"/>
  <c r="AC55" i="5"/>
  <c r="AC470" i="5"/>
  <c r="AC411" i="5"/>
  <c r="AC22" i="5"/>
  <c r="AC268" i="5"/>
  <c r="AC519" i="5"/>
  <c r="AC61" i="5"/>
  <c r="AC269" i="5"/>
  <c r="AC194" i="5"/>
  <c r="AC383" i="5"/>
  <c r="AC492" i="5"/>
  <c r="AC79" i="5"/>
  <c r="AC543" i="5"/>
  <c r="AC122" i="5"/>
  <c r="AC465" i="5"/>
  <c r="AC509" i="5"/>
  <c r="AC72" i="5"/>
  <c r="AC479" i="5"/>
  <c r="AC403" i="5"/>
  <c r="AC320" i="5"/>
  <c r="AC217" i="5"/>
  <c r="AC104" i="5"/>
  <c r="AC401" i="5"/>
  <c r="AC132" i="5"/>
  <c r="AC515" i="5"/>
  <c r="AC134" i="5"/>
  <c r="AC440" i="5"/>
  <c r="AC214" i="5"/>
  <c r="AC332" i="5"/>
  <c r="AC513" i="5"/>
  <c r="AC31" i="5"/>
  <c r="AC36" i="5"/>
  <c r="AC406" i="5"/>
  <c r="AC531" i="5"/>
  <c r="AC98" i="5"/>
  <c r="AC292" i="5"/>
  <c r="AC160" i="5"/>
  <c r="AC265" i="5"/>
  <c r="AC443" i="5"/>
  <c r="AC125" i="5"/>
  <c r="AC485" i="5"/>
  <c r="AC45" i="5"/>
  <c r="AC475" i="5"/>
  <c r="AC362" i="5"/>
  <c r="AC286" i="5"/>
  <c r="AC141" i="5"/>
  <c r="AC90" i="5"/>
  <c r="AC445" i="5"/>
  <c r="AC448" i="5"/>
  <c r="AC38" i="5"/>
  <c r="AC213" i="5"/>
  <c r="AC377" i="5"/>
  <c r="AC430" i="5"/>
  <c r="AC260" i="5"/>
  <c r="AC225" i="5"/>
  <c r="AC419" i="5"/>
  <c r="AC81" i="5"/>
  <c r="AC358" i="5"/>
  <c r="AC49" i="5"/>
  <c r="AC326" i="5"/>
  <c r="AC410" i="5"/>
  <c r="AC97" i="5"/>
  <c r="AC281" i="5"/>
  <c r="AC85" i="5"/>
  <c r="AC524" i="5"/>
  <c r="AC297" i="5"/>
  <c r="AN100" i="4"/>
  <c r="AK100" i="4"/>
  <c r="AL100" i="4" s="1"/>
  <c r="AF100" i="4"/>
  <c r="AG100" i="4" s="1"/>
  <c r="AI100" i="4" s="1"/>
  <c r="AN104" i="4"/>
  <c r="AK104" i="4"/>
  <c r="AL104" i="4" s="1"/>
  <c r="AF104" i="4"/>
  <c r="AG104" i="4" s="1"/>
  <c r="AI104" i="4" s="1"/>
  <c r="AP114" i="4"/>
  <c r="AQ114" i="4"/>
  <c r="AQ51" i="4"/>
  <c r="AP51" i="4"/>
  <c r="AC51" i="4"/>
  <c r="AD51" i="4" s="1"/>
  <c r="BK543" i="5"/>
  <c r="BJ543" i="5"/>
  <c r="BJ421" i="5"/>
  <c r="BK421" i="5"/>
  <c r="BJ311" i="5"/>
  <c r="BK311" i="5"/>
  <c r="AP142" i="4"/>
  <c r="AC142" i="4"/>
  <c r="AD142" i="4" s="1"/>
  <c r="AQ142" i="4"/>
  <c r="AP120" i="4"/>
  <c r="AQ120" i="4"/>
  <c r="AC120" i="4"/>
  <c r="AD120" i="4" s="1"/>
  <c r="BK210" i="5"/>
  <c r="BJ210" i="5"/>
  <c r="BJ347" i="5"/>
  <c r="BK347" i="5"/>
  <c r="BK308" i="5"/>
  <c r="BJ308" i="5"/>
  <c r="AR252" i="5"/>
  <c r="BI252" i="5"/>
  <c r="AQ252" i="5"/>
  <c r="AQ260" i="5"/>
  <c r="AR260" i="5"/>
  <c r="BI260" i="5"/>
  <c r="BK26" i="5"/>
  <c r="BJ26" i="5"/>
  <c r="BJ290" i="5"/>
  <c r="BK290" i="5"/>
  <c r="BK441" i="5"/>
  <c r="BJ441" i="5"/>
  <c r="BJ31" i="5"/>
  <c r="BK31" i="5"/>
  <c r="AR154" i="5"/>
  <c r="BI154" i="5"/>
  <c r="AQ154" i="5"/>
  <c r="BJ339" i="5"/>
  <c r="BK339" i="5"/>
  <c r="BJ108" i="5"/>
  <c r="BK108" i="5"/>
  <c r="BJ307" i="5"/>
  <c r="BK307" i="5"/>
  <c r="BI529" i="5"/>
  <c r="AR529" i="5"/>
  <c r="AQ529" i="5"/>
  <c r="BK141" i="5"/>
  <c r="BJ141" i="5"/>
  <c r="BJ251" i="5"/>
  <c r="BK251" i="5"/>
  <c r="BK119" i="5"/>
  <c r="BJ119" i="5"/>
  <c r="BJ72" i="5"/>
  <c r="BK72" i="5"/>
  <c r="BK86" i="5"/>
  <c r="BJ86" i="5"/>
  <c r="BJ65" i="5"/>
  <c r="BK65" i="5"/>
  <c r="BI68" i="5"/>
  <c r="AR68" i="5"/>
  <c r="AQ68" i="5"/>
  <c r="BJ396" i="5"/>
  <c r="BK396" i="5"/>
  <c r="BJ90" i="5"/>
  <c r="BK90" i="5"/>
  <c r="BK83" i="5"/>
  <c r="BJ83" i="5"/>
  <c r="BJ337" i="5"/>
  <c r="BK337" i="5"/>
  <c r="BJ102" i="5"/>
  <c r="BK102" i="5"/>
  <c r="BJ10" i="5"/>
  <c r="BK10" i="5"/>
  <c r="BJ422" i="5"/>
  <c r="BK422" i="5"/>
  <c r="BK332" i="5"/>
  <c r="BJ332" i="5"/>
  <c r="BK301" i="5"/>
  <c r="BJ301" i="5"/>
  <c r="AP29" i="4"/>
  <c r="AQ29" i="4"/>
  <c r="AC29" i="4"/>
  <c r="AD29" i="4" s="1"/>
  <c r="AF62" i="4"/>
  <c r="AG62" i="4" s="1"/>
  <c r="AI62" i="4" s="1"/>
  <c r="AK78" i="4"/>
  <c r="AL78" i="4" s="1"/>
  <c r="AN78" i="4"/>
  <c r="AF78" i="4"/>
  <c r="AG78" i="4" s="1"/>
  <c r="AI78" i="4" s="1"/>
  <c r="AP47" i="4"/>
  <c r="AQ47" i="4"/>
  <c r="AC47" i="4"/>
  <c r="AD47" i="4" s="1"/>
  <c r="AP35" i="4"/>
  <c r="AC35" i="4"/>
  <c r="AD35" i="4" s="1"/>
  <c r="AQ35" i="4"/>
  <c r="AK138" i="4"/>
  <c r="AL138" i="4" s="1"/>
  <c r="AN138" i="4"/>
  <c r="AF138" i="4"/>
  <c r="AG138" i="4" s="1"/>
  <c r="AI138" i="4" s="1"/>
  <c r="AQ80" i="4"/>
  <c r="AP80" i="4"/>
  <c r="AC80" i="4"/>
  <c r="AD80" i="4" s="1"/>
  <c r="BJ315" i="5"/>
  <c r="BK315" i="5"/>
  <c r="BK402" i="5"/>
  <c r="BJ402" i="5"/>
  <c r="BK129" i="5"/>
  <c r="BJ129" i="5"/>
  <c r="BK254" i="5"/>
  <c r="BJ254" i="5"/>
  <c r="BK57" i="5"/>
  <c r="BJ57" i="5"/>
  <c r="BJ95" i="5"/>
  <c r="BK95" i="5"/>
  <c r="BK458" i="5"/>
  <c r="BJ458" i="5"/>
  <c r="BJ181" i="5"/>
  <c r="BK181" i="5"/>
  <c r="BK313" i="5"/>
  <c r="BJ313" i="5"/>
  <c r="BK178" i="5"/>
  <c r="BK185" i="5"/>
  <c r="BJ185" i="5"/>
  <c r="BK317" i="5"/>
  <c r="BJ317" i="5"/>
  <c r="BK179" i="5"/>
  <c r="BJ179" i="5"/>
  <c r="BK183" i="5"/>
  <c r="BJ183" i="5"/>
  <c r="BJ473" i="5"/>
  <c r="BK473" i="5"/>
  <c r="BK111" i="5"/>
  <c r="BJ111" i="5"/>
  <c r="BJ12" i="5"/>
  <c r="BK12" i="5"/>
  <c r="BK273" i="5"/>
  <c r="BJ273" i="5"/>
  <c r="AQ99" i="4"/>
  <c r="AP99" i="4"/>
  <c r="AC99" i="4"/>
  <c r="AD99" i="4" s="1"/>
  <c r="AN91" i="4"/>
  <c r="AK91" i="4"/>
  <c r="AL91" i="4" s="1"/>
  <c r="AF91" i="4"/>
  <c r="AG91" i="4" s="1"/>
  <c r="AI91" i="4" s="1"/>
  <c r="AK46" i="4"/>
  <c r="AL46" i="4" s="1"/>
  <c r="AN46" i="4"/>
  <c r="AF46" i="4"/>
  <c r="AG46" i="4" s="1"/>
  <c r="AI46" i="4" s="1"/>
  <c r="AC9" i="5"/>
  <c r="AC455" i="5"/>
  <c r="AC344" i="5"/>
  <c r="AC96" i="5"/>
  <c r="AC382" i="5"/>
  <c r="AC311" i="5"/>
  <c r="AC534" i="5"/>
  <c r="AC459" i="5"/>
  <c r="AC363" i="5"/>
  <c r="AC58" i="5"/>
  <c r="AC330" i="5"/>
  <c r="AC50" i="5"/>
  <c r="AC313" i="5"/>
  <c r="AC423" i="5"/>
  <c r="AC135" i="5"/>
  <c r="AC142" i="5"/>
  <c r="AC224" i="5"/>
  <c r="AC111" i="5"/>
  <c r="AC439" i="5"/>
  <c r="AC261" i="5"/>
  <c r="AC24" i="5"/>
  <c r="AC71" i="5"/>
  <c r="AC312" i="5"/>
  <c r="AC206" i="5"/>
  <c r="AC257" i="5"/>
  <c r="AC273" i="5"/>
  <c r="AC147" i="5"/>
  <c r="AC140" i="5"/>
  <c r="AC131" i="5"/>
  <c r="AC540" i="5"/>
  <c r="AC400" i="5"/>
  <c r="AC103" i="5"/>
  <c r="AC375" i="5"/>
  <c r="AC357" i="5"/>
  <c r="AC502" i="5"/>
  <c r="AC361" i="5"/>
  <c r="AC390" i="5"/>
  <c r="AC553" i="5"/>
  <c r="AC102" i="5"/>
  <c r="AC52" i="5"/>
  <c r="AC338" i="5"/>
  <c r="AC221" i="5"/>
  <c r="AC467" i="5"/>
  <c r="AC26" i="5"/>
  <c r="AC226" i="5"/>
  <c r="AC446" i="5"/>
  <c r="AC158" i="5"/>
  <c r="AC436" i="5"/>
  <c r="AC550" i="5"/>
  <c r="AC165" i="5"/>
  <c r="AC202" i="5"/>
  <c r="AC368" i="5"/>
  <c r="AC80" i="5"/>
  <c r="AC278" i="5"/>
  <c r="AC464" i="5"/>
  <c r="AC478" i="5"/>
  <c r="AC463" i="5"/>
  <c r="AC376" i="5"/>
  <c r="AC387" i="5"/>
  <c r="AC183" i="5"/>
  <c r="AC108" i="5"/>
  <c r="AC422" i="5"/>
  <c r="AC184" i="5"/>
  <c r="AC197" i="5"/>
  <c r="AC84" i="5"/>
  <c r="AC294" i="5"/>
  <c r="AC498" i="5"/>
  <c r="AC385" i="5"/>
  <c r="AC380" i="5"/>
  <c r="AC499" i="5"/>
  <c r="AC298" i="5"/>
  <c r="AC409" i="5"/>
  <c r="AC113" i="5"/>
  <c r="AC148" i="5"/>
  <c r="AC107" i="5"/>
  <c r="AC391" i="5"/>
  <c r="AC489" i="5"/>
  <c r="AC43" i="5"/>
  <c r="AC360" i="5"/>
  <c r="AC101" i="5"/>
  <c r="AC30" i="5"/>
  <c r="AC337" i="5"/>
  <c r="AC40" i="5"/>
  <c r="AC172" i="5"/>
  <c r="AC379" i="5"/>
  <c r="AC408" i="5"/>
  <c r="AC116" i="5"/>
  <c r="AC518" i="5"/>
  <c r="AC276" i="5"/>
  <c r="AC175" i="5"/>
  <c r="AC528" i="5"/>
  <c r="AC384" i="5"/>
  <c r="AC451" i="5"/>
  <c r="AC441" i="5"/>
  <c r="AC56" i="5"/>
  <c r="AC91" i="5"/>
  <c r="AC438" i="5"/>
  <c r="AC416" i="5"/>
  <c r="AC109" i="5"/>
  <c r="AC364" i="5"/>
  <c r="AC13" i="5"/>
  <c r="AC319" i="5"/>
  <c r="AC300" i="5"/>
  <c r="AC69" i="5"/>
  <c r="AC442" i="5"/>
  <c r="AC462" i="5"/>
  <c r="AC42" i="5"/>
  <c r="AC64" i="5"/>
  <c r="AC123" i="5"/>
  <c r="AC537" i="5"/>
  <c r="AC521" i="5"/>
  <c r="AC447" i="5"/>
  <c r="AC350" i="5"/>
  <c r="AC369" i="5"/>
  <c r="AC115" i="5"/>
  <c r="AC27" i="5"/>
  <c r="AC149" i="5"/>
  <c r="AC373" i="5"/>
  <c r="AC504" i="5"/>
  <c r="AC180" i="5"/>
  <c r="AC34" i="5"/>
  <c r="AC119" i="5"/>
  <c r="AC242" i="5"/>
  <c r="AC299" i="5"/>
  <c r="AC466" i="5"/>
  <c r="AC272" i="5"/>
  <c r="AC514" i="5"/>
  <c r="AC559" i="5"/>
  <c r="AC62" i="5"/>
  <c r="AC560" i="5"/>
  <c r="AC77" i="5"/>
  <c r="AC37" i="5"/>
  <c r="AC405" i="5"/>
  <c r="AC468" i="5"/>
  <c r="AC256" i="5"/>
  <c r="AC348" i="5"/>
  <c r="AC46" i="5"/>
  <c r="AQ100" i="4"/>
  <c r="AP100" i="4"/>
  <c r="AC100" i="4"/>
  <c r="AD100" i="4" s="1"/>
  <c r="AN139" i="4"/>
  <c r="AK139" i="4"/>
  <c r="AL139" i="4" s="1"/>
  <c r="AF139" i="4"/>
  <c r="AG139" i="4" s="1"/>
  <c r="AI139" i="4" s="1"/>
  <c r="BJ359" i="5"/>
  <c r="BK359" i="5"/>
  <c r="BK244" i="5"/>
  <c r="BJ244" i="5"/>
  <c r="BK171" i="5"/>
  <c r="BJ171" i="5"/>
  <c r="BJ24" i="5"/>
  <c r="BK24" i="5"/>
  <c r="BK266" i="5"/>
  <c r="BJ266" i="5"/>
  <c r="BK227" i="5"/>
  <c r="BJ227" i="5"/>
  <c r="BK523" i="5"/>
  <c r="BJ523" i="5"/>
  <c r="BK258" i="5"/>
  <c r="BJ258" i="5"/>
  <c r="BJ245" i="5"/>
  <c r="BK245" i="5"/>
  <c r="BJ412" i="5"/>
  <c r="BK412" i="5"/>
  <c r="BJ278" i="5"/>
  <c r="BK278" i="5"/>
  <c r="BJ408" i="5"/>
  <c r="BK408" i="5"/>
  <c r="AQ394" i="5"/>
  <c r="AR394" i="5"/>
  <c r="BI394" i="5"/>
  <c r="BJ505" i="5"/>
  <c r="BK505" i="5"/>
  <c r="BK201" i="5"/>
  <c r="BJ201" i="5"/>
  <c r="BK134" i="5"/>
  <c r="BJ134" i="5"/>
  <c r="BK403" i="5"/>
  <c r="BJ403" i="5"/>
  <c r="BK516" i="5"/>
  <c r="BJ516" i="5"/>
  <c r="BK87" i="5"/>
  <c r="BJ87" i="5"/>
  <c r="BJ125" i="5"/>
  <c r="BK125" i="5"/>
  <c r="BJ469" i="5"/>
  <c r="BK469" i="5"/>
  <c r="BJ522" i="5"/>
  <c r="BK522" i="5"/>
  <c r="AQ444" i="5"/>
  <c r="AR444" i="5"/>
  <c r="BI444" i="5"/>
  <c r="BJ41" i="5"/>
  <c r="BK41" i="5"/>
  <c r="BK249" i="5"/>
  <c r="BJ249" i="5"/>
  <c r="BJ433" i="5"/>
  <c r="BK433" i="5"/>
  <c r="BJ109" i="5"/>
  <c r="BK109" i="5"/>
  <c r="BJ235" i="5"/>
  <c r="BK235" i="5"/>
  <c r="BK173" i="5"/>
  <c r="BJ173" i="5"/>
  <c r="BJ501" i="5"/>
  <c r="BK501" i="5"/>
  <c r="BI159" i="5"/>
  <c r="AQ159" i="5"/>
  <c r="AR159" i="5"/>
  <c r="BJ397" i="5"/>
  <c r="BK397" i="5"/>
  <c r="BK61" i="5"/>
  <c r="BJ61" i="5"/>
  <c r="BK195" i="5"/>
  <c r="BJ195" i="5"/>
  <c r="BK101" i="5"/>
  <c r="BJ101" i="5"/>
  <c r="BK59" i="5"/>
  <c r="BJ59" i="5"/>
  <c r="BJ519" i="5"/>
  <c r="BK519" i="5"/>
  <c r="BK331" i="5"/>
  <c r="BJ331" i="5"/>
  <c r="BJ120" i="5"/>
  <c r="BK120" i="5"/>
  <c r="BK97" i="5"/>
  <c r="BJ97" i="5"/>
  <c r="BJ534" i="5"/>
  <c r="BK534" i="5"/>
  <c r="BJ105" i="5"/>
  <c r="BK105" i="5"/>
  <c r="AN87" i="4"/>
  <c r="AK87" i="4"/>
  <c r="AL87" i="4" s="1"/>
  <c r="AF87" i="4"/>
  <c r="AG87" i="4" s="1"/>
  <c r="AI87" i="4" s="1"/>
  <c r="AN63" i="4"/>
  <c r="AN47" i="4"/>
  <c r="AK47" i="4"/>
  <c r="AL47" i="4" s="1"/>
  <c r="AF47" i="4"/>
  <c r="AG47" i="4" s="1"/>
  <c r="AI47" i="4" s="1"/>
  <c r="AP27" i="4"/>
  <c r="AQ27" i="4"/>
  <c r="AC27" i="4"/>
  <c r="AD27" i="4" s="1"/>
  <c r="AK35" i="4"/>
  <c r="AL35" i="4" s="1"/>
  <c r="AN35" i="4"/>
  <c r="AF35" i="4"/>
  <c r="AG35" i="4" s="1"/>
  <c r="AI35" i="4" s="1"/>
  <c r="AK10" i="4"/>
  <c r="AL10" i="4" s="1"/>
  <c r="AN10" i="4"/>
  <c r="AF10" i="4"/>
  <c r="AG10" i="4" s="1"/>
  <c r="AI10" i="4" s="1"/>
  <c r="AK80" i="4"/>
  <c r="AL80" i="4" s="1"/>
  <c r="AN80" i="4"/>
  <c r="AF80" i="4"/>
  <c r="AG80" i="4" s="1"/>
  <c r="AI80" i="4" s="1"/>
  <c r="BJ335" i="5"/>
  <c r="BK335" i="5"/>
  <c r="BK296" i="5"/>
  <c r="BJ296" i="5"/>
  <c r="BJ303" i="5"/>
  <c r="BK303" i="5"/>
  <c r="BJ198" i="5"/>
  <c r="BK198" i="5"/>
  <c r="BK492" i="5"/>
  <c r="BJ492" i="5"/>
  <c r="AF16" i="4"/>
  <c r="AG16" i="4" s="1"/>
  <c r="AI16" i="4" s="1"/>
  <c r="AN16" i="4"/>
  <c r="AK16" i="4"/>
  <c r="AL16" i="4" s="1"/>
  <c r="BJ538" i="5"/>
  <c r="BK538" i="5"/>
  <c r="BJ546" i="5"/>
  <c r="BK546" i="5"/>
  <c r="BJ58" i="5"/>
  <c r="BK58" i="5"/>
  <c r="BJ533" i="5"/>
  <c r="BK533" i="5"/>
  <c r="BK448" i="5"/>
  <c r="BJ448" i="5"/>
  <c r="BJ489" i="5"/>
  <c r="BK489" i="5"/>
  <c r="BK515" i="5"/>
  <c r="BJ515" i="5"/>
  <c r="BK78" i="5"/>
  <c r="BJ78" i="5"/>
  <c r="B189" i="2" l="1"/>
  <c r="B224" i="2" s="1"/>
  <c r="F69" i="1" s="1"/>
  <c r="BK7" i="5"/>
  <c r="AK48" i="4"/>
  <c r="AL48" i="4" s="1"/>
  <c r="AN105" i="4"/>
  <c r="AF55" i="4"/>
  <c r="AG55" i="4" s="1"/>
  <c r="AI55" i="4" s="1"/>
  <c r="BK255" i="5"/>
  <c r="AF105" i="4"/>
  <c r="AG105" i="4" s="1"/>
  <c r="AI105" i="4" s="1"/>
  <c r="AP151" i="4"/>
  <c r="AQ83" i="4"/>
  <c r="AC123" i="4"/>
  <c r="AD123" i="4" s="1"/>
  <c r="AQ123" i="4"/>
  <c r="AK75" i="4"/>
  <c r="AL75" i="4" s="1"/>
  <c r="AP84" i="4"/>
  <c r="AK42" i="4"/>
  <c r="AL42" i="4" s="1"/>
  <c r="AC31" i="4"/>
  <c r="AD31" i="4" s="1"/>
  <c r="AQ38" i="4"/>
  <c r="BK348" i="5"/>
  <c r="AN117" i="4"/>
  <c r="AO117" i="4" s="1"/>
  <c r="AK43" i="4"/>
  <c r="AL43" i="4" s="1"/>
  <c r="AC38" i="4"/>
  <c r="AD38" i="4" s="1"/>
  <c r="AP32" i="4"/>
  <c r="AQ32" i="4"/>
  <c r="AN55" i="4"/>
  <c r="AK54" i="4"/>
  <c r="AL54" i="4" s="1"/>
  <c r="AN54" i="4"/>
  <c r="BJ60" i="5"/>
  <c r="BJ187" i="5"/>
  <c r="BK539" i="5"/>
  <c r="BK248" i="5"/>
  <c r="BJ292" i="5"/>
  <c r="BK392" i="5"/>
  <c r="BJ22" i="5"/>
  <c r="BJ495" i="5"/>
  <c r="BK276" i="5"/>
  <c r="BK464" i="5"/>
  <c r="BK457" i="5"/>
  <c r="BK38" i="5"/>
  <c r="BJ168" i="5"/>
  <c r="BJ327" i="5"/>
  <c r="BK28" i="5"/>
  <c r="BJ325" i="5"/>
  <c r="BK369" i="5"/>
  <c r="BJ324" i="5"/>
  <c r="AK33" i="4"/>
  <c r="AL33" i="4" s="1"/>
  <c r="AA75" i="4"/>
  <c r="AA105" i="4"/>
  <c r="AQ105" i="4" s="1"/>
  <c r="AA54" i="4"/>
  <c r="AN96" i="4"/>
  <c r="X96" i="4"/>
  <c r="AJ96" i="4" s="1"/>
  <c r="AF94" i="4"/>
  <c r="AG94" i="4" s="1"/>
  <c r="AI94" i="4" s="1"/>
  <c r="X94" i="4"/>
  <c r="AJ94" i="4" s="1"/>
  <c r="AN61" i="4"/>
  <c r="X61" i="4"/>
  <c r="AJ61" i="4" s="1"/>
  <c r="X97" i="4"/>
  <c r="AK97" i="4" s="1"/>
  <c r="AL97" i="4" s="1"/>
  <c r="X98" i="4"/>
  <c r="AF76" i="4"/>
  <c r="AG76" i="4" s="1"/>
  <c r="AI76" i="4" s="1"/>
  <c r="X76" i="4"/>
  <c r="AJ76" i="4" s="1"/>
  <c r="AA76" i="4"/>
  <c r="AA61" i="4"/>
  <c r="AC61" i="4" s="1"/>
  <c r="AD61" i="4" s="1"/>
  <c r="AA96" i="4"/>
  <c r="AQ96" i="4" s="1"/>
  <c r="AA78" i="4"/>
  <c r="X112" i="4"/>
  <c r="AK112" i="4" s="1"/>
  <c r="AL112" i="4" s="1"/>
  <c r="X63" i="4"/>
  <c r="AJ63" i="4" s="1"/>
  <c r="AF59" i="4"/>
  <c r="AG59" i="4" s="1"/>
  <c r="AI59" i="4" s="1"/>
  <c r="X59" i="4"/>
  <c r="AJ59" i="4" s="1"/>
  <c r="AN79" i="4"/>
  <c r="X79" i="4"/>
  <c r="AN85" i="4"/>
  <c r="X85" i="4"/>
  <c r="AJ85" i="4" s="1"/>
  <c r="X113" i="4"/>
  <c r="AN74" i="4"/>
  <c r="X74" i="4"/>
  <c r="AJ74" i="4" s="1"/>
  <c r="AN93" i="4"/>
  <c r="X93" i="4"/>
  <c r="AK93" i="4" s="1"/>
  <c r="AL93" i="4" s="1"/>
  <c r="X108" i="4"/>
  <c r="AJ108" i="4" s="1"/>
  <c r="AN60" i="4"/>
  <c r="X60" i="4"/>
  <c r="AJ60" i="4" s="1"/>
  <c r="AN65" i="4"/>
  <c r="X65" i="4"/>
  <c r="AJ65" i="4" s="1"/>
  <c r="X82" i="4"/>
  <c r="AJ82" i="4" s="1"/>
  <c r="AN77" i="4"/>
  <c r="X77" i="4"/>
  <c r="AK77" i="4" s="1"/>
  <c r="AL77" i="4" s="1"/>
  <c r="AN106" i="4"/>
  <c r="X106" i="4"/>
  <c r="AF66" i="4"/>
  <c r="AG66" i="4" s="1"/>
  <c r="AI66" i="4" s="1"/>
  <c r="X66" i="4"/>
  <c r="AJ66" i="4" s="1"/>
  <c r="AN102" i="4"/>
  <c r="X102" i="4"/>
  <c r="AJ102" i="4" s="1"/>
  <c r="X111" i="4"/>
  <c r="AJ111" i="4" s="1"/>
  <c r="AA94" i="4"/>
  <c r="AQ94" i="4" s="1"/>
  <c r="AN110" i="4"/>
  <c r="X110" i="4"/>
  <c r="AJ110" i="4" s="1"/>
  <c r="X89" i="4"/>
  <c r="AK89" i="4" s="1"/>
  <c r="AL89" i="4" s="1"/>
  <c r="AN95" i="4"/>
  <c r="X95" i="4"/>
  <c r="AK95" i="4" s="1"/>
  <c r="AL95" i="4" s="1"/>
  <c r="X69" i="4"/>
  <c r="AJ69" i="4" s="1"/>
  <c r="AA107" i="4"/>
  <c r="AN81" i="4"/>
  <c r="X81" i="4"/>
  <c r="AK81" i="4" s="1"/>
  <c r="AL81" i="4" s="1"/>
  <c r="X67" i="4"/>
  <c r="AF90" i="4"/>
  <c r="AG90" i="4" s="1"/>
  <c r="AI90" i="4" s="1"/>
  <c r="X90" i="4"/>
  <c r="AN62" i="4"/>
  <c r="X62" i="4"/>
  <c r="AA74" i="4"/>
  <c r="AP74" i="4" s="1"/>
  <c r="AA71" i="4"/>
  <c r="AF101" i="4"/>
  <c r="AG101" i="4" s="1"/>
  <c r="AI101" i="4" s="1"/>
  <c r="X101" i="4"/>
  <c r="AN108" i="4"/>
  <c r="AF108" i="4"/>
  <c r="AG108" i="4" s="1"/>
  <c r="AI108" i="4" s="1"/>
  <c r="AK36" i="4"/>
  <c r="AL36" i="4" s="1"/>
  <c r="AO36" i="4" s="1"/>
  <c r="AN57" i="4"/>
  <c r="X57" i="4"/>
  <c r="AK57" i="4" s="1"/>
  <c r="AL57" i="4" s="1"/>
  <c r="AA36" i="4"/>
  <c r="AA52" i="4"/>
  <c r="AA41" i="4"/>
  <c r="AA42" i="4"/>
  <c r="AA58" i="4"/>
  <c r="AA43" i="4"/>
  <c r="AP8" i="4"/>
  <c r="AA48" i="4"/>
  <c r="AA34" i="4"/>
  <c r="AA33" i="4"/>
  <c r="AC151" i="4"/>
  <c r="AD151" i="4" s="1"/>
  <c r="AF106" i="4"/>
  <c r="AG106" i="4" s="1"/>
  <c r="AI106" i="4" s="1"/>
  <c r="AC155" i="4"/>
  <c r="AD155" i="4" s="1"/>
  <c r="AQ155" i="4"/>
  <c r="AF134" i="4"/>
  <c r="AG134" i="4" s="1"/>
  <c r="AI134" i="4" s="1"/>
  <c r="AN118" i="4"/>
  <c r="AO118" i="4" s="1"/>
  <c r="AN134" i="4"/>
  <c r="AO134" i="4" s="1"/>
  <c r="AN90" i="4"/>
  <c r="AC13" i="4"/>
  <c r="AD13" i="4" s="1"/>
  <c r="AP11" i="4"/>
  <c r="AC117" i="4"/>
  <c r="AD117" i="4" s="1"/>
  <c r="AF118" i="4"/>
  <c r="AG118" i="4" s="1"/>
  <c r="AI118" i="4" s="1"/>
  <c r="AP117" i="4"/>
  <c r="AC11" i="4"/>
  <c r="AD11" i="4" s="1"/>
  <c r="AC134" i="4"/>
  <c r="AD134" i="4" s="1"/>
  <c r="AQ134" i="4"/>
  <c r="AC148" i="4"/>
  <c r="AD148" i="4" s="1"/>
  <c r="AQ148" i="4"/>
  <c r="AF63" i="4"/>
  <c r="AG63" i="4" s="1"/>
  <c r="AI63" i="4" s="1"/>
  <c r="AN116" i="4"/>
  <c r="AO116" i="4" s="1"/>
  <c r="AF117" i="4"/>
  <c r="AG117" i="4" s="1"/>
  <c r="AI117" i="4" s="1"/>
  <c r="AP129" i="4"/>
  <c r="AQ129" i="4"/>
  <c r="AF57" i="4"/>
  <c r="AG57" i="4" s="1"/>
  <c r="AI57" i="4" s="1"/>
  <c r="AC149" i="4"/>
  <c r="AD149" i="4" s="1"/>
  <c r="AP149" i="4"/>
  <c r="AK141" i="4"/>
  <c r="AL141" i="4" s="1"/>
  <c r="AO141" i="4" s="1"/>
  <c r="AP140" i="4"/>
  <c r="AF149" i="4"/>
  <c r="AG149" i="4" s="1"/>
  <c r="AI149" i="4" s="1"/>
  <c r="AQ13" i="4"/>
  <c r="AK129" i="4"/>
  <c r="AL129" i="4" s="1"/>
  <c r="AO129" i="4" s="1"/>
  <c r="AF133" i="4"/>
  <c r="AG133" i="4" s="1"/>
  <c r="AI133" i="4" s="1"/>
  <c r="AK76" i="4"/>
  <c r="AL76" i="4" s="1"/>
  <c r="AO76" i="4" s="1"/>
  <c r="AN149" i="4"/>
  <c r="AF129" i="4"/>
  <c r="AG129" i="4" s="1"/>
  <c r="AI129" i="4" s="1"/>
  <c r="AK133" i="4"/>
  <c r="AL133" i="4" s="1"/>
  <c r="AO133" i="4" s="1"/>
  <c r="AC122" i="4"/>
  <c r="AD122" i="4" s="1"/>
  <c r="AP122" i="4"/>
  <c r="AC141" i="4"/>
  <c r="AD141" i="4" s="1"/>
  <c r="AQ10" i="4"/>
  <c r="AF141" i="4"/>
  <c r="AG141" i="4" s="1"/>
  <c r="AI141" i="4" s="1"/>
  <c r="AP141" i="4"/>
  <c r="AK136" i="4"/>
  <c r="AL136" i="4" s="1"/>
  <c r="AO136" i="4" s="1"/>
  <c r="AF69" i="4"/>
  <c r="AG69" i="4" s="1"/>
  <c r="AI69" i="4" s="1"/>
  <c r="AF61" i="4"/>
  <c r="AG61" i="4" s="1"/>
  <c r="AI61" i="4" s="1"/>
  <c r="AN112" i="4"/>
  <c r="AF135" i="4"/>
  <c r="AG135" i="4" s="1"/>
  <c r="AI135" i="4" s="1"/>
  <c r="AF113" i="4"/>
  <c r="AG113" i="4" s="1"/>
  <c r="AI113" i="4" s="1"/>
  <c r="AK135" i="4"/>
  <c r="AL135" i="4" s="1"/>
  <c r="AO135" i="4" s="1"/>
  <c r="AN113" i="4"/>
  <c r="AF122" i="4"/>
  <c r="AG122" i="4" s="1"/>
  <c r="AI122" i="4" s="1"/>
  <c r="AQ133" i="4"/>
  <c r="AK122" i="4"/>
  <c r="AL122" i="4" s="1"/>
  <c r="AO122" i="4" s="1"/>
  <c r="AP144" i="4"/>
  <c r="AF74" i="4"/>
  <c r="AG74" i="4" s="1"/>
  <c r="AI74" i="4" s="1"/>
  <c r="AQ144" i="4"/>
  <c r="AF111" i="4"/>
  <c r="AG111" i="4" s="1"/>
  <c r="AI111" i="4" s="1"/>
  <c r="AN101" i="4"/>
  <c r="AN111" i="4"/>
  <c r="AC133" i="4"/>
  <c r="AD133" i="4" s="1"/>
  <c r="AQ109" i="4"/>
  <c r="AP9" i="4"/>
  <c r="AF110" i="4"/>
  <c r="AG110" i="4" s="1"/>
  <c r="AI110" i="4" s="1"/>
  <c r="AC109" i="4"/>
  <c r="AD109" i="4" s="1"/>
  <c r="AF112" i="4"/>
  <c r="AG112" i="4" s="1"/>
  <c r="AI112" i="4" s="1"/>
  <c r="AK124" i="4"/>
  <c r="AL124" i="4" s="1"/>
  <c r="AC12" i="4"/>
  <c r="AD12" i="4" s="1"/>
  <c r="AC137" i="4"/>
  <c r="AD137" i="4" s="1"/>
  <c r="AQ137" i="4"/>
  <c r="AF152" i="4"/>
  <c r="AG152" i="4" s="1"/>
  <c r="AI152" i="4" s="1"/>
  <c r="AN89" i="4"/>
  <c r="AK152" i="4"/>
  <c r="AL152" i="4" s="1"/>
  <c r="AO152" i="4" s="1"/>
  <c r="AN94" i="4"/>
  <c r="AC18" i="4"/>
  <c r="AD18" i="4" s="1"/>
  <c r="AF93" i="4"/>
  <c r="AG93" i="4" s="1"/>
  <c r="AI93" i="4" s="1"/>
  <c r="AP14" i="4"/>
  <c r="AC14" i="4"/>
  <c r="AD14" i="4" s="1"/>
  <c r="AQ8" i="4"/>
  <c r="AQ18" i="4"/>
  <c r="AQ24" i="4"/>
  <c r="AF136" i="4"/>
  <c r="AG136" i="4" s="1"/>
  <c r="AI136" i="4" s="1"/>
  <c r="AF116" i="4"/>
  <c r="AG116" i="4" s="1"/>
  <c r="AI116" i="4" s="1"/>
  <c r="AQ22" i="4"/>
  <c r="AQ136" i="4"/>
  <c r="AF60" i="4"/>
  <c r="AG60" i="4" s="1"/>
  <c r="AI60" i="4" s="1"/>
  <c r="AN59" i="4"/>
  <c r="AP22" i="4"/>
  <c r="AP136" i="4"/>
  <c r="AC25" i="4"/>
  <c r="AD25" i="4" s="1"/>
  <c r="AQ25" i="4"/>
  <c r="AF95" i="4"/>
  <c r="AG95" i="4" s="1"/>
  <c r="AI95" i="4" s="1"/>
  <c r="AF143" i="4"/>
  <c r="AG143" i="4" s="1"/>
  <c r="AI143" i="4" s="1"/>
  <c r="AC24" i="4"/>
  <c r="AD24" i="4" s="1"/>
  <c r="AK143" i="4"/>
  <c r="AL143" i="4" s="1"/>
  <c r="AO143" i="4" s="1"/>
  <c r="AP135" i="4"/>
  <c r="AQ135" i="4"/>
  <c r="AP96" i="4"/>
  <c r="AK137" i="4"/>
  <c r="AL137" i="4" s="1"/>
  <c r="AF97" i="4"/>
  <c r="AG97" i="4" s="1"/>
  <c r="AI97" i="4" s="1"/>
  <c r="AQ16" i="4"/>
  <c r="AF144" i="4"/>
  <c r="AG144" i="4" s="1"/>
  <c r="AI144" i="4" s="1"/>
  <c r="AC11" i="5"/>
  <c r="AE11" i="5" s="1"/>
  <c r="AN97" i="4"/>
  <c r="AC92" i="4"/>
  <c r="AD92" i="4" s="1"/>
  <c r="AN82" i="4"/>
  <c r="AP7" i="4"/>
  <c r="AQ7" i="4"/>
  <c r="AC23" i="4"/>
  <c r="AD23" i="4" s="1"/>
  <c r="AN144" i="4"/>
  <c r="AO144" i="4" s="1"/>
  <c r="AP92" i="4"/>
  <c r="AF65" i="4"/>
  <c r="AG65" i="4" s="1"/>
  <c r="AI65" i="4" s="1"/>
  <c r="AF67" i="4"/>
  <c r="AG67" i="4" s="1"/>
  <c r="AI67" i="4" s="1"/>
  <c r="AF77" i="4"/>
  <c r="AG77" i="4" s="1"/>
  <c r="AI77" i="4" s="1"/>
  <c r="AQ23" i="4"/>
  <c r="AN67" i="4"/>
  <c r="AF128" i="4"/>
  <c r="AG128" i="4" s="1"/>
  <c r="AI128" i="4" s="1"/>
  <c r="AN128" i="4"/>
  <c r="AO128" i="4" s="1"/>
  <c r="AF81" i="4"/>
  <c r="AG81" i="4" s="1"/>
  <c r="AI81" i="4" s="1"/>
  <c r="AC156" i="4"/>
  <c r="AD156" i="4" s="1"/>
  <c r="AF98" i="4"/>
  <c r="AG98" i="4" s="1"/>
  <c r="AI98" i="4" s="1"/>
  <c r="AF79" i="4"/>
  <c r="AG79" i="4" s="1"/>
  <c r="AI79" i="4" s="1"/>
  <c r="AP156" i="4"/>
  <c r="AP16" i="4"/>
  <c r="AF82" i="4"/>
  <c r="AG82" i="4" s="1"/>
  <c r="AI82" i="4" s="1"/>
  <c r="AN98" i="4"/>
  <c r="AO18" i="4"/>
  <c r="AP143" i="4"/>
  <c r="AN137" i="4"/>
  <c r="AC143" i="4"/>
  <c r="AD143" i="4" s="1"/>
  <c r="AN66" i="4"/>
  <c r="AN121" i="4"/>
  <c r="AO121" i="4" s="1"/>
  <c r="AF102" i="4"/>
  <c r="AG102" i="4" s="1"/>
  <c r="AI102" i="4" s="1"/>
  <c r="AF121" i="4"/>
  <c r="AG121" i="4" s="1"/>
  <c r="AI121" i="4" s="1"/>
  <c r="AP118" i="4"/>
  <c r="AP20" i="4"/>
  <c r="AC15" i="4"/>
  <c r="AD15" i="4" s="1"/>
  <c r="AC118" i="4"/>
  <c r="AD118" i="4" s="1"/>
  <c r="AC20" i="4"/>
  <c r="AD20" i="4" s="1"/>
  <c r="AP15" i="4"/>
  <c r="AP116" i="4"/>
  <c r="AQ9" i="4"/>
  <c r="AP12" i="4"/>
  <c r="AN124" i="4"/>
  <c r="AQ116" i="4"/>
  <c r="AF96" i="4"/>
  <c r="AG96" i="4" s="1"/>
  <c r="AI96" i="4" s="1"/>
  <c r="AC121" i="4"/>
  <c r="AD121" i="4" s="1"/>
  <c r="AQ121" i="4"/>
  <c r="AO107" i="4"/>
  <c r="AF125" i="4"/>
  <c r="AG125" i="4" s="1"/>
  <c r="AI125" i="4" s="1"/>
  <c r="AF89" i="4"/>
  <c r="AG89" i="4" s="1"/>
  <c r="AI89" i="4" s="1"/>
  <c r="AK125" i="4"/>
  <c r="AL125" i="4" s="1"/>
  <c r="AO125" i="4" s="1"/>
  <c r="AO150" i="4"/>
  <c r="AU150" i="4" s="1"/>
  <c r="AW150" i="4" s="1"/>
  <c r="AO34" i="4"/>
  <c r="AO157" i="4"/>
  <c r="AU157" i="4" s="1"/>
  <c r="AW157" i="4" s="1"/>
  <c r="AO58" i="4"/>
  <c r="AO22" i="4"/>
  <c r="AO48" i="4"/>
  <c r="AO130" i="4"/>
  <c r="AU130" i="4" s="1"/>
  <c r="AW130" i="4" s="1"/>
  <c r="AO155" i="4"/>
  <c r="AO26" i="4"/>
  <c r="AU26" i="4" s="1"/>
  <c r="AW26" i="4" s="1"/>
  <c r="AO132" i="4"/>
  <c r="AU132" i="4" s="1"/>
  <c r="AW132" i="4" s="1"/>
  <c r="AO7" i="4"/>
  <c r="AO19" i="4"/>
  <c r="AU19" i="4" s="1"/>
  <c r="AW19" i="4" s="1"/>
  <c r="AO127" i="4"/>
  <c r="AU127" i="4" s="1"/>
  <c r="AW127" i="4" s="1"/>
  <c r="AO11" i="4"/>
  <c r="AO103" i="4"/>
  <c r="AU103" i="4" s="1"/>
  <c r="AW103" i="4" s="1"/>
  <c r="AO87" i="4"/>
  <c r="AU87" i="4" s="1"/>
  <c r="AW87" i="4" s="1"/>
  <c r="AO91" i="4"/>
  <c r="AU91" i="4" s="1"/>
  <c r="AW91" i="4" s="1"/>
  <c r="AO138" i="4"/>
  <c r="AU138" i="4" s="1"/>
  <c r="AW138" i="4" s="1"/>
  <c r="AO78" i="4"/>
  <c r="AO80" i="4"/>
  <c r="AU80" i="4" s="1"/>
  <c r="AW80" i="4" s="1"/>
  <c r="BF418" i="5"/>
  <c r="BG418" i="5" s="1"/>
  <c r="BL418" i="5" s="1"/>
  <c r="AO16" i="4"/>
  <c r="AO9" i="4"/>
  <c r="AO53" i="4"/>
  <c r="AU53" i="4" s="1"/>
  <c r="AW53" i="4" s="1"/>
  <c r="AO42" i="4"/>
  <c r="AO32" i="4"/>
  <c r="AO21" i="4"/>
  <c r="AU21" i="4" s="1"/>
  <c r="AW21" i="4" s="1"/>
  <c r="AE418" i="5"/>
  <c r="AO123" i="4"/>
  <c r="AU123" i="4" s="1"/>
  <c r="AW123" i="4" s="1"/>
  <c r="AO72" i="4"/>
  <c r="AU72" i="4" s="1"/>
  <c r="AW72" i="4" s="1"/>
  <c r="AO38" i="4"/>
  <c r="AO52" i="4"/>
  <c r="AO86" i="4"/>
  <c r="AU86" i="4" s="1"/>
  <c r="AW86" i="4" s="1"/>
  <c r="AO147" i="4"/>
  <c r="AU147" i="4" s="1"/>
  <c r="AW147" i="4" s="1"/>
  <c r="AO88" i="4"/>
  <c r="AU88" i="4" s="1"/>
  <c r="AW88" i="4" s="1"/>
  <c r="AO55" i="4"/>
  <c r="AU55" i="4" s="1"/>
  <c r="AW55" i="4" s="1"/>
  <c r="AO49" i="4"/>
  <c r="AU49" i="4" s="1"/>
  <c r="AW49" i="4" s="1"/>
  <c r="AO73" i="4"/>
  <c r="AU73" i="4" s="1"/>
  <c r="AW73" i="4" s="1"/>
  <c r="AO151" i="4"/>
  <c r="AO15" i="4"/>
  <c r="AO8" i="4"/>
  <c r="AO24" i="4"/>
  <c r="AO40" i="4"/>
  <c r="AU40" i="4" s="1"/>
  <c r="AW40" i="4" s="1"/>
  <c r="AO68" i="4"/>
  <c r="AU68" i="4" s="1"/>
  <c r="AW68" i="4" s="1"/>
  <c r="AO109" i="4"/>
  <c r="AO31" i="4"/>
  <c r="AU31" i="4" s="1"/>
  <c r="AW31" i="4" s="1"/>
  <c r="AO13" i="4"/>
  <c r="AO10" i="4"/>
  <c r="AO27" i="4"/>
  <c r="AU27" i="4" s="1"/>
  <c r="AW27" i="4" s="1"/>
  <c r="AO50" i="4"/>
  <c r="AU50" i="4" s="1"/>
  <c r="AW50" i="4" s="1"/>
  <c r="AO20" i="4"/>
  <c r="AO84" i="4"/>
  <c r="AO37" i="4"/>
  <c r="AU37" i="4" s="1"/>
  <c r="AW37" i="4" s="1"/>
  <c r="AO12" i="4"/>
  <c r="AO45" i="4"/>
  <c r="AU45" i="4" s="1"/>
  <c r="AW45" i="4" s="1"/>
  <c r="AO25" i="4"/>
  <c r="AD559" i="5"/>
  <c r="BF559" i="5"/>
  <c r="AE559" i="5"/>
  <c r="AD27" i="5"/>
  <c r="BF27" i="5"/>
  <c r="AE27" i="5"/>
  <c r="AD69" i="5"/>
  <c r="BF69" i="5"/>
  <c r="AE69" i="5"/>
  <c r="AE384" i="5"/>
  <c r="AD384" i="5"/>
  <c r="BF384" i="5"/>
  <c r="AE101" i="5"/>
  <c r="AD101" i="5"/>
  <c r="BF101" i="5"/>
  <c r="BF391" i="5"/>
  <c r="AE391" i="5"/>
  <c r="AD391" i="5"/>
  <c r="AE409" i="5"/>
  <c r="AD409" i="5"/>
  <c r="BF409" i="5"/>
  <c r="AD385" i="5"/>
  <c r="AE385" i="5"/>
  <c r="BF385" i="5"/>
  <c r="AE197" i="5"/>
  <c r="AD197" i="5"/>
  <c r="BF197" i="5"/>
  <c r="AE183" i="5"/>
  <c r="AD183" i="5"/>
  <c r="BF183" i="5"/>
  <c r="AE478" i="5"/>
  <c r="BF478" i="5"/>
  <c r="AD478" i="5"/>
  <c r="AE368" i="5"/>
  <c r="AD368" i="5"/>
  <c r="BF368" i="5"/>
  <c r="AE436" i="5"/>
  <c r="AD436" i="5"/>
  <c r="BF436" i="5"/>
  <c r="AD26" i="5"/>
  <c r="AE26" i="5"/>
  <c r="BF26" i="5"/>
  <c r="BF52" i="5"/>
  <c r="AE52" i="5"/>
  <c r="AD52" i="5"/>
  <c r="AD361" i="5"/>
  <c r="BF361" i="5"/>
  <c r="AE361" i="5"/>
  <c r="AD103" i="5"/>
  <c r="AE103" i="5"/>
  <c r="BF103" i="5"/>
  <c r="AD140" i="5"/>
  <c r="BF140" i="5"/>
  <c r="AE140" i="5"/>
  <c r="AE206" i="5"/>
  <c r="BF206" i="5"/>
  <c r="AD206" i="5"/>
  <c r="AE261" i="5"/>
  <c r="AD261" i="5"/>
  <c r="BF261" i="5"/>
  <c r="BF142" i="5"/>
  <c r="AD142" i="5"/>
  <c r="AE142" i="5"/>
  <c r="BF50" i="5"/>
  <c r="AE50" i="5"/>
  <c r="AD50" i="5"/>
  <c r="AE459" i="5"/>
  <c r="BF459" i="5"/>
  <c r="AD459" i="5"/>
  <c r="BF96" i="5"/>
  <c r="AD96" i="5"/>
  <c r="AE96" i="5"/>
  <c r="BK260" i="5"/>
  <c r="BJ260" i="5"/>
  <c r="BK252" i="5"/>
  <c r="BJ252" i="5"/>
  <c r="AD297" i="5"/>
  <c r="AE297" i="5"/>
  <c r="BF297" i="5"/>
  <c r="AD97" i="5"/>
  <c r="AE97" i="5"/>
  <c r="BF97" i="5"/>
  <c r="AD358" i="5"/>
  <c r="AE358" i="5"/>
  <c r="BF358" i="5"/>
  <c r="AD260" i="5"/>
  <c r="AE260" i="5"/>
  <c r="BF260" i="5"/>
  <c r="AD38" i="5"/>
  <c r="BF38" i="5"/>
  <c r="AE38" i="5"/>
  <c r="BF141" i="5"/>
  <c r="AE141" i="5"/>
  <c r="AD141" i="5"/>
  <c r="AD45" i="5"/>
  <c r="BF45" i="5"/>
  <c r="AE45" i="5"/>
  <c r="AD265" i="5"/>
  <c r="AE265" i="5"/>
  <c r="BF265" i="5"/>
  <c r="AD531" i="5"/>
  <c r="BF531" i="5"/>
  <c r="AE531" i="5"/>
  <c r="BF513" i="5"/>
  <c r="AD513" i="5"/>
  <c r="AE513" i="5"/>
  <c r="AE134" i="5"/>
  <c r="BF134" i="5"/>
  <c r="AD134" i="5"/>
  <c r="BF104" i="5"/>
  <c r="AD104" i="5"/>
  <c r="AE104" i="5"/>
  <c r="AE479" i="5"/>
  <c r="AD479" i="5"/>
  <c r="BF479" i="5"/>
  <c r="BF122" i="5"/>
  <c r="AD122" i="5"/>
  <c r="AE122" i="5"/>
  <c r="BF383" i="5"/>
  <c r="AE383" i="5"/>
  <c r="AD383" i="5"/>
  <c r="AD519" i="5"/>
  <c r="AE519" i="5"/>
  <c r="BF519" i="5"/>
  <c r="AD470" i="5"/>
  <c r="AE470" i="5"/>
  <c r="BF470" i="5"/>
  <c r="BF139" i="5"/>
  <c r="AE139" i="5"/>
  <c r="AD139" i="5"/>
  <c r="AD208" i="5"/>
  <c r="BF208" i="5"/>
  <c r="AE208" i="5"/>
  <c r="AE308" i="5"/>
  <c r="AD308" i="5"/>
  <c r="BF308" i="5"/>
  <c r="BF510" i="5"/>
  <c r="AD510" i="5"/>
  <c r="AE510" i="5"/>
  <c r="AD552" i="5"/>
  <c r="AE552" i="5"/>
  <c r="BF552" i="5"/>
  <c r="BF182" i="5"/>
  <c r="AD182" i="5"/>
  <c r="AE182" i="5"/>
  <c r="AE20" i="5"/>
  <c r="BF20" i="5"/>
  <c r="AD20" i="5"/>
  <c r="AE516" i="5"/>
  <c r="AD516" i="5"/>
  <c r="BF516" i="5"/>
  <c r="AD205" i="5"/>
  <c r="BF205" i="5"/>
  <c r="AE205" i="5"/>
  <c r="AE106" i="5"/>
  <c r="BF106" i="5"/>
  <c r="AD106" i="5"/>
  <c r="AE318" i="5"/>
  <c r="BF318" i="5"/>
  <c r="AD318" i="5"/>
  <c r="AE334" i="5"/>
  <c r="BF334" i="5"/>
  <c r="AD334" i="5"/>
  <c r="AE157" i="5"/>
  <c r="BF157" i="5"/>
  <c r="AD157" i="5"/>
  <c r="AE503" i="5"/>
  <c r="BF503" i="5"/>
  <c r="AD503" i="5"/>
  <c r="AD232" i="5"/>
  <c r="BF232" i="5"/>
  <c r="AE232" i="5"/>
  <c r="BF345" i="5"/>
  <c r="AE345" i="5"/>
  <c r="AD345" i="5"/>
  <c r="AD541" i="5"/>
  <c r="BF541" i="5"/>
  <c r="AE541" i="5"/>
  <c r="AE21" i="5"/>
  <c r="AD21" i="5"/>
  <c r="BF21" i="5"/>
  <c r="AE210" i="5"/>
  <c r="BF210" i="5"/>
  <c r="AD210" i="5"/>
  <c r="AD437" i="5"/>
  <c r="BF437" i="5"/>
  <c r="AE437" i="5"/>
  <c r="BF372" i="5"/>
  <c r="AD372" i="5"/>
  <c r="AE372" i="5"/>
  <c r="AE549" i="5"/>
  <c r="BF549" i="5"/>
  <c r="AD549" i="5"/>
  <c r="AE150" i="5"/>
  <c r="AD150" i="5"/>
  <c r="BF150" i="5"/>
  <c r="AD279" i="5"/>
  <c r="BF279" i="5"/>
  <c r="AE279" i="5"/>
  <c r="AE207" i="5"/>
  <c r="AD207" i="5"/>
  <c r="BF207" i="5"/>
  <c r="BF128" i="5"/>
  <c r="AE128" i="5"/>
  <c r="AD128" i="5"/>
  <c r="AE544" i="5"/>
  <c r="AD544" i="5"/>
  <c r="BF544" i="5"/>
  <c r="AD287" i="5"/>
  <c r="BF287" i="5"/>
  <c r="AE287" i="5"/>
  <c r="AD432" i="5"/>
  <c r="AE432" i="5"/>
  <c r="BF432" i="5"/>
  <c r="AD253" i="5"/>
  <c r="BF253" i="5"/>
  <c r="AE253" i="5"/>
  <c r="AE295" i="5"/>
  <c r="AD295" i="5"/>
  <c r="BF295" i="5"/>
  <c r="AD452" i="5"/>
  <c r="BF452" i="5"/>
  <c r="AE452" i="5"/>
  <c r="AE512" i="5"/>
  <c r="BF512" i="5"/>
  <c r="AD512" i="5"/>
  <c r="AD53" i="5"/>
  <c r="AE53" i="5"/>
  <c r="BF53" i="5"/>
  <c r="AE388" i="5"/>
  <c r="AD388" i="5"/>
  <c r="BF388" i="5"/>
  <c r="AE288" i="5"/>
  <c r="AD288" i="5"/>
  <c r="BF288" i="5"/>
  <c r="AE351" i="5"/>
  <c r="AD351" i="5"/>
  <c r="BF351" i="5"/>
  <c r="AE547" i="5"/>
  <c r="AD547" i="5"/>
  <c r="BF547" i="5"/>
  <c r="AE493" i="5"/>
  <c r="AD493" i="5"/>
  <c r="BF493" i="5"/>
  <c r="BF428" i="5"/>
  <c r="AD428" i="5"/>
  <c r="AE428" i="5"/>
  <c r="BF48" i="5"/>
  <c r="AD48" i="5"/>
  <c r="AE48" i="5"/>
  <c r="AE117" i="5"/>
  <c r="AD117" i="5"/>
  <c r="BF117" i="5"/>
  <c r="AE173" i="5"/>
  <c r="BF173" i="5"/>
  <c r="AD173" i="5"/>
  <c r="AD228" i="5"/>
  <c r="AE228" i="5"/>
  <c r="BF228" i="5"/>
  <c r="AE94" i="5"/>
  <c r="AD94" i="5"/>
  <c r="BF94" i="5"/>
  <c r="AD456" i="5"/>
  <c r="BF456" i="5"/>
  <c r="AE456" i="5"/>
  <c r="AD413" i="5"/>
  <c r="AE413" i="5"/>
  <c r="BF413" i="5"/>
  <c r="AD92" i="5"/>
  <c r="AE92" i="5"/>
  <c r="BF92" i="5"/>
  <c r="BK411" i="5"/>
  <c r="BJ411" i="5"/>
  <c r="AD44" i="5"/>
  <c r="BF44" i="5"/>
  <c r="AE44" i="5"/>
  <c r="AD431" i="5"/>
  <c r="AE431" i="5"/>
  <c r="BF431" i="5"/>
  <c r="AE144" i="5"/>
  <c r="AD144" i="5"/>
  <c r="BF144" i="5"/>
  <c r="BF88" i="5"/>
  <c r="AE88" i="5"/>
  <c r="AD88" i="5"/>
  <c r="AD8" i="5"/>
  <c r="AE8" i="5"/>
  <c r="BF8" i="5"/>
  <c r="BF254" i="5"/>
  <c r="AE254" i="5"/>
  <c r="AD254" i="5"/>
  <c r="AD370" i="5"/>
  <c r="AE370" i="5"/>
  <c r="BF370" i="5"/>
  <c r="AD245" i="5"/>
  <c r="BF245" i="5"/>
  <c r="AE245" i="5"/>
  <c r="AE243" i="5"/>
  <c r="BF243" i="5"/>
  <c r="AD243" i="5"/>
  <c r="BF429" i="5"/>
  <c r="AD429" i="5"/>
  <c r="AE429" i="5"/>
  <c r="AE482" i="5"/>
  <c r="BF482" i="5"/>
  <c r="AD482" i="5"/>
  <c r="AE185" i="5"/>
  <c r="BF185" i="5"/>
  <c r="AD185" i="5"/>
  <c r="AD112" i="5"/>
  <c r="AE112" i="5"/>
  <c r="BF112" i="5"/>
  <c r="AE538" i="5"/>
  <c r="BF538" i="5"/>
  <c r="AD538" i="5"/>
  <c r="AD231" i="5"/>
  <c r="BF231" i="5"/>
  <c r="AE231" i="5"/>
  <c r="AE477" i="5"/>
  <c r="AD477" i="5"/>
  <c r="BF477" i="5"/>
  <c r="AE526" i="5"/>
  <c r="AD526" i="5"/>
  <c r="BF526" i="5"/>
  <c r="AE290" i="5"/>
  <c r="AD290" i="5"/>
  <c r="BF290" i="5"/>
  <c r="AD168" i="5"/>
  <c r="BF168" i="5"/>
  <c r="AE168" i="5"/>
  <c r="AE252" i="5"/>
  <c r="BF252" i="5"/>
  <c r="AD252" i="5"/>
  <c r="AD426" i="5"/>
  <c r="BF426" i="5"/>
  <c r="AE426" i="5"/>
  <c r="AE491" i="5"/>
  <c r="AD491" i="5"/>
  <c r="BF491" i="5"/>
  <c r="BF342" i="5"/>
  <c r="AE342" i="5"/>
  <c r="AD342" i="5"/>
  <c r="AE321" i="5"/>
  <c r="AD321" i="5"/>
  <c r="BF321" i="5"/>
  <c r="BF481" i="5"/>
  <c r="AE481" i="5"/>
  <c r="AD481" i="5"/>
  <c r="AD54" i="5"/>
  <c r="BF54" i="5"/>
  <c r="AE54" i="5"/>
  <c r="AE219" i="5"/>
  <c r="AD219" i="5"/>
  <c r="BF219" i="5"/>
  <c r="AE317" i="5"/>
  <c r="BF317" i="5"/>
  <c r="AD317" i="5"/>
  <c r="AE163" i="5"/>
  <c r="BF163" i="5"/>
  <c r="AD163" i="5"/>
  <c r="AE200" i="5"/>
  <c r="AD200" i="5"/>
  <c r="BF200" i="5"/>
  <c r="AD250" i="5"/>
  <c r="BF250" i="5"/>
  <c r="AE250" i="5"/>
  <c r="AE392" i="5"/>
  <c r="AD392" i="5"/>
  <c r="BF392" i="5"/>
  <c r="BF188" i="5"/>
  <c r="AD188" i="5"/>
  <c r="AE188" i="5"/>
  <c r="AE60" i="5"/>
  <c r="AD60" i="5"/>
  <c r="BF60" i="5"/>
  <c r="AE35" i="5"/>
  <c r="AD35" i="5"/>
  <c r="BF35" i="5"/>
  <c r="BK485" i="5"/>
  <c r="BJ485" i="5"/>
  <c r="AO71" i="4"/>
  <c r="AO92" i="4"/>
  <c r="AE218" i="5"/>
  <c r="BF218" i="5"/>
  <c r="AD218" i="5"/>
  <c r="AD235" i="5"/>
  <c r="BF235" i="5"/>
  <c r="AE235" i="5"/>
  <c r="AO54" i="4"/>
  <c r="BK209" i="5"/>
  <c r="BJ209" i="5"/>
  <c r="AO23" i="4"/>
  <c r="BK497" i="5"/>
  <c r="BJ497" i="5"/>
  <c r="AE167" i="5"/>
  <c r="AD167" i="5"/>
  <c r="BF167" i="5"/>
  <c r="AO99" i="4"/>
  <c r="AU99" i="4" s="1"/>
  <c r="AW99" i="4" s="1"/>
  <c r="BJ84" i="5"/>
  <c r="BK84" i="5"/>
  <c r="AO146" i="4"/>
  <c r="AU146" i="4" s="1"/>
  <c r="AW146" i="4" s="1"/>
  <c r="BJ127" i="5"/>
  <c r="BK127" i="5"/>
  <c r="AO30" i="4"/>
  <c r="AU30" i="4" s="1"/>
  <c r="AW30" i="4" s="1"/>
  <c r="AB11" i="5"/>
  <c r="AA11" i="5"/>
  <c r="U11" i="5"/>
  <c r="V11" i="5"/>
  <c r="AH11" i="5"/>
  <c r="AI11" i="5"/>
  <c r="AO148" i="4"/>
  <c r="AU148" i="4" s="1"/>
  <c r="AW148" i="4" s="1"/>
  <c r="BK284" i="5"/>
  <c r="BJ284" i="5"/>
  <c r="BK419" i="5"/>
  <c r="BJ419" i="5"/>
  <c r="BJ148" i="5"/>
  <c r="BK148" i="5"/>
  <c r="AO17" i="4"/>
  <c r="AU17" i="4" s="1"/>
  <c r="AW17" i="4" s="1"/>
  <c r="AD348" i="5"/>
  <c r="BF348" i="5"/>
  <c r="AE348" i="5"/>
  <c r="AE299" i="5"/>
  <c r="BF299" i="5"/>
  <c r="AD299" i="5"/>
  <c r="BF447" i="5"/>
  <c r="AE447" i="5"/>
  <c r="AD447" i="5"/>
  <c r="AE364" i="5"/>
  <c r="AD364" i="5"/>
  <c r="BF364" i="5"/>
  <c r="AE172" i="5"/>
  <c r="BF172" i="5"/>
  <c r="AD172" i="5"/>
  <c r="AO35" i="4"/>
  <c r="AU35" i="4" s="1"/>
  <c r="AW35" i="4" s="1"/>
  <c r="AO47" i="4"/>
  <c r="AU47" i="4" s="1"/>
  <c r="AW47" i="4" s="1"/>
  <c r="AE256" i="5"/>
  <c r="BF256" i="5"/>
  <c r="AD256" i="5"/>
  <c r="BF77" i="5"/>
  <c r="AE77" i="5"/>
  <c r="AD77" i="5"/>
  <c r="AD514" i="5"/>
  <c r="AE514" i="5"/>
  <c r="BF514" i="5"/>
  <c r="AE242" i="5"/>
  <c r="BF242" i="5"/>
  <c r="AD242" i="5"/>
  <c r="AD504" i="5"/>
  <c r="BF504" i="5"/>
  <c r="AE504" i="5"/>
  <c r="BF115" i="5"/>
  <c r="AE115" i="5"/>
  <c r="AD115" i="5"/>
  <c r="AD521" i="5"/>
  <c r="BF521" i="5"/>
  <c r="AE521" i="5"/>
  <c r="AD42" i="5"/>
  <c r="BF42" i="5"/>
  <c r="AE42" i="5"/>
  <c r="AD300" i="5"/>
  <c r="AE300" i="5"/>
  <c r="BF300" i="5"/>
  <c r="AE109" i="5"/>
  <c r="AD109" i="5"/>
  <c r="BF109" i="5"/>
  <c r="AD56" i="5"/>
  <c r="AE56" i="5"/>
  <c r="BF56" i="5"/>
  <c r="AE528" i="5"/>
  <c r="BF528" i="5"/>
  <c r="AD528" i="5"/>
  <c r="AD116" i="5"/>
  <c r="AE116" i="5"/>
  <c r="BF116" i="5"/>
  <c r="AE40" i="5"/>
  <c r="AD40" i="5"/>
  <c r="BF40" i="5"/>
  <c r="AE360" i="5"/>
  <c r="BF360" i="5"/>
  <c r="AD360" i="5"/>
  <c r="AD107" i="5"/>
  <c r="AE107" i="5"/>
  <c r="BF107" i="5"/>
  <c r="BF298" i="5"/>
  <c r="AD298" i="5"/>
  <c r="AE298" i="5"/>
  <c r="AD498" i="5"/>
  <c r="AE498" i="5"/>
  <c r="BF498" i="5"/>
  <c r="AE184" i="5"/>
  <c r="AD184" i="5"/>
  <c r="BF184" i="5"/>
  <c r="AE387" i="5"/>
  <c r="BF387" i="5"/>
  <c r="AD387" i="5"/>
  <c r="AD464" i="5"/>
  <c r="AE464" i="5"/>
  <c r="BF464" i="5"/>
  <c r="AE202" i="5"/>
  <c r="AD202" i="5"/>
  <c r="BF202" i="5"/>
  <c r="AE158" i="5"/>
  <c r="AD158" i="5"/>
  <c r="BF158" i="5"/>
  <c r="AE467" i="5"/>
  <c r="BF467" i="5"/>
  <c r="AD467" i="5"/>
  <c r="AE102" i="5"/>
  <c r="AD102" i="5"/>
  <c r="BF102" i="5"/>
  <c r="BF502" i="5"/>
  <c r="AD502" i="5"/>
  <c r="AE502" i="5"/>
  <c r="AD400" i="5"/>
  <c r="BF400" i="5"/>
  <c r="AE400" i="5"/>
  <c r="AE147" i="5"/>
  <c r="AD147" i="5"/>
  <c r="BF147" i="5"/>
  <c r="AE312" i="5"/>
  <c r="AD312" i="5"/>
  <c r="BF312" i="5"/>
  <c r="AD439" i="5"/>
  <c r="BF439" i="5"/>
  <c r="AE439" i="5"/>
  <c r="BF135" i="5"/>
  <c r="AE135" i="5"/>
  <c r="AD135" i="5"/>
  <c r="AE330" i="5"/>
  <c r="AD330" i="5"/>
  <c r="BF330" i="5"/>
  <c r="AE534" i="5"/>
  <c r="BF534" i="5"/>
  <c r="AD534" i="5"/>
  <c r="AE344" i="5"/>
  <c r="BF344" i="5"/>
  <c r="AD344" i="5"/>
  <c r="AD524" i="5"/>
  <c r="AE524" i="5"/>
  <c r="BF524" i="5"/>
  <c r="AD410" i="5"/>
  <c r="AE410" i="5"/>
  <c r="BF410" i="5"/>
  <c r="AD81" i="5"/>
  <c r="BF81" i="5"/>
  <c r="AE81" i="5"/>
  <c r="BF430" i="5"/>
  <c r="AD430" i="5"/>
  <c r="AE430" i="5"/>
  <c r="BF448" i="5"/>
  <c r="AE448" i="5"/>
  <c r="AD448" i="5"/>
  <c r="AD286" i="5"/>
  <c r="BF286" i="5"/>
  <c r="AE286" i="5"/>
  <c r="AD485" i="5"/>
  <c r="BF485" i="5"/>
  <c r="AE485" i="5"/>
  <c r="AD160" i="5"/>
  <c r="BF160" i="5"/>
  <c r="AE160" i="5"/>
  <c r="BF406" i="5"/>
  <c r="AD406" i="5"/>
  <c r="AE406" i="5"/>
  <c r="AE332" i="5"/>
  <c r="BF332" i="5"/>
  <c r="AD332" i="5"/>
  <c r="AD515" i="5"/>
  <c r="BF515" i="5"/>
  <c r="AE515" i="5"/>
  <c r="BF217" i="5"/>
  <c r="AD217" i="5"/>
  <c r="AE217" i="5"/>
  <c r="AD72" i="5"/>
  <c r="AE72" i="5"/>
  <c r="BF72" i="5"/>
  <c r="AE543" i="5"/>
  <c r="BF543" i="5"/>
  <c r="AD543" i="5"/>
  <c r="AE194" i="5"/>
  <c r="AD194" i="5"/>
  <c r="BF194" i="5"/>
  <c r="BF268" i="5"/>
  <c r="AE268" i="5"/>
  <c r="AD268" i="5"/>
  <c r="BF55" i="5"/>
  <c r="AD55" i="5"/>
  <c r="AE55" i="5"/>
  <c r="AE325" i="5"/>
  <c r="AD325" i="5"/>
  <c r="BF325" i="5"/>
  <c r="BF327" i="5"/>
  <c r="AD327" i="5"/>
  <c r="AE327" i="5"/>
  <c r="AE73" i="5"/>
  <c r="AD73" i="5"/>
  <c r="BF73" i="5"/>
  <c r="BF296" i="5"/>
  <c r="AE296" i="5"/>
  <c r="AD296" i="5"/>
  <c r="AE66" i="5"/>
  <c r="AD66" i="5"/>
  <c r="BF66" i="5"/>
  <c r="BF366" i="5"/>
  <c r="AD366" i="5"/>
  <c r="AE366" i="5"/>
  <c r="BF186" i="5"/>
  <c r="AE186" i="5"/>
  <c r="AD186" i="5"/>
  <c r="AD63" i="5"/>
  <c r="AE63" i="5"/>
  <c r="BF63" i="5"/>
  <c r="AD396" i="5"/>
  <c r="BF396" i="5"/>
  <c r="AE396" i="5"/>
  <c r="BF284" i="5"/>
  <c r="AD284" i="5"/>
  <c r="AE284" i="5"/>
  <c r="AE293" i="5"/>
  <c r="AD293" i="5"/>
  <c r="BF293" i="5"/>
  <c r="AD12" i="5"/>
  <c r="BF12" i="5"/>
  <c r="AE12" i="5"/>
  <c r="AE259" i="5"/>
  <c r="BF259" i="5"/>
  <c r="AD259" i="5"/>
  <c r="AD10" i="5"/>
  <c r="AE10" i="5"/>
  <c r="BF10" i="5"/>
  <c r="AD32" i="5"/>
  <c r="AE32" i="5"/>
  <c r="BF32" i="5"/>
  <c r="AE556" i="5"/>
  <c r="AD556" i="5"/>
  <c r="BF556" i="5"/>
  <c r="AO120" i="4"/>
  <c r="AU120" i="4" s="1"/>
  <c r="AW120" i="4" s="1"/>
  <c r="AE29" i="5"/>
  <c r="AD29" i="5"/>
  <c r="BF29" i="5"/>
  <c r="AE70" i="5"/>
  <c r="BF70" i="5"/>
  <c r="AD70" i="5"/>
  <c r="AD522" i="5"/>
  <c r="AE522" i="5"/>
  <c r="BF522" i="5"/>
  <c r="AE309" i="5"/>
  <c r="AD309" i="5"/>
  <c r="BF309" i="5"/>
  <c r="BF316" i="5"/>
  <c r="AE316" i="5"/>
  <c r="AD316" i="5"/>
  <c r="BF551" i="5"/>
  <c r="AD551" i="5"/>
  <c r="AE551" i="5"/>
  <c r="AE331" i="5"/>
  <c r="AD331" i="5"/>
  <c r="BF331" i="5"/>
  <c r="BF41" i="5"/>
  <c r="AE41" i="5"/>
  <c r="AD41" i="5"/>
  <c r="AD381" i="5"/>
  <c r="AE381" i="5"/>
  <c r="BF381" i="5"/>
  <c r="AE220" i="5"/>
  <c r="AD220" i="5"/>
  <c r="BF220" i="5"/>
  <c r="BF487" i="5"/>
  <c r="AE487" i="5"/>
  <c r="AD487" i="5"/>
  <c r="AD289" i="5"/>
  <c r="AE289" i="5"/>
  <c r="BF289" i="5"/>
  <c r="AE271" i="5"/>
  <c r="AD271" i="5"/>
  <c r="BF271" i="5"/>
  <c r="AE425" i="5"/>
  <c r="AD425" i="5"/>
  <c r="BF425" i="5"/>
  <c r="AE65" i="5"/>
  <c r="AD65" i="5"/>
  <c r="BF65" i="5"/>
  <c r="AD68" i="5"/>
  <c r="BF68" i="5"/>
  <c r="AE68" i="5"/>
  <c r="BF343" i="5"/>
  <c r="AE343" i="5"/>
  <c r="AD343" i="5"/>
  <c r="BF156" i="5"/>
  <c r="AD156" i="5"/>
  <c r="AE156" i="5"/>
  <c r="BF100" i="5"/>
  <c r="AE100" i="5"/>
  <c r="AD100" i="5"/>
  <c r="AE130" i="5"/>
  <c r="BF130" i="5"/>
  <c r="AD130" i="5"/>
  <c r="AD497" i="5"/>
  <c r="AE497" i="5"/>
  <c r="BF497" i="5"/>
  <c r="BF480" i="5"/>
  <c r="AD480" i="5"/>
  <c r="AE480" i="5"/>
  <c r="AD291" i="5"/>
  <c r="AE291" i="5"/>
  <c r="BF291" i="5"/>
  <c r="AD490" i="5"/>
  <c r="AE490" i="5"/>
  <c r="BF490" i="5"/>
  <c r="AD143" i="5"/>
  <c r="AE143" i="5"/>
  <c r="BF143" i="5"/>
  <c r="AD420" i="5"/>
  <c r="AE420" i="5"/>
  <c r="BF420" i="5"/>
  <c r="AE251" i="5"/>
  <c r="AD251" i="5"/>
  <c r="BF251" i="5"/>
  <c r="AE152" i="5"/>
  <c r="BF152" i="5"/>
  <c r="AD152" i="5"/>
  <c r="AD336" i="5"/>
  <c r="AE336" i="5"/>
  <c r="BF336" i="5"/>
  <c r="AD557" i="5"/>
  <c r="AE557" i="5"/>
  <c r="BF557" i="5"/>
  <c r="AE283" i="5"/>
  <c r="AD283" i="5"/>
  <c r="BF283" i="5"/>
  <c r="AE280" i="5"/>
  <c r="AD280" i="5"/>
  <c r="BF280" i="5"/>
  <c r="AE454" i="5"/>
  <c r="AD454" i="5"/>
  <c r="BF454" i="5"/>
  <c r="BJ446" i="5"/>
  <c r="BK446" i="5"/>
  <c r="AE28" i="5"/>
  <c r="BF28" i="5"/>
  <c r="AD28" i="5"/>
  <c r="AD542" i="5"/>
  <c r="AE542" i="5"/>
  <c r="BF542" i="5"/>
  <c r="BF415" i="5"/>
  <c r="AE415" i="5"/>
  <c r="AD415" i="5"/>
  <c r="AE421" i="5"/>
  <c r="BF421" i="5"/>
  <c r="AD421" i="5"/>
  <c r="AD473" i="5"/>
  <c r="AE473" i="5"/>
  <c r="BF473" i="5"/>
  <c r="AE277" i="5"/>
  <c r="AD277" i="5"/>
  <c r="BF277" i="5"/>
  <c r="AE324" i="5"/>
  <c r="BF324" i="5"/>
  <c r="AD324" i="5"/>
  <c r="AD402" i="5"/>
  <c r="AE402" i="5"/>
  <c r="BF402" i="5"/>
  <c r="AE162" i="5"/>
  <c r="AD162" i="5"/>
  <c r="BF162" i="5"/>
  <c r="BF124" i="5"/>
  <c r="AD124" i="5"/>
  <c r="AE124" i="5"/>
  <c r="AE171" i="5"/>
  <c r="AD171" i="5"/>
  <c r="BF171" i="5"/>
  <c r="AE457" i="5"/>
  <c r="BF457" i="5"/>
  <c r="AD457" i="5"/>
  <c r="BF435" i="5"/>
  <c r="AD435" i="5"/>
  <c r="AE435" i="5"/>
  <c r="AD535" i="5"/>
  <c r="AE535" i="5"/>
  <c r="BF535" i="5"/>
  <c r="BF449" i="5"/>
  <c r="AD449" i="5"/>
  <c r="AE449" i="5"/>
  <c r="AD121" i="5"/>
  <c r="AE121" i="5"/>
  <c r="BF121" i="5"/>
  <c r="BF307" i="5"/>
  <c r="AD307" i="5"/>
  <c r="AE307" i="5"/>
  <c r="AD266" i="5"/>
  <c r="AE266" i="5"/>
  <c r="BF266" i="5"/>
  <c r="AE476" i="5"/>
  <c r="AD476" i="5"/>
  <c r="BF476" i="5"/>
  <c r="AD267" i="5"/>
  <c r="BF267" i="5"/>
  <c r="AE267" i="5"/>
  <c r="BF285" i="5"/>
  <c r="AE285" i="5"/>
  <c r="AD285" i="5"/>
  <c r="AE263" i="5"/>
  <c r="BF263" i="5"/>
  <c r="AD263" i="5"/>
  <c r="AD255" i="5"/>
  <c r="BF255" i="5"/>
  <c r="AE255" i="5"/>
  <c r="AE23" i="5"/>
  <c r="BF23" i="5"/>
  <c r="AD23" i="5"/>
  <c r="AE138" i="5"/>
  <c r="BF138" i="5"/>
  <c r="AD138" i="5"/>
  <c r="AD365" i="5"/>
  <c r="BF365" i="5"/>
  <c r="AE365" i="5"/>
  <c r="AE340" i="5"/>
  <c r="AD340" i="5"/>
  <c r="BF340" i="5"/>
  <c r="AE216" i="5"/>
  <c r="BF216" i="5"/>
  <c r="AD216" i="5"/>
  <c r="AE179" i="5"/>
  <c r="AD179" i="5"/>
  <c r="BF179" i="5"/>
  <c r="AD398" i="5"/>
  <c r="BF398" i="5"/>
  <c r="AE398" i="5"/>
  <c r="AD354" i="5"/>
  <c r="BF354" i="5"/>
  <c r="AE354" i="5"/>
  <c r="AE529" i="5"/>
  <c r="AD529" i="5"/>
  <c r="BF529" i="5"/>
  <c r="BF239" i="5"/>
  <c r="AE239" i="5"/>
  <c r="AD239" i="5"/>
  <c r="AD367" i="5"/>
  <c r="AE367" i="5"/>
  <c r="BF367" i="5"/>
  <c r="BK524" i="5"/>
  <c r="BJ524" i="5"/>
  <c r="AD494" i="5"/>
  <c r="AE494" i="5"/>
  <c r="BF494" i="5"/>
  <c r="AE248" i="5"/>
  <c r="AD248" i="5"/>
  <c r="BF248" i="5"/>
  <c r="BJ151" i="5"/>
  <c r="BK151" i="5"/>
  <c r="BK73" i="5"/>
  <c r="BJ73" i="5"/>
  <c r="BJ33" i="5"/>
  <c r="BK33" i="5"/>
  <c r="AE315" i="5"/>
  <c r="BF315" i="5"/>
  <c r="AD315" i="5"/>
  <c r="AE249" i="5"/>
  <c r="BF249" i="5"/>
  <c r="AD249" i="5"/>
  <c r="BK416" i="5"/>
  <c r="BJ416" i="5"/>
  <c r="BJ77" i="5"/>
  <c r="BK77" i="5"/>
  <c r="BJ267" i="5"/>
  <c r="BK267" i="5"/>
  <c r="BK9" i="5"/>
  <c r="BJ9" i="5"/>
  <c r="X11" i="5"/>
  <c r="Y11" i="5"/>
  <c r="BB11" i="5"/>
  <c r="BA11" i="5"/>
  <c r="S11" i="5"/>
  <c r="R11" i="5"/>
  <c r="BJ386" i="5"/>
  <c r="BK386" i="5"/>
  <c r="BK186" i="5"/>
  <c r="BJ186" i="5"/>
  <c r="BJ462" i="5"/>
  <c r="BK462" i="5"/>
  <c r="AU38" i="4"/>
  <c r="AW38" i="4" s="1"/>
  <c r="AE37" i="5"/>
  <c r="BF37" i="5"/>
  <c r="AD37" i="5"/>
  <c r="AD180" i="5"/>
  <c r="BF180" i="5"/>
  <c r="AE180" i="5"/>
  <c r="AD64" i="5"/>
  <c r="AE64" i="5"/>
  <c r="BF64" i="5"/>
  <c r="BF91" i="5"/>
  <c r="AD91" i="5"/>
  <c r="AE91" i="5"/>
  <c r="AD518" i="5"/>
  <c r="AE518" i="5"/>
  <c r="BF518" i="5"/>
  <c r="BK444" i="5"/>
  <c r="BJ444" i="5"/>
  <c r="AO139" i="4"/>
  <c r="AU139" i="4" s="1"/>
  <c r="AW139" i="4" s="1"/>
  <c r="AE468" i="5"/>
  <c r="BF468" i="5"/>
  <c r="AD468" i="5"/>
  <c r="AE560" i="5"/>
  <c r="BF560" i="5"/>
  <c r="AD560" i="5"/>
  <c r="BF272" i="5"/>
  <c r="AD272" i="5"/>
  <c r="AE272" i="5"/>
  <c r="AD119" i="5"/>
  <c r="BF119" i="5"/>
  <c r="AE119" i="5"/>
  <c r="AD373" i="5"/>
  <c r="AE373" i="5"/>
  <c r="BF373" i="5"/>
  <c r="AE369" i="5"/>
  <c r="BF369" i="5"/>
  <c r="AD369" i="5"/>
  <c r="AD537" i="5"/>
  <c r="AE537" i="5"/>
  <c r="BF537" i="5"/>
  <c r="BF462" i="5"/>
  <c r="AE462" i="5"/>
  <c r="AD462" i="5"/>
  <c r="AE319" i="5"/>
  <c r="BF319" i="5"/>
  <c r="AD319" i="5"/>
  <c r="AD416" i="5"/>
  <c r="AE416" i="5"/>
  <c r="BF416" i="5"/>
  <c r="AD441" i="5"/>
  <c r="AE441" i="5"/>
  <c r="BF441" i="5"/>
  <c r="BF175" i="5"/>
  <c r="AD175" i="5"/>
  <c r="AE175" i="5"/>
  <c r="AD408" i="5"/>
  <c r="AE408" i="5"/>
  <c r="BF408" i="5"/>
  <c r="AD337" i="5"/>
  <c r="BF337" i="5"/>
  <c r="AE337" i="5"/>
  <c r="AD43" i="5"/>
  <c r="BF43" i="5"/>
  <c r="AE43" i="5"/>
  <c r="BF148" i="5"/>
  <c r="AE148" i="5"/>
  <c r="AD148" i="5"/>
  <c r="AD499" i="5"/>
  <c r="AE499" i="5"/>
  <c r="BF499" i="5"/>
  <c r="AE294" i="5"/>
  <c r="BF294" i="5"/>
  <c r="AD294" i="5"/>
  <c r="AE422" i="5"/>
  <c r="BF422" i="5"/>
  <c r="AD422" i="5"/>
  <c r="AD376" i="5"/>
  <c r="BF376" i="5"/>
  <c r="AE376" i="5"/>
  <c r="AE278" i="5"/>
  <c r="AD278" i="5"/>
  <c r="BF278" i="5"/>
  <c r="AD165" i="5"/>
  <c r="AE165" i="5"/>
  <c r="BF165" i="5"/>
  <c r="AE446" i="5"/>
  <c r="BF446" i="5"/>
  <c r="AD446" i="5"/>
  <c r="AE221" i="5"/>
  <c r="BF221" i="5"/>
  <c r="AD221" i="5"/>
  <c r="AD553" i="5"/>
  <c r="AE553" i="5"/>
  <c r="BF553" i="5"/>
  <c r="AD357" i="5"/>
  <c r="BF357" i="5"/>
  <c r="AE357" i="5"/>
  <c r="AE540" i="5"/>
  <c r="AD540" i="5"/>
  <c r="BF540" i="5"/>
  <c r="BF273" i="5"/>
  <c r="AD273" i="5"/>
  <c r="AE273" i="5"/>
  <c r="AE71" i="5"/>
  <c r="AD71" i="5"/>
  <c r="BF71" i="5"/>
  <c r="AE111" i="5"/>
  <c r="AD111" i="5"/>
  <c r="BF111" i="5"/>
  <c r="BF423" i="5"/>
  <c r="AE423" i="5"/>
  <c r="AD423" i="5"/>
  <c r="AE58" i="5"/>
  <c r="BF58" i="5"/>
  <c r="AD58" i="5"/>
  <c r="AE311" i="5"/>
  <c r="AD311" i="5"/>
  <c r="BF311" i="5"/>
  <c r="AE455" i="5"/>
  <c r="AD455" i="5"/>
  <c r="BF455" i="5"/>
  <c r="AO46" i="4"/>
  <c r="AU46" i="4" s="1"/>
  <c r="AW46" i="4" s="1"/>
  <c r="BK529" i="5"/>
  <c r="BJ529" i="5"/>
  <c r="BK154" i="5"/>
  <c r="BJ154" i="5"/>
  <c r="AO100" i="4"/>
  <c r="AU100" i="4" s="1"/>
  <c r="AW100" i="4" s="1"/>
  <c r="AD85" i="5"/>
  <c r="BF85" i="5"/>
  <c r="AE85" i="5"/>
  <c r="AD326" i="5"/>
  <c r="BF326" i="5"/>
  <c r="AE326" i="5"/>
  <c r="AD419" i="5"/>
  <c r="BF419" i="5"/>
  <c r="AE419" i="5"/>
  <c r="AD377" i="5"/>
  <c r="AE377" i="5"/>
  <c r="BF377" i="5"/>
  <c r="BF445" i="5"/>
  <c r="AD445" i="5"/>
  <c r="AE445" i="5"/>
  <c r="AE362" i="5"/>
  <c r="BF362" i="5"/>
  <c r="AD362" i="5"/>
  <c r="AE125" i="5"/>
  <c r="BF125" i="5"/>
  <c r="AD125" i="5"/>
  <c r="AE292" i="5"/>
  <c r="BF292" i="5"/>
  <c r="AD292" i="5"/>
  <c r="BF36" i="5"/>
  <c r="AD36" i="5"/>
  <c r="AE36" i="5"/>
  <c r="BF214" i="5"/>
  <c r="AD214" i="5"/>
  <c r="AE214" i="5"/>
  <c r="AE132" i="5"/>
  <c r="BF132" i="5"/>
  <c r="AD132" i="5"/>
  <c r="AD320" i="5"/>
  <c r="AE320" i="5"/>
  <c r="BF320" i="5"/>
  <c r="AE509" i="5"/>
  <c r="AD509" i="5"/>
  <c r="BF509" i="5"/>
  <c r="AE79" i="5"/>
  <c r="BF79" i="5"/>
  <c r="AD79" i="5"/>
  <c r="AE269" i="5"/>
  <c r="BF269" i="5"/>
  <c r="AD269" i="5"/>
  <c r="AD22" i="5"/>
  <c r="AE22" i="5"/>
  <c r="BF22" i="5"/>
  <c r="AD230" i="5"/>
  <c r="AE230" i="5"/>
  <c r="BF230" i="5"/>
  <c r="AD178" i="5"/>
  <c r="BF178" i="5"/>
  <c r="AE178" i="5"/>
  <c r="BF414" i="5"/>
  <c r="AE414" i="5"/>
  <c r="AD414" i="5"/>
  <c r="AE397" i="5"/>
  <c r="AD397" i="5"/>
  <c r="BF397" i="5"/>
  <c r="BF201" i="5"/>
  <c r="AD201" i="5"/>
  <c r="AE201" i="5"/>
  <c r="BF118" i="5"/>
  <c r="AD118" i="5"/>
  <c r="AE118" i="5"/>
  <c r="AD190" i="5"/>
  <c r="BF190" i="5"/>
  <c r="AE190" i="5"/>
  <c r="AD508" i="5"/>
  <c r="BF508" i="5"/>
  <c r="AE508" i="5"/>
  <c r="BF247" i="5"/>
  <c r="AD247" i="5"/>
  <c r="AE247" i="5"/>
  <c r="AD501" i="5"/>
  <c r="BF501" i="5"/>
  <c r="AE501" i="5"/>
  <c r="BF176" i="5"/>
  <c r="AD176" i="5"/>
  <c r="AE176" i="5"/>
  <c r="AD461" i="5"/>
  <c r="AE461" i="5"/>
  <c r="BF461" i="5"/>
  <c r="AE126" i="5"/>
  <c r="BF126" i="5"/>
  <c r="AD126" i="5"/>
  <c r="AD145" i="5"/>
  <c r="AE145" i="5"/>
  <c r="BF145" i="5"/>
  <c r="BF270" i="5"/>
  <c r="AD270" i="5"/>
  <c r="AE270" i="5"/>
  <c r="AE238" i="5"/>
  <c r="AD238" i="5"/>
  <c r="BF238" i="5"/>
  <c r="BK176" i="5"/>
  <c r="BJ176" i="5"/>
  <c r="AO114" i="4"/>
  <c r="AU114" i="4" s="1"/>
  <c r="AW114" i="4" s="1"/>
  <c r="BF282" i="5"/>
  <c r="AE282" i="5"/>
  <c r="AD282" i="5"/>
  <c r="AE258" i="5"/>
  <c r="AD258" i="5"/>
  <c r="BF258" i="5"/>
  <c r="BF558" i="5"/>
  <c r="AE558" i="5"/>
  <c r="AD558" i="5"/>
  <c r="AD187" i="5"/>
  <c r="AE187" i="5"/>
  <c r="BF187" i="5"/>
  <c r="AD234" i="5"/>
  <c r="AE234" i="5"/>
  <c r="BF234" i="5"/>
  <c r="AD352" i="5"/>
  <c r="BF352" i="5"/>
  <c r="AE352" i="5"/>
  <c r="AD393" i="5"/>
  <c r="AE393" i="5"/>
  <c r="BF393" i="5"/>
  <c r="AE424" i="5"/>
  <c r="AD424" i="5"/>
  <c r="BF424" i="5"/>
  <c r="AD322" i="5"/>
  <c r="BF322" i="5"/>
  <c r="AE322" i="5"/>
  <c r="BF453" i="5"/>
  <c r="AE453" i="5"/>
  <c r="AD453" i="5"/>
  <c r="BF488" i="5"/>
  <c r="AE488" i="5"/>
  <c r="AD488" i="5"/>
  <c r="AE120" i="5"/>
  <c r="BF120" i="5"/>
  <c r="AD120" i="5"/>
  <c r="AE450" i="5"/>
  <c r="AD450" i="5"/>
  <c r="BF450" i="5"/>
  <c r="AD47" i="5"/>
  <c r="AE47" i="5"/>
  <c r="BF47" i="5"/>
  <c r="BF539" i="5"/>
  <c r="AD539" i="5"/>
  <c r="AE539" i="5"/>
  <c r="AE314" i="5"/>
  <c r="AD314" i="5"/>
  <c r="BF314" i="5"/>
  <c r="AE303" i="5"/>
  <c r="BF303" i="5"/>
  <c r="AD303" i="5"/>
  <c r="BF264" i="5"/>
  <c r="AD264" i="5"/>
  <c r="AE264" i="5"/>
  <c r="AE505" i="5"/>
  <c r="AD505" i="5"/>
  <c r="BF505" i="5"/>
  <c r="AE427" i="5"/>
  <c r="BF427" i="5"/>
  <c r="AD427" i="5"/>
  <c r="AE105" i="5"/>
  <c r="BF105" i="5"/>
  <c r="AD105" i="5"/>
  <c r="AE374" i="5"/>
  <c r="AD374" i="5"/>
  <c r="BF374" i="5"/>
  <c r="BF177" i="5"/>
  <c r="AE177" i="5"/>
  <c r="AD177" i="5"/>
  <c r="AE57" i="5"/>
  <c r="AD57" i="5"/>
  <c r="BF57" i="5"/>
  <c r="AD89" i="5"/>
  <c r="AE89" i="5"/>
  <c r="BF89" i="5"/>
  <c r="AD407" i="5"/>
  <c r="BF407" i="5"/>
  <c r="AE407" i="5"/>
  <c r="AD395" i="5"/>
  <c r="AE395" i="5"/>
  <c r="BF395" i="5"/>
  <c r="AE198" i="5"/>
  <c r="BF198" i="5"/>
  <c r="AD198" i="5"/>
  <c r="BF460" i="5"/>
  <c r="AD460" i="5"/>
  <c r="AE460" i="5"/>
  <c r="AE371" i="5"/>
  <c r="BF371" i="5"/>
  <c r="AD371" i="5"/>
  <c r="AE356" i="5"/>
  <c r="AD356" i="5"/>
  <c r="BF356" i="5"/>
  <c r="AD193" i="5"/>
  <c r="AE193" i="5"/>
  <c r="BF193" i="5"/>
  <c r="BF133" i="5"/>
  <c r="AD133" i="5"/>
  <c r="AE133" i="5"/>
  <c r="AE19" i="5"/>
  <c r="AD19" i="5"/>
  <c r="BF19" i="5"/>
  <c r="AE341" i="5"/>
  <c r="AD341" i="5"/>
  <c r="BF341" i="5"/>
  <c r="AD181" i="5"/>
  <c r="BF181" i="5"/>
  <c r="AE181" i="5"/>
  <c r="AD209" i="5"/>
  <c r="BF209" i="5"/>
  <c r="AE209" i="5"/>
  <c r="AD353" i="5"/>
  <c r="AE353" i="5"/>
  <c r="BF353" i="5"/>
  <c r="AE87" i="5"/>
  <c r="AD87" i="5"/>
  <c r="BF87" i="5"/>
  <c r="AE458" i="5"/>
  <c r="BF458" i="5"/>
  <c r="AD458" i="5"/>
  <c r="AD301" i="5"/>
  <c r="AE301" i="5"/>
  <c r="BF301" i="5"/>
  <c r="BF153" i="5"/>
  <c r="AD153" i="5"/>
  <c r="AE153" i="5"/>
  <c r="AE74" i="5"/>
  <c r="BF74" i="5"/>
  <c r="AD74" i="5"/>
  <c r="AE399" i="5"/>
  <c r="AD399" i="5"/>
  <c r="BF399" i="5"/>
  <c r="AD346" i="5"/>
  <c r="AE346" i="5"/>
  <c r="BF346" i="5"/>
  <c r="AE82" i="5"/>
  <c r="AD82" i="5"/>
  <c r="BF82" i="5"/>
  <c r="AE33" i="5"/>
  <c r="AD33" i="5"/>
  <c r="BF33" i="5"/>
  <c r="AD323" i="5"/>
  <c r="BF323" i="5"/>
  <c r="AE323" i="5"/>
  <c r="AE155" i="5"/>
  <c r="AD155" i="5"/>
  <c r="BF155" i="5"/>
  <c r="AD223" i="5"/>
  <c r="BF223" i="5"/>
  <c r="AE223" i="5"/>
  <c r="AE335" i="5"/>
  <c r="BF335" i="5"/>
  <c r="AD335" i="5"/>
  <c r="AD389" i="5"/>
  <c r="AE389" i="5"/>
  <c r="BF389" i="5"/>
  <c r="AD530" i="5"/>
  <c r="AE530" i="5"/>
  <c r="BF530" i="5"/>
  <c r="BF154" i="5"/>
  <c r="AE154" i="5"/>
  <c r="AD154" i="5"/>
  <c r="AD347" i="5"/>
  <c r="BF347" i="5"/>
  <c r="AE347" i="5"/>
  <c r="AD306" i="5"/>
  <c r="BF306" i="5"/>
  <c r="AE306" i="5"/>
  <c r="BF305" i="5"/>
  <c r="AE305" i="5"/>
  <c r="AD305" i="5"/>
  <c r="AD536" i="5"/>
  <c r="BF536" i="5"/>
  <c r="AE536" i="5"/>
  <c r="AE196" i="5"/>
  <c r="AD196" i="5"/>
  <c r="BF196" i="5"/>
  <c r="AD215" i="5"/>
  <c r="AE215" i="5"/>
  <c r="BF215" i="5"/>
  <c r="AE78" i="5"/>
  <c r="BF78" i="5"/>
  <c r="AD78" i="5"/>
  <c r="AE192" i="5"/>
  <c r="BF192" i="5"/>
  <c r="AD192" i="5"/>
  <c r="AE404" i="5"/>
  <c r="AD404" i="5"/>
  <c r="BF404" i="5"/>
  <c r="AD355" i="5"/>
  <c r="AE355" i="5"/>
  <c r="BF355" i="5"/>
  <c r="BF386" i="5"/>
  <c r="AD386" i="5"/>
  <c r="AE386" i="5"/>
  <c r="AD302" i="5"/>
  <c r="AE302" i="5"/>
  <c r="BF302" i="5"/>
  <c r="BF444" i="5"/>
  <c r="AD444" i="5"/>
  <c r="AE444" i="5"/>
  <c r="AO41" i="4"/>
  <c r="BK54" i="5"/>
  <c r="BJ54" i="5"/>
  <c r="AO145" i="4"/>
  <c r="AU145" i="4" s="1"/>
  <c r="AW145" i="4" s="1"/>
  <c r="AO115" i="4"/>
  <c r="AU115" i="4" s="1"/>
  <c r="AW115" i="4" s="1"/>
  <c r="AE304" i="5"/>
  <c r="AD304" i="5"/>
  <c r="BF304" i="5"/>
  <c r="BJ219" i="5"/>
  <c r="BK219" i="5"/>
  <c r="BK13" i="5"/>
  <c r="BJ13" i="5"/>
  <c r="AO149" i="4"/>
  <c r="AO14" i="4"/>
  <c r="AE527" i="5"/>
  <c r="BF527" i="5"/>
  <c r="AD527" i="5"/>
  <c r="AD129" i="5"/>
  <c r="BF129" i="5"/>
  <c r="AE129" i="5"/>
  <c r="AO44" i="4"/>
  <c r="AU44" i="4" s="1"/>
  <c r="AW44" i="4" s="1"/>
  <c r="AK11" i="5"/>
  <c r="AL11" i="5"/>
  <c r="AP11" i="5"/>
  <c r="AO11" i="5"/>
  <c r="AN11" i="5"/>
  <c r="AO70" i="4"/>
  <c r="AU70" i="4" s="1"/>
  <c r="AW70" i="4" s="1"/>
  <c r="AO56" i="4"/>
  <c r="AU56" i="4" s="1"/>
  <c r="AW56" i="4" s="1"/>
  <c r="AO64" i="4"/>
  <c r="AU64" i="4" s="1"/>
  <c r="AW64" i="4" s="1"/>
  <c r="BK159" i="5"/>
  <c r="BJ159" i="5"/>
  <c r="BJ394" i="5"/>
  <c r="BK394" i="5"/>
  <c r="BF46" i="5"/>
  <c r="AD46" i="5"/>
  <c r="AE46" i="5"/>
  <c r="AD405" i="5"/>
  <c r="BF405" i="5"/>
  <c r="AE405" i="5"/>
  <c r="AE62" i="5"/>
  <c r="AD62" i="5"/>
  <c r="BF62" i="5"/>
  <c r="AD466" i="5"/>
  <c r="BF466" i="5"/>
  <c r="AE466" i="5"/>
  <c r="AD34" i="5"/>
  <c r="BF34" i="5"/>
  <c r="AE34" i="5"/>
  <c r="AE149" i="5"/>
  <c r="AD149" i="5"/>
  <c r="BF149" i="5"/>
  <c r="AE350" i="5"/>
  <c r="BF350" i="5"/>
  <c r="AD350" i="5"/>
  <c r="AE123" i="5"/>
  <c r="AD123" i="5"/>
  <c r="BF123" i="5"/>
  <c r="AE442" i="5"/>
  <c r="BF442" i="5"/>
  <c r="AD442" i="5"/>
  <c r="AE13" i="5"/>
  <c r="AD13" i="5"/>
  <c r="BF13" i="5"/>
  <c r="BF438" i="5"/>
  <c r="AE438" i="5"/>
  <c r="AD438" i="5"/>
  <c r="AD451" i="5"/>
  <c r="AE451" i="5"/>
  <c r="BF451" i="5"/>
  <c r="AD276" i="5"/>
  <c r="BF276" i="5"/>
  <c r="AE276" i="5"/>
  <c r="AE379" i="5"/>
  <c r="AD379" i="5"/>
  <c r="BF379" i="5"/>
  <c r="AE30" i="5"/>
  <c r="BF30" i="5"/>
  <c r="AD30" i="5"/>
  <c r="AD489" i="5"/>
  <c r="BF489" i="5"/>
  <c r="AE489" i="5"/>
  <c r="BF113" i="5"/>
  <c r="AE113" i="5"/>
  <c r="AD113" i="5"/>
  <c r="AE380" i="5"/>
  <c r="BF380" i="5"/>
  <c r="AD380" i="5"/>
  <c r="AE84" i="5"/>
  <c r="BF84" i="5"/>
  <c r="AD84" i="5"/>
  <c r="AD108" i="5"/>
  <c r="AE108" i="5"/>
  <c r="BF108" i="5"/>
  <c r="AE463" i="5"/>
  <c r="BF463" i="5"/>
  <c r="AD463" i="5"/>
  <c r="AE80" i="5"/>
  <c r="BF80" i="5"/>
  <c r="AD80" i="5"/>
  <c r="BF550" i="5"/>
  <c r="AD550" i="5"/>
  <c r="AE550" i="5"/>
  <c r="AE226" i="5"/>
  <c r="BF226" i="5"/>
  <c r="AD226" i="5"/>
  <c r="BF338" i="5"/>
  <c r="AE338" i="5"/>
  <c r="AD338" i="5"/>
  <c r="AD390" i="5"/>
  <c r="AE390" i="5"/>
  <c r="BF390" i="5"/>
  <c r="AD375" i="5"/>
  <c r="AE375" i="5"/>
  <c r="BF375" i="5"/>
  <c r="AE131" i="5"/>
  <c r="AD131" i="5"/>
  <c r="BF131" i="5"/>
  <c r="AE257" i="5"/>
  <c r="BF257" i="5"/>
  <c r="AD257" i="5"/>
  <c r="BF24" i="5"/>
  <c r="AE24" i="5"/>
  <c r="AD24" i="5"/>
  <c r="AE224" i="5"/>
  <c r="BF224" i="5"/>
  <c r="AD224" i="5"/>
  <c r="AE313" i="5"/>
  <c r="AD313" i="5"/>
  <c r="BF313" i="5"/>
  <c r="AD363" i="5"/>
  <c r="AE363" i="5"/>
  <c r="BF363" i="5"/>
  <c r="AD382" i="5"/>
  <c r="AE382" i="5"/>
  <c r="BF382" i="5"/>
  <c r="AE9" i="5"/>
  <c r="AD9" i="5"/>
  <c r="BF9" i="5"/>
  <c r="BJ68" i="5"/>
  <c r="BK68" i="5"/>
  <c r="AO104" i="4"/>
  <c r="AU104" i="4" s="1"/>
  <c r="AW104" i="4" s="1"/>
  <c r="AE281" i="5"/>
  <c r="BF281" i="5"/>
  <c r="AD281" i="5"/>
  <c r="AD49" i="5"/>
  <c r="AE49" i="5"/>
  <c r="BF49" i="5"/>
  <c r="BF225" i="5"/>
  <c r="AD225" i="5"/>
  <c r="AE225" i="5"/>
  <c r="BF213" i="5"/>
  <c r="AE213" i="5"/>
  <c r="AD213" i="5"/>
  <c r="BF90" i="5"/>
  <c r="AD90" i="5"/>
  <c r="AE90" i="5"/>
  <c r="AE475" i="5"/>
  <c r="AD475" i="5"/>
  <c r="BF475" i="5"/>
  <c r="AD443" i="5"/>
  <c r="BF443" i="5"/>
  <c r="AE443" i="5"/>
  <c r="AD98" i="5"/>
  <c r="BF98" i="5"/>
  <c r="AE98" i="5"/>
  <c r="AE31" i="5"/>
  <c r="AD31" i="5"/>
  <c r="BF31" i="5"/>
  <c r="BF440" i="5"/>
  <c r="AE440" i="5"/>
  <c r="AD440" i="5"/>
  <c r="AE401" i="5"/>
  <c r="BF401" i="5"/>
  <c r="AD401" i="5"/>
  <c r="BF403" i="5"/>
  <c r="AD403" i="5"/>
  <c r="AE403" i="5"/>
  <c r="BF465" i="5"/>
  <c r="AE465" i="5"/>
  <c r="AD465" i="5"/>
  <c r="AD492" i="5"/>
  <c r="AE492" i="5"/>
  <c r="BF492" i="5"/>
  <c r="AD61" i="5"/>
  <c r="AE61" i="5"/>
  <c r="BF61" i="5"/>
  <c r="AD411" i="5"/>
  <c r="AE411" i="5"/>
  <c r="BF411" i="5"/>
  <c r="BF555" i="5"/>
  <c r="AE555" i="5"/>
  <c r="AD555" i="5"/>
  <c r="AD240" i="5"/>
  <c r="AE240" i="5"/>
  <c r="BF240" i="5"/>
  <c r="AD204" i="5"/>
  <c r="AE204" i="5"/>
  <c r="BF204" i="5"/>
  <c r="AE222" i="5"/>
  <c r="AD222" i="5"/>
  <c r="BF222" i="5"/>
  <c r="AE506" i="5"/>
  <c r="AD506" i="5"/>
  <c r="BF506" i="5"/>
  <c r="BF434" i="5"/>
  <c r="AD434" i="5"/>
  <c r="AE434" i="5"/>
  <c r="BF246" i="5"/>
  <c r="AE246" i="5"/>
  <c r="AD246" i="5"/>
  <c r="AE533" i="5"/>
  <c r="BF533" i="5"/>
  <c r="AD533" i="5"/>
  <c r="BF511" i="5"/>
  <c r="AE511" i="5"/>
  <c r="AD511" i="5"/>
  <c r="BF86" i="5"/>
  <c r="AE86" i="5"/>
  <c r="AD86" i="5"/>
  <c r="AD114" i="5"/>
  <c r="AE114" i="5"/>
  <c r="BF114" i="5"/>
  <c r="BF161" i="5"/>
  <c r="AE161" i="5"/>
  <c r="AD161" i="5"/>
  <c r="BF227" i="5"/>
  <c r="AD227" i="5"/>
  <c r="AE227" i="5"/>
  <c r="AD212" i="5"/>
  <c r="BF212" i="5"/>
  <c r="AE212" i="5"/>
  <c r="AD127" i="5"/>
  <c r="BF127" i="5"/>
  <c r="AE127" i="5"/>
  <c r="AE233" i="5"/>
  <c r="AD233" i="5"/>
  <c r="BF233" i="5"/>
  <c r="AO29" i="4"/>
  <c r="AU29" i="4" s="1"/>
  <c r="AW29" i="4" s="1"/>
  <c r="AO51" i="4"/>
  <c r="AU51" i="4" s="1"/>
  <c r="AW51" i="4" s="1"/>
  <c r="AD76" i="5"/>
  <c r="AE76" i="5"/>
  <c r="BF76" i="5"/>
  <c r="BF166" i="5"/>
  <c r="AE166" i="5"/>
  <c r="AD166" i="5"/>
  <c r="BF507" i="5"/>
  <c r="AE507" i="5"/>
  <c r="AD507" i="5"/>
  <c r="BF51" i="5"/>
  <c r="AE51" i="5"/>
  <c r="AD51" i="5"/>
  <c r="AE83" i="5"/>
  <c r="AD83" i="5"/>
  <c r="BF83" i="5"/>
  <c r="AD236" i="5"/>
  <c r="BF236" i="5"/>
  <c r="AE236" i="5"/>
  <c r="AE93" i="5"/>
  <c r="AD93" i="5"/>
  <c r="BF93" i="5"/>
  <c r="AD474" i="5"/>
  <c r="BF474" i="5"/>
  <c r="AE474" i="5"/>
  <c r="BF191" i="5"/>
  <c r="AD191" i="5"/>
  <c r="AE191" i="5"/>
  <c r="AD203" i="5"/>
  <c r="BF203" i="5"/>
  <c r="AE203" i="5"/>
  <c r="AD486" i="5"/>
  <c r="AE486" i="5"/>
  <c r="BF486" i="5"/>
  <c r="BF95" i="5"/>
  <c r="AD95" i="5"/>
  <c r="AE95" i="5"/>
  <c r="AD333" i="5"/>
  <c r="BF333" i="5"/>
  <c r="AE333" i="5"/>
  <c r="AD545" i="5"/>
  <c r="BF545" i="5"/>
  <c r="AE545" i="5"/>
  <c r="BF378" i="5"/>
  <c r="AE378" i="5"/>
  <c r="AD378" i="5"/>
  <c r="AE67" i="5"/>
  <c r="AD67" i="5"/>
  <c r="BF67" i="5"/>
  <c r="BF275" i="5"/>
  <c r="AE275" i="5"/>
  <c r="AD275" i="5"/>
  <c r="BF151" i="5"/>
  <c r="AE151" i="5"/>
  <c r="AD151" i="5"/>
  <c r="BF483" i="5"/>
  <c r="AE483" i="5"/>
  <c r="AD483" i="5"/>
  <c r="AD25" i="5"/>
  <c r="BF25" i="5"/>
  <c r="AE25" i="5"/>
  <c r="AD433" i="5"/>
  <c r="BF433" i="5"/>
  <c r="AE433" i="5"/>
  <c r="AD199" i="5"/>
  <c r="AE199" i="5"/>
  <c r="BF199" i="5"/>
  <c r="BF472" i="5"/>
  <c r="AE472" i="5"/>
  <c r="AD472" i="5"/>
  <c r="AE211" i="5"/>
  <c r="AD211" i="5"/>
  <c r="BF211" i="5"/>
  <c r="AE471" i="5"/>
  <c r="BF471" i="5"/>
  <c r="AD471" i="5"/>
  <c r="BF241" i="5"/>
  <c r="AE241" i="5"/>
  <c r="AD241" i="5"/>
  <c r="AE469" i="5"/>
  <c r="AD469" i="5"/>
  <c r="BF469" i="5"/>
  <c r="BF174" i="5"/>
  <c r="AE174" i="5"/>
  <c r="AD174" i="5"/>
  <c r="AE484" i="5"/>
  <c r="BF484" i="5"/>
  <c r="AD484" i="5"/>
  <c r="AE546" i="5"/>
  <c r="AD546" i="5"/>
  <c r="BF546" i="5"/>
  <c r="AD244" i="5"/>
  <c r="BF244" i="5"/>
  <c r="AE244" i="5"/>
  <c r="BF75" i="5"/>
  <c r="AE75" i="5"/>
  <c r="AD75" i="5"/>
  <c r="AO142" i="4"/>
  <c r="AU142" i="4" s="1"/>
  <c r="AW142" i="4" s="1"/>
  <c r="AE137" i="5"/>
  <c r="AD137" i="5"/>
  <c r="BF137" i="5"/>
  <c r="AE328" i="5"/>
  <c r="AD328" i="5"/>
  <c r="BF328" i="5"/>
  <c r="BF110" i="5"/>
  <c r="AD110" i="5"/>
  <c r="AE110" i="5"/>
  <c r="BF500" i="5"/>
  <c r="AE500" i="5"/>
  <c r="AD500" i="5"/>
  <c r="AD164" i="5"/>
  <c r="AE164" i="5"/>
  <c r="BF164" i="5"/>
  <c r="BF554" i="5"/>
  <c r="AD554" i="5"/>
  <c r="AE554" i="5"/>
  <c r="AE329" i="5"/>
  <c r="BF329" i="5"/>
  <c r="AD329" i="5"/>
  <c r="AE195" i="5"/>
  <c r="BF195" i="5"/>
  <c r="AD195" i="5"/>
  <c r="AE349" i="5"/>
  <c r="AD349" i="5"/>
  <c r="BF349" i="5"/>
  <c r="AE339" i="5"/>
  <c r="AD339" i="5"/>
  <c r="BF339" i="5"/>
  <c r="BF417" i="5"/>
  <c r="AD417" i="5"/>
  <c r="AE417" i="5"/>
  <c r="BF262" i="5"/>
  <c r="AE262" i="5"/>
  <c r="AD262" i="5"/>
  <c r="AE412" i="5"/>
  <c r="AD412" i="5"/>
  <c r="BF412" i="5"/>
  <c r="BF495" i="5"/>
  <c r="AD495" i="5"/>
  <c r="AE495" i="5"/>
  <c r="AD394" i="5"/>
  <c r="AE394" i="5"/>
  <c r="BF394" i="5"/>
  <c r="AD229" i="5"/>
  <c r="AE229" i="5"/>
  <c r="BF229" i="5"/>
  <c r="AE99" i="5"/>
  <c r="BF99" i="5"/>
  <c r="AD99" i="5"/>
  <c r="AD159" i="5"/>
  <c r="AE159" i="5"/>
  <c r="BF159" i="5"/>
  <c r="AD523" i="5"/>
  <c r="BF523" i="5"/>
  <c r="AE523" i="5"/>
  <c r="AE532" i="5"/>
  <c r="BF532" i="5"/>
  <c r="AD532" i="5"/>
  <c r="AE237" i="5"/>
  <c r="BF237" i="5"/>
  <c r="AD237" i="5"/>
  <c r="BF274" i="5"/>
  <c r="AE274" i="5"/>
  <c r="AD274" i="5"/>
  <c r="AE359" i="5"/>
  <c r="AD359" i="5"/>
  <c r="BF359" i="5"/>
  <c r="AD136" i="5"/>
  <c r="BF136" i="5"/>
  <c r="AE136" i="5"/>
  <c r="BF548" i="5"/>
  <c r="AE548" i="5"/>
  <c r="AD548" i="5"/>
  <c r="AD189" i="5"/>
  <c r="BF189" i="5"/>
  <c r="AE189" i="5"/>
  <c r="AD146" i="5"/>
  <c r="BF146" i="5"/>
  <c r="AE146" i="5"/>
  <c r="AD169" i="5"/>
  <c r="AE169" i="5"/>
  <c r="BF169" i="5"/>
  <c r="AD520" i="5"/>
  <c r="AE520" i="5"/>
  <c r="BF520" i="5"/>
  <c r="AE310" i="5"/>
  <c r="BF310" i="5"/>
  <c r="AD310" i="5"/>
  <c r="AD59" i="5"/>
  <c r="BF59" i="5"/>
  <c r="AE59" i="5"/>
  <c r="AD39" i="5"/>
  <c r="BF39" i="5"/>
  <c r="AE39" i="5"/>
  <c r="AE496" i="5"/>
  <c r="AD496" i="5"/>
  <c r="BF496" i="5"/>
  <c r="AD517" i="5"/>
  <c r="AE517" i="5"/>
  <c r="BF517" i="5"/>
  <c r="BK372" i="5"/>
  <c r="BJ372" i="5"/>
  <c r="AO140" i="4"/>
  <c r="AU140" i="4" s="1"/>
  <c r="AW140" i="4" s="1"/>
  <c r="AO105" i="4"/>
  <c r="AO39" i="4"/>
  <c r="AU39" i="4" s="1"/>
  <c r="AW39" i="4" s="1"/>
  <c r="BK452" i="5"/>
  <c r="BJ452" i="5"/>
  <c r="AO75" i="4"/>
  <c r="BF525" i="5"/>
  <c r="AE525" i="5"/>
  <c r="AD525" i="5"/>
  <c r="BH418" i="5"/>
  <c r="BM418" i="5" s="1"/>
  <c r="AO153" i="4"/>
  <c r="AU153" i="4" s="1"/>
  <c r="AW153" i="4" s="1"/>
  <c r="AO126" i="4"/>
  <c r="AU126" i="4" s="1"/>
  <c r="AW126" i="4" s="1"/>
  <c r="AO156" i="4"/>
  <c r="AO154" i="4"/>
  <c r="AU154" i="4" s="1"/>
  <c r="AW154" i="4" s="1"/>
  <c r="AD170" i="5"/>
  <c r="BF170" i="5"/>
  <c r="AE170" i="5"/>
  <c r="AO131" i="4"/>
  <c r="AU131" i="4" s="1"/>
  <c r="AW131" i="4" s="1"/>
  <c r="AO83" i="4"/>
  <c r="AU83" i="4" s="1"/>
  <c r="AW83" i="4" s="1"/>
  <c r="BK500" i="5"/>
  <c r="BJ500" i="5"/>
  <c r="AO33" i="4"/>
  <c r="AX11" i="5"/>
  <c r="AY11" i="5"/>
  <c r="AU11" i="5"/>
  <c r="BC11" i="5"/>
  <c r="AV11" i="5"/>
  <c r="AO43" i="4"/>
  <c r="AO119" i="4"/>
  <c r="AU119" i="4" s="1"/>
  <c r="AW119" i="4" s="1"/>
  <c r="BJ504" i="5"/>
  <c r="BK504" i="5"/>
  <c r="AO28" i="4"/>
  <c r="AU28" i="4" s="1"/>
  <c r="AW28" i="4" s="1"/>
  <c r="AO77" i="4" l="1"/>
  <c r="AK96" i="4"/>
  <c r="AL96" i="4" s="1"/>
  <c r="AO96" i="4" s="1"/>
  <c r="AU84" i="4"/>
  <c r="AW84" i="4" s="1"/>
  <c r="AO57" i="4"/>
  <c r="AU32" i="4"/>
  <c r="AW32" i="4" s="1"/>
  <c r="AK65" i="4"/>
  <c r="AL65" i="4" s="1"/>
  <c r="AO65" i="4" s="1"/>
  <c r="AC105" i="4"/>
  <c r="AD105" i="4" s="1"/>
  <c r="AK94" i="4"/>
  <c r="AL94" i="4" s="1"/>
  <c r="AP105" i="4"/>
  <c r="AO81" i="4"/>
  <c r="AO93" i="4"/>
  <c r="AC94" i="4"/>
  <c r="AD94" i="4" s="1"/>
  <c r="AC96" i="4"/>
  <c r="AD96" i="4" s="1"/>
  <c r="AC54" i="4"/>
  <c r="AD54" i="4" s="1"/>
  <c r="AQ54" i="4"/>
  <c r="AP54" i="4"/>
  <c r="AA108" i="4"/>
  <c r="AP108" i="4" s="1"/>
  <c r="AA69" i="4"/>
  <c r="AQ69" i="4" s="1"/>
  <c r="AQ75" i="4"/>
  <c r="AC75" i="4"/>
  <c r="AD75" i="4" s="1"/>
  <c r="AP75" i="4"/>
  <c r="AQ74" i="4"/>
  <c r="AK74" i="4"/>
  <c r="AL74" i="4" s="1"/>
  <c r="AO74" i="4" s="1"/>
  <c r="AP69" i="4"/>
  <c r="AC69" i="4"/>
  <c r="AD69" i="4" s="1"/>
  <c r="AO97" i="4"/>
  <c r="AC74" i="4"/>
  <c r="AD74" i="4" s="1"/>
  <c r="AU151" i="4"/>
  <c r="AW151" i="4" s="1"/>
  <c r="AK61" i="4"/>
  <c r="AL61" i="4" s="1"/>
  <c r="AO61" i="4" s="1"/>
  <c r="AJ79" i="4"/>
  <c r="AA79" i="4"/>
  <c r="AK111" i="4"/>
  <c r="AL111" i="4" s="1"/>
  <c r="AO111" i="4" s="1"/>
  <c r="AK63" i="4"/>
  <c r="AL63" i="4" s="1"/>
  <c r="AO63" i="4" s="1"/>
  <c r="AO89" i="4"/>
  <c r="AJ112" i="4"/>
  <c r="AA112" i="4"/>
  <c r="AP78" i="4"/>
  <c r="AQ78" i="4"/>
  <c r="AC78" i="4"/>
  <c r="AD78" i="4" s="1"/>
  <c r="AJ106" i="4"/>
  <c r="AA106" i="4"/>
  <c r="AO95" i="4"/>
  <c r="AC76" i="4"/>
  <c r="AD76" i="4" s="1"/>
  <c r="AQ76" i="4"/>
  <c r="AP76" i="4"/>
  <c r="AJ101" i="4"/>
  <c r="AA101" i="4"/>
  <c r="AJ77" i="4"/>
  <c r="AA77" i="4"/>
  <c r="AO112" i="4"/>
  <c r="AK102" i="4"/>
  <c r="AL102" i="4" s="1"/>
  <c r="AO102" i="4" s="1"/>
  <c r="AQ71" i="4"/>
  <c r="AP71" i="4"/>
  <c r="AC71" i="4"/>
  <c r="AD71" i="4" s="1"/>
  <c r="AJ98" i="4"/>
  <c r="AA98" i="4"/>
  <c r="AJ89" i="4"/>
  <c r="AA89" i="4"/>
  <c r="AK110" i="4"/>
  <c r="AL110" i="4" s="1"/>
  <c r="AO110" i="4" s="1"/>
  <c r="AK82" i="4"/>
  <c r="AL82" i="4" s="1"/>
  <c r="AO82" i="4" s="1"/>
  <c r="AK98" i="4"/>
  <c r="AL98" i="4" s="1"/>
  <c r="AO98" i="4" s="1"/>
  <c r="AJ62" i="4"/>
  <c r="AA62" i="4"/>
  <c r="AJ97" i="4"/>
  <c r="AA97" i="4"/>
  <c r="AK66" i="4"/>
  <c r="AL66" i="4" s="1"/>
  <c r="AO66" i="4" s="1"/>
  <c r="AJ90" i="4"/>
  <c r="AA90" i="4"/>
  <c r="AP61" i="4"/>
  <c r="AK106" i="4"/>
  <c r="AL106" i="4" s="1"/>
  <c r="AO106" i="4" s="1"/>
  <c r="AK85" i="4"/>
  <c r="AL85" i="4" s="1"/>
  <c r="AO85" i="4" s="1"/>
  <c r="AA66" i="4"/>
  <c r="AA59" i="4"/>
  <c r="AJ67" i="4"/>
  <c r="AA67" i="4"/>
  <c r="AK60" i="4"/>
  <c r="AL60" i="4" s="1"/>
  <c r="AO60" i="4" s="1"/>
  <c r="AK67" i="4"/>
  <c r="AL67" i="4" s="1"/>
  <c r="AO67" i="4" s="1"/>
  <c r="AK108" i="4"/>
  <c r="AL108" i="4" s="1"/>
  <c r="AO108" i="4" s="1"/>
  <c r="AJ81" i="4"/>
  <c r="AA81" i="4"/>
  <c r="AJ93" i="4"/>
  <c r="AA93" i="4"/>
  <c r="AK59" i="4"/>
  <c r="AL59" i="4" s="1"/>
  <c r="AO59" i="4" s="1"/>
  <c r="AK90" i="4"/>
  <c r="AL90" i="4" s="1"/>
  <c r="AO90" i="4" s="1"/>
  <c r="AA110" i="4"/>
  <c r="AP107" i="4"/>
  <c r="AQ107" i="4"/>
  <c r="AC107" i="4"/>
  <c r="AD107" i="4" s="1"/>
  <c r="AA111" i="4"/>
  <c r="AK101" i="4"/>
  <c r="AL101" i="4" s="1"/>
  <c r="AO101" i="4" s="1"/>
  <c r="AA65" i="4"/>
  <c r="AK62" i="4"/>
  <c r="AL62" i="4" s="1"/>
  <c r="AO62" i="4" s="1"/>
  <c r="AK69" i="4"/>
  <c r="AL69" i="4" s="1"/>
  <c r="AO69" i="4" s="1"/>
  <c r="AA85" i="4"/>
  <c r="AA82" i="4"/>
  <c r="AK79" i="4"/>
  <c r="AL79" i="4" s="1"/>
  <c r="AO79" i="4" s="1"/>
  <c r="AP94" i="4"/>
  <c r="AQ61" i="4"/>
  <c r="AA60" i="4"/>
  <c r="AJ113" i="4"/>
  <c r="AA113" i="4"/>
  <c r="AA63" i="4"/>
  <c r="AJ95" i="4"/>
  <c r="AA95" i="4"/>
  <c r="AK113" i="4"/>
  <c r="AL113" i="4" s="1"/>
  <c r="AO113" i="4" s="1"/>
  <c r="AA102" i="4"/>
  <c r="AU149" i="4"/>
  <c r="AW149" i="4" s="1"/>
  <c r="AP48" i="4"/>
  <c r="AQ48" i="4"/>
  <c r="AC48" i="4"/>
  <c r="AD48" i="4" s="1"/>
  <c r="AU117" i="4"/>
  <c r="AW117" i="4" s="1"/>
  <c r="AC43" i="4"/>
  <c r="AD43" i="4" s="1"/>
  <c r="AP43" i="4"/>
  <c r="AQ43" i="4"/>
  <c r="AP58" i="4"/>
  <c r="AQ58" i="4"/>
  <c r="AC58" i="4"/>
  <c r="AD58" i="4" s="1"/>
  <c r="AQ42" i="4"/>
  <c r="AP42" i="4"/>
  <c r="AC42" i="4"/>
  <c r="AD42" i="4" s="1"/>
  <c r="AQ41" i="4"/>
  <c r="AP41" i="4"/>
  <c r="AC41" i="4"/>
  <c r="AD41" i="4" s="1"/>
  <c r="AQ52" i="4"/>
  <c r="AP52" i="4"/>
  <c r="AC52" i="4"/>
  <c r="AD52" i="4" s="1"/>
  <c r="AQ36" i="4"/>
  <c r="AP36" i="4"/>
  <c r="AC36" i="4"/>
  <c r="AD36" i="4" s="1"/>
  <c r="AJ57" i="4"/>
  <c r="AA57" i="4"/>
  <c r="AP33" i="4"/>
  <c r="AQ33" i="4"/>
  <c r="AC33" i="4"/>
  <c r="AD33" i="4" s="1"/>
  <c r="AQ34" i="4"/>
  <c r="AP34" i="4"/>
  <c r="AC34" i="4"/>
  <c r="AD34" i="4" s="1"/>
  <c r="AU134" i="4"/>
  <c r="AW134" i="4" s="1"/>
  <c r="AU11" i="4"/>
  <c r="AW11" i="4" s="1"/>
  <c r="AU14" i="4"/>
  <c r="AW14" i="4" s="1"/>
  <c r="AU105" i="4"/>
  <c r="AW105" i="4" s="1"/>
  <c r="AU155" i="4"/>
  <c r="AW155" i="4" s="1"/>
  <c r="AU141" i="4"/>
  <c r="AW141" i="4" s="1"/>
  <c r="AU13" i="4"/>
  <c r="AW13" i="4" s="1"/>
  <c r="AO124" i="4"/>
  <c r="AU124" i="4" s="1"/>
  <c r="AW124" i="4" s="1"/>
  <c r="AU10" i="4"/>
  <c r="AW10" i="4" s="1"/>
  <c r="AU129" i="4"/>
  <c r="AW129" i="4" s="1"/>
  <c r="AU133" i="4"/>
  <c r="AW133" i="4" s="1"/>
  <c r="AO94" i="4"/>
  <c r="AU122" i="4"/>
  <c r="AW122" i="4" s="1"/>
  <c r="AU152" i="4"/>
  <c r="AW152" i="4" s="1"/>
  <c r="AU109" i="4"/>
  <c r="AW109" i="4" s="1"/>
  <c r="AU118" i="4"/>
  <c r="AW118" i="4" s="1"/>
  <c r="AU144" i="4"/>
  <c r="AW144" i="4" s="1"/>
  <c r="AU25" i="4"/>
  <c r="AW25" i="4" s="1"/>
  <c r="AU24" i="4"/>
  <c r="AW24" i="4" s="1"/>
  <c r="AU12" i="4"/>
  <c r="AW12" i="4" s="1"/>
  <c r="AD11" i="5"/>
  <c r="AU135" i="4"/>
  <c r="AW135" i="4" s="1"/>
  <c r="AU18" i="4"/>
  <c r="AW18" i="4" s="1"/>
  <c r="AU125" i="4"/>
  <c r="AW125" i="4" s="1"/>
  <c r="AU22" i="4"/>
  <c r="AW22" i="4" s="1"/>
  <c r="AU92" i="4"/>
  <c r="AW92" i="4" s="1"/>
  <c r="AU136" i="4"/>
  <c r="AW136" i="4" s="1"/>
  <c r="AU16" i="4"/>
  <c r="AW16" i="4" s="1"/>
  <c r="AU156" i="4"/>
  <c r="AW156" i="4" s="1"/>
  <c r="AU20" i="4"/>
  <c r="AW20" i="4" s="1"/>
  <c r="AO137" i="4"/>
  <c r="AU137" i="4" s="1"/>
  <c r="AW137" i="4" s="1"/>
  <c r="AU8" i="4"/>
  <c r="AW8" i="4" s="1"/>
  <c r="AU128" i="4"/>
  <c r="AW128" i="4" s="1"/>
  <c r="AU143" i="4"/>
  <c r="AW143" i="4" s="1"/>
  <c r="AU116" i="4"/>
  <c r="AW116" i="4" s="1"/>
  <c r="AU23" i="4"/>
  <c r="AW23" i="4" s="1"/>
  <c r="AU7" i="4"/>
  <c r="AW7" i="4" s="1"/>
  <c r="AU121" i="4"/>
  <c r="AW121" i="4" s="1"/>
  <c r="AU15" i="4"/>
  <c r="AW15" i="4" s="1"/>
  <c r="AU9" i="4"/>
  <c r="AW9" i="4" s="1"/>
  <c r="AU96" i="4"/>
  <c r="AW96" i="4" s="1"/>
  <c r="BH170" i="5"/>
  <c r="BM170" i="5" s="1"/>
  <c r="BG170" i="5"/>
  <c r="BL170" i="5" s="1"/>
  <c r="BH237" i="5"/>
  <c r="BM237" i="5" s="1"/>
  <c r="BG237" i="5"/>
  <c r="BL237" i="5" s="1"/>
  <c r="BH262" i="5"/>
  <c r="BM262" i="5" s="1"/>
  <c r="BG262" i="5"/>
  <c r="BL262" i="5" s="1"/>
  <c r="BG500" i="5"/>
  <c r="BL500" i="5" s="1"/>
  <c r="BH500" i="5"/>
  <c r="BM500" i="5" s="1"/>
  <c r="BG244" i="5"/>
  <c r="BL244" i="5" s="1"/>
  <c r="BH244" i="5"/>
  <c r="BM244" i="5" s="1"/>
  <c r="BG241" i="5"/>
  <c r="BL241" i="5" s="1"/>
  <c r="BH241" i="5"/>
  <c r="BM241" i="5" s="1"/>
  <c r="BG211" i="5"/>
  <c r="BL211" i="5" s="1"/>
  <c r="BH211" i="5"/>
  <c r="BM211" i="5" s="1"/>
  <c r="BG151" i="5"/>
  <c r="BL151" i="5" s="1"/>
  <c r="BH151" i="5"/>
  <c r="BM151" i="5" s="1"/>
  <c r="BG67" i="5"/>
  <c r="BL67" i="5" s="1"/>
  <c r="BH67" i="5"/>
  <c r="BM67" i="5" s="1"/>
  <c r="BG166" i="5"/>
  <c r="BL166" i="5" s="1"/>
  <c r="BH166" i="5"/>
  <c r="BM166" i="5" s="1"/>
  <c r="BG233" i="5"/>
  <c r="BL233" i="5" s="1"/>
  <c r="BH233" i="5"/>
  <c r="BM233" i="5" s="1"/>
  <c r="BG127" i="5"/>
  <c r="BL127" i="5" s="1"/>
  <c r="BH127" i="5"/>
  <c r="BM127" i="5" s="1"/>
  <c r="BH86" i="5"/>
  <c r="BM86" i="5" s="1"/>
  <c r="BG86" i="5"/>
  <c r="BL86" i="5" s="1"/>
  <c r="BH434" i="5"/>
  <c r="BM434" i="5" s="1"/>
  <c r="BG434" i="5"/>
  <c r="BL434" i="5" s="1"/>
  <c r="BG222" i="5"/>
  <c r="BL222" i="5" s="1"/>
  <c r="BH222" i="5"/>
  <c r="BM222" i="5" s="1"/>
  <c r="BG411" i="5"/>
  <c r="BL411" i="5" s="1"/>
  <c r="BH411" i="5"/>
  <c r="BM411" i="5" s="1"/>
  <c r="BG401" i="5"/>
  <c r="BL401" i="5" s="1"/>
  <c r="BH401" i="5"/>
  <c r="BM401" i="5" s="1"/>
  <c r="BH440" i="5"/>
  <c r="BM440" i="5" s="1"/>
  <c r="BG440" i="5"/>
  <c r="BL440" i="5" s="1"/>
  <c r="BG443" i="5"/>
  <c r="BL443" i="5" s="1"/>
  <c r="BH443" i="5"/>
  <c r="BM443" i="5" s="1"/>
  <c r="BH313" i="5"/>
  <c r="BM313" i="5" s="1"/>
  <c r="BG313" i="5"/>
  <c r="BL313" i="5" s="1"/>
  <c r="BG224" i="5"/>
  <c r="BL224" i="5" s="1"/>
  <c r="BH224" i="5"/>
  <c r="BM224" i="5" s="1"/>
  <c r="BG24" i="5"/>
  <c r="BL24" i="5" s="1"/>
  <c r="BH24" i="5"/>
  <c r="BM24" i="5" s="1"/>
  <c r="BG131" i="5"/>
  <c r="BL131" i="5" s="1"/>
  <c r="BH131" i="5"/>
  <c r="BM131" i="5" s="1"/>
  <c r="BH108" i="5"/>
  <c r="BM108" i="5" s="1"/>
  <c r="BG108" i="5"/>
  <c r="BL108" i="5" s="1"/>
  <c r="BH84" i="5"/>
  <c r="BM84" i="5" s="1"/>
  <c r="BG84" i="5"/>
  <c r="BL84" i="5" s="1"/>
  <c r="BG30" i="5"/>
  <c r="BL30" i="5" s="1"/>
  <c r="BH30" i="5"/>
  <c r="BM30" i="5" s="1"/>
  <c r="BH451" i="5"/>
  <c r="BM451" i="5" s="1"/>
  <c r="BG451" i="5"/>
  <c r="BL451" i="5" s="1"/>
  <c r="BH123" i="5"/>
  <c r="BM123" i="5" s="1"/>
  <c r="BG123" i="5"/>
  <c r="BL123" i="5" s="1"/>
  <c r="BH350" i="5"/>
  <c r="BM350" i="5" s="1"/>
  <c r="BG350" i="5"/>
  <c r="BL350" i="5" s="1"/>
  <c r="BH444" i="5"/>
  <c r="BM444" i="5" s="1"/>
  <c r="BG444" i="5"/>
  <c r="BL444" i="5" s="1"/>
  <c r="BG306" i="5"/>
  <c r="BL306" i="5" s="1"/>
  <c r="BH306" i="5"/>
  <c r="BM306" i="5" s="1"/>
  <c r="BH530" i="5"/>
  <c r="BM530" i="5" s="1"/>
  <c r="BG530" i="5"/>
  <c r="BL530" i="5" s="1"/>
  <c r="BH155" i="5"/>
  <c r="BM155" i="5" s="1"/>
  <c r="BG155" i="5"/>
  <c r="BL155" i="5" s="1"/>
  <c r="BH323" i="5"/>
  <c r="BM323" i="5" s="1"/>
  <c r="BG323" i="5"/>
  <c r="BL323" i="5" s="1"/>
  <c r="BH346" i="5"/>
  <c r="BM346" i="5" s="1"/>
  <c r="BG346" i="5"/>
  <c r="BL346" i="5" s="1"/>
  <c r="BG301" i="5"/>
  <c r="BL301" i="5" s="1"/>
  <c r="BH301" i="5"/>
  <c r="BM301" i="5" s="1"/>
  <c r="BG458" i="5"/>
  <c r="BL458" i="5" s="1"/>
  <c r="BH458" i="5"/>
  <c r="BM458" i="5" s="1"/>
  <c r="BH181" i="5"/>
  <c r="BM181" i="5" s="1"/>
  <c r="BG181" i="5"/>
  <c r="BL181" i="5" s="1"/>
  <c r="BG198" i="5"/>
  <c r="BL198" i="5" s="1"/>
  <c r="BH198" i="5"/>
  <c r="BM198" i="5" s="1"/>
  <c r="BH89" i="5"/>
  <c r="BM89" i="5" s="1"/>
  <c r="BG89" i="5"/>
  <c r="BL89" i="5" s="1"/>
  <c r="BG177" i="5"/>
  <c r="BL177" i="5" s="1"/>
  <c r="BH177" i="5"/>
  <c r="BM177" i="5" s="1"/>
  <c r="BG427" i="5"/>
  <c r="BL427" i="5" s="1"/>
  <c r="BH427" i="5"/>
  <c r="BM427" i="5" s="1"/>
  <c r="BG539" i="5"/>
  <c r="BL539" i="5" s="1"/>
  <c r="BH539" i="5"/>
  <c r="BM539" i="5" s="1"/>
  <c r="BG450" i="5"/>
  <c r="BL450" i="5" s="1"/>
  <c r="BH450" i="5"/>
  <c r="BM450" i="5" s="1"/>
  <c r="BH120" i="5"/>
  <c r="BM120" i="5" s="1"/>
  <c r="BG120" i="5"/>
  <c r="BL120" i="5" s="1"/>
  <c r="BH488" i="5"/>
  <c r="BM488" i="5" s="1"/>
  <c r="BG488" i="5"/>
  <c r="BL488" i="5" s="1"/>
  <c r="BG234" i="5"/>
  <c r="BL234" i="5" s="1"/>
  <c r="BH234" i="5"/>
  <c r="BM234" i="5" s="1"/>
  <c r="BH558" i="5"/>
  <c r="BM558" i="5" s="1"/>
  <c r="BG558" i="5"/>
  <c r="BL558" i="5" s="1"/>
  <c r="BH238" i="5"/>
  <c r="BM238" i="5" s="1"/>
  <c r="BG238" i="5"/>
  <c r="BL238" i="5" s="1"/>
  <c r="BH461" i="5"/>
  <c r="BM461" i="5" s="1"/>
  <c r="BG461" i="5"/>
  <c r="BL461" i="5" s="1"/>
  <c r="BH190" i="5"/>
  <c r="BM190" i="5" s="1"/>
  <c r="BG190" i="5"/>
  <c r="BL190" i="5" s="1"/>
  <c r="BH118" i="5"/>
  <c r="BM118" i="5" s="1"/>
  <c r="BG118" i="5"/>
  <c r="BL118" i="5" s="1"/>
  <c r="BH397" i="5"/>
  <c r="BM397" i="5" s="1"/>
  <c r="BG397" i="5"/>
  <c r="BL397" i="5" s="1"/>
  <c r="BH22" i="5"/>
  <c r="BM22" i="5" s="1"/>
  <c r="BG22" i="5"/>
  <c r="BL22" i="5" s="1"/>
  <c r="BG269" i="5"/>
  <c r="BL269" i="5" s="1"/>
  <c r="BH269" i="5"/>
  <c r="BM269" i="5" s="1"/>
  <c r="BH320" i="5"/>
  <c r="BM320" i="5" s="1"/>
  <c r="BG320" i="5"/>
  <c r="BL320" i="5" s="1"/>
  <c r="BG132" i="5"/>
  <c r="BL132" i="5" s="1"/>
  <c r="BH132" i="5"/>
  <c r="BM132" i="5" s="1"/>
  <c r="BG214" i="5"/>
  <c r="BL214" i="5" s="1"/>
  <c r="BH214" i="5"/>
  <c r="BM214" i="5" s="1"/>
  <c r="BG125" i="5"/>
  <c r="BL125" i="5" s="1"/>
  <c r="BH125" i="5"/>
  <c r="BM125" i="5" s="1"/>
  <c r="BG377" i="5"/>
  <c r="BL377" i="5" s="1"/>
  <c r="BH377" i="5"/>
  <c r="BM377" i="5" s="1"/>
  <c r="BG419" i="5"/>
  <c r="BL419" i="5" s="1"/>
  <c r="BH419" i="5"/>
  <c r="BM419" i="5" s="1"/>
  <c r="BH540" i="5"/>
  <c r="BM540" i="5" s="1"/>
  <c r="BG540" i="5"/>
  <c r="BL540" i="5" s="1"/>
  <c r="BG357" i="5"/>
  <c r="BL357" i="5" s="1"/>
  <c r="BH357" i="5"/>
  <c r="BM357" i="5" s="1"/>
  <c r="BH294" i="5"/>
  <c r="BM294" i="5" s="1"/>
  <c r="BG294" i="5"/>
  <c r="BL294" i="5" s="1"/>
  <c r="BG337" i="5"/>
  <c r="BL337" i="5" s="1"/>
  <c r="BH337" i="5"/>
  <c r="BM337" i="5" s="1"/>
  <c r="BH441" i="5"/>
  <c r="BM441" i="5" s="1"/>
  <c r="BG441" i="5"/>
  <c r="BL441" i="5" s="1"/>
  <c r="BH537" i="5"/>
  <c r="BM537" i="5" s="1"/>
  <c r="BG537" i="5"/>
  <c r="BL537" i="5" s="1"/>
  <c r="BG369" i="5"/>
  <c r="BL369" i="5" s="1"/>
  <c r="BH369" i="5"/>
  <c r="BM369" i="5" s="1"/>
  <c r="BH560" i="5"/>
  <c r="BM560" i="5" s="1"/>
  <c r="BG560" i="5"/>
  <c r="BL560" i="5" s="1"/>
  <c r="BG518" i="5"/>
  <c r="BL518" i="5" s="1"/>
  <c r="BH518" i="5"/>
  <c r="BM518" i="5" s="1"/>
  <c r="BG249" i="5"/>
  <c r="BL249" i="5" s="1"/>
  <c r="BH249" i="5"/>
  <c r="BM249" i="5" s="1"/>
  <c r="BH494" i="5"/>
  <c r="BM494" i="5" s="1"/>
  <c r="BG494" i="5"/>
  <c r="BL494" i="5" s="1"/>
  <c r="BH239" i="5"/>
  <c r="BM239" i="5" s="1"/>
  <c r="BG239" i="5"/>
  <c r="BL239" i="5" s="1"/>
  <c r="BH398" i="5"/>
  <c r="BM398" i="5" s="1"/>
  <c r="BG398" i="5"/>
  <c r="BL398" i="5" s="1"/>
  <c r="BG340" i="5"/>
  <c r="BL340" i="5" s="1"/>
  <c r="BH340" i="5"/>
  <c r="BM340" i="5" s="1"/>
  <c r="BG365" i="5"/>
  <c r="BL365" i="5" s="1"/>
  <c r="BH365" i="5"/>
  <c r="BM365" i="5" s="1"/>
  <c r="BH263" i="5"/>
  <c r="BM263" i="5" s="1"/>
  <c r="BG263" i="5"/>
  <c r="BL263" i="5" s="1"/>
  <c r="BG285" i="5"/>
  <c r="BL285" i="5" s="1"/>
  <c r="BH285" i="5"/>
  <c r="BM285" i="5" s="1"/>
  <c r="BH476" i="5"/>
  <c r="BM476" i="5" s="1"/>
  <c r="BG476" i="5"/>
  <c r="BL476" i="5" s="1"/>
  <c r="BG307" i="5"/>
  <c r="BL307" i="5" s="1"/>
  <c r="BH307" i="5"/>
  <c r="BM307" i="5" s="1"/>
  <c r="BG435" i="5"/>
  <c r="BL435" i="5" s="1"/>
  <c r="BH435" i="5"/>
  <c r="BM435" i="5" s="1"/>
  <c r="BG171" i="5"/>
  <c r="BL171" i="5" s="1"/>
  <c r="BH171" i="5"/>
  <c r="BM171" i="5" s="1"/>
  <c r="BH557" i="5"/>
  <c r="BM557" i="5" s="1"/>
  <c r="BG557" i="5"/>
  <c r="BL557" i="5" s="1"/>
  <c r="BG420" i="5"/>
  <c r="BL420" i="5" s="1"/>
  <c r="BH420" i="5"/>
  <c r="BM420" i="5" s="1"/>
  <c r="BG425" i="5"/>
  <c r="BL425" i="5" s="1"/>
  <c r="BH425" i="5"/>
  <c r="BM425" i="5" s="1"/>
  <c r="BG220" i="5"/>
  <c r="BL220" i="5" s="1"/>
  <c r="BH220" i="5"/>
  <c r="BM220" i="5" s="1"/>
  <c r="BG41" i="5"/>
  <c r="BL41" i="5" s="1"/>
  <c r="BH41" i="5"/>
  <c r="BM41" i="5" s="1"/>
  <c r="BG556" i="5"/>
  <c r="BL556" i="5" s="1"/>
  <c r="BH556" i="5"/>
  <c r="BM556" i="5" s="1"/>
  <c r="BG284" i="5"/>
  <c r="BL284" i="5" s="1"/>
  <c r="BH284" i="5"/>
  <c r="BM284" i="5" s="1"/>
  <c r="BH63" i="5"/>
  <c r="BM63" i="5" s="1"/>
  <c r="BG63" i="5"/>
  <c r="BL63" i="5" s="1"/>
  <c r="BG366" i="5"/>
  <c r="BL366" i="5" s="1"/>
  <c r="BH366" i="5"/>
  <c r="BM366" i="5" s="1"/>
  <c r="BG327" i="5"/>
  <c r="BL327" i="5" s="1"/>
  <c r="BH327" i="5"/>
  <c r="BM327" i="5" s="1"/>
  <c r="BH72" i="5"/>
  <c r="BM72" i="5" s="1"/>
  <c r="BG72" i="5"/>
  <c r="BL72" i="5" s="1"/>
  <c r="BG160" i="5"/>
  <c r="BL160" i="5" s="1"/>
  <c r="BH160" i="5"/>
  <c r="BM160" i="5" s="1"/>
  <c r="BH524" i="5"/>
  <c r="BM524" i="5" s="1"/>
  <c r="BG524" i="5"/>
  <c r="BL524" i="5" s="1"/>
  <c r="BH135" i="5"/>
  <c r="BM135" i="5" s="1"/>
  <c r="BG135" i="5"/>
  <c r="BL135" i="5" s="1"/>
  <c r="BG312" i="5"/>
  <c r="BL312" i="5" s="1"/>
  <c r="BH312" i="5"/>
  <c r="BM312" i="5" s="1"/>
  <c r="BH102" i="5"/>
  <c r="BM102" i="5" s="1"/>
  <c r="BG102" i="5"/>
  <c r="BL102" i="5" s="1"/>
  <c r="BH467" i="5"/>
  <c r="BM467" i="5" s="1"/>
  <c r="BG467" i="5"/>
  <c r="BL467" i="5" s="1"/>
  <c r="BH464" i="5"/>
  <c r="BM464" i="5" s="1"/>
  <c r="BG464" i="5"/>
  <c r="BL464" i="5" s="1"/>
  <c r="BH387" i="5"/>
  <c r="BM387" i="5" s="1"/>
  <c r="BG387" i="5"/>
  <c r="BL387" i="5" s="1"/>
  <c r="BG116" i="5"/>
  <c r="BL116" i="5" s="1"/>
  <c r="BH116" i="5"/>
  <c r="BM116" i="5" s="1"/>
  <c r="BH528" i="5"/>
  <c r="BM528" i="5" s="1"/>
  <c r="BG528" i="5"/>
  <c r="BL528" i="5" s="1"/>
  <c r="BH300" i="5"/>
  <c r="BM300" i="5" s="1"/>
  <c r="BG300" i="5"/>
  <c r="BL300" i="5" s="1"/>
  <c r="BG42" i="5"/>
  <c r="BL42" i="5" s="1"/>
  <c r="BH42" i="5"/>
  <c r="BM42" i="5" s="1"/>
  <c r="BG242" i="5"/>
  <c r="BL242" i="5" s="1"/>
  <c r="BH242" i="5"/>
  <c r="BM242" i="5" s="1"/>
  <c r="BG447" i="5"/>
  <c r="BL447" i="5" s="1"/>
  <c r="BH447" i="5"/>
  <c r="BM447" i="5" s="1"/>
  <c r="BG35" i="5"/>
  <c r="BL35" i="5" s="1"/>
  <c r="BH35" i="5"/>
  <c r="BM35" i="5" s="1"/>
  <c r="BG188" i="5"/>
  <c r="BL188" i="5" s="1"/>
  <c r="BH188" i="5"/>
  <c r="BM188" i="5" s="1"/>
  <c r="BG219" i="5"/>
  <c r="BL219" i="5" s="1"/>
  <c r="BH219" i="5"/>
  <c r="BM219" i="5" s="1"/>
  <c r="BG54" i="5"/>
  <c r="BL54" i="5" s="1"/>
  <c r="BH54" i="5"/>
  <c r="BM54" i="5" s="1"/>
  <c r="BG481" i="5"/>
  <c r="BL481" i="5" s="1"/>
  <c r="BH481" i="5"/>
  <c r="BM481" i="5" s="1"/>
  <c r="BG538" i="5"/>
  <c r="BL538" i="5" s="1"/>
  <c r="BH538" i="5"/>
  <c r="BM538" i="5" s="1"/>
  <c r="BH370" i="5"/>
  <c r="BM370" i="5" s="1"/>
  <c r="BG370" i="5"/>
  <c r="BL370" i="5" s="1"/>
  <c r="BG144" i="5"/>
  <c r="BL144" i="5" s="1"/>
  <c r="BH144" i="5"/>
  <c r="BM144" i="5" s="1"/>
  <c r="BH413" i="5"/>
  <c r="BM413" i="5" s="1"/>
  <c r="BG413" i="5"/>
  <c r="BL413" i="5" s="1"/>
  <c r="BG456" i="5"/>
  <c r="BL456" i="5" s="1"/>
  <c r="BH456" i="5"/>
  <c r="BM456" i="5" s="1"/>
  <c r="BG48" i="5"/>
  <c r="BL48" i="5" s="1"/>
  <c r="BH48" i="5"/>
  <c r="BM48" i="5" s="1"/>
  <c r="BH493" i="5"/>
  <c r="BM493" i="5" s="1"/>
  <c r="BG493" i="5"/>
  <c r="BL493" i="5" s="1"/>
  <c r="BH388" i="5"/>
  <c r="BM388" i="5" s="1"/>
  <c r="BG388" i="5"/>
  <c r="BL388" i="5" s="1"/>
  <c r="BG295" i="5"/>
  <c r="BL295" i="5" s="1"/>
  <c r="BH295" i="5"/>
  <c r="BM295" i="5" s="1"/>
  <c r="BH253" i="5"/>
  <c r="BM253" i="5" s="1"/>
  <c r="BG253" i="5"/>
  <c r="BL253" i="5" s="1"/>
  <c r="BG544" i="5"/>
  <c r="BL544" i="5" s="1"/>
  <c r="BH544" i="5"/>
  <c r="BM544" i="5" s="1"/>
  <c r="BG210" i="5"/>
  <c r="BL210" i="5" s="1"/>
  <c r="BH210" i="5"/>
  <c r="BM210" i="5" s="1"/>
  <c r="BH232" i="5"/>
  <c r="BM232" i="5" s="1"/>
  <c r="BG232" i="5"/>
  <c r="BL232" i="5" s="1"/>
  <c r="BG318" i="5"/>
  <c r="BL318" i="5" s="1"/>
  <c r="BH318" i="5"/>
  <c r="BM318" i="5" s="1"/>
  <c r="BH516" i="5"/>
  <c r="BM516" i="5" s="1"/>
  <c r="BG516" i="5"/>
  <c r="BL516" i="5" s="1"/>
  <c r="BH20" i="5"/>
  <c r="BM20" i="5" s="1"/>
  <c r="BG20" i="5"/>
  <c r="BL20" i="5" s="1"/>
  <c r="BH182" i="5"/>
  <c r="BM182" i="5" s="1"/>
  <c r="BG182" i="5"/>
  <c r="BL182" i="5" s="1"/>
  <c r="BH470" i="5"/>
  <c r="BM470" i="5" s="1"/>
  <c r="BG470" i="5"/>
  <c r="BL470" i="5" s="1"/>
  <c r="BH383" i="5"/>
  <c r="BM383" i="5" s="1"/>
  <c r="BG383" i="5"/>
  <c r="BL383" i="5" s="1"/>
  <c r="BH479" i="5"/>
  <c r="BM479" i="5" s="1"/>
  <c r="BG479" i="5"/>
  <c r="BL479" i="5" s="1"/>
  <c r="BG297" i="5"/>
  <c r="BL297" i="5" s="1"/>
  <c r="BH297" i="5"/>
  <c r="BM297" i="5" s="1"/>
  <c r="BH103" i="5"/>
  <c r="BM103" i="5" s="1"/>
  <c r="BG103" i="5"/>
  <c r="BL103" i="5" s="1"/>
  <c r="BH361" i="5"/>
  <c r="BM361" i="5" s="1"/>
  <c r="BG361" i="5"/>
  <c r="BL361" i="5" s="1"/>
  <c r="BG52" i="5"/>
  <c r="BL52" i="5" s="1"/>
  <c r="BH52" i="5"/>
  <c r="BM52" i="5" s="1"/>
  <c r="BH436" i="5"/>
  <c r="BM436" i="5" s="1"/>
  <c r="BG436" i="5"/>
  <c r="BL436" i="5" s="1"/>
  <c r="BG197" i="5"/>
  <c r="BL197" i="5" s="1"/>
  <c r="BH197" i="5"/>
  <c r="BM197" i="5" s="1"/>
  <c r="BG101" i="5"/>
  <c r="BL101" i="5" s="1"/>
  <c r="BH101" i="5"/>
  <c r="BM101" i="5" s="1"/>
  <c r="BG496" i="5"/>
  <c r="BL496" i="5" s="1"/>
  <c r="BH496" i="5"/>
  <c r="BM496" i="5" s="1"/>
  <c r="BG159" i="5"/>
  <c r="BL159" i="5" s="1"/>
  <c r="BH159" i="5"/>
  <c r="BM159" i="5" s="1"/>
  <c r="BG339" i="5"/>
  <c r="BL339" i="5" s="1"/>
  <c r="BH339" i="5"/>
  <c r="BM339" i="5" s="1"/>
  <c r="BG328" i="5"/>
  <c r="BL328" i="5" s="1"/>
  <c r="BH328" i="5"/>
  <c r="BM328" i="5" s="1"/>
  <c r="BD11" i="5"/>
  <c r="BE11" i="5"/>
  <c r="BG310" i="5"/>
  <c r="BL310" i="5" s="1"/>
  <c r="BH310" i="5"/>
  <c r="BM310" i="5" s="1"/>
  <c r="BG189" i="5"/>
  <c r="BL189" i="5" s="1"/>
  <c r="BH189" i="5"/>
  <c r="BM189" i="5" s="1"/>
  <c r="BG548" i="5"/>
  <c r="BL548" i="5" s="1"/>
  <c r="BH548" i="5"/>
  <c r="BM548" i="5" s="1"/>
  <c r="BG359" i="5"/>
  <c r="BL359" i="5" s="1"/>
  <c r="BH359" i="5"/>
  <c r="BM359" i="5" s="1"/>
  <c r="BG394" i="5"/>
  <c r="BL394" i="5" s="1"/>
  <c r="BH394" i="5"/>
  <c r="BM394" i="5" s="1"/>
  <c r="BG472" i="5"/>
  <c r="BL472" i="5" s="1"/>
  <c r="BH472" i="5"/>
  <c r="BM472" i="5" s="1"/>
  <c r="BG25" i="5"/>
  <c r="BL25" i="5" s="1"/>
  <c r="BH25" i="5"/>
  <c r="BM25" i="5" s="1"/>
  <c r="BG483" i="5"/>
  <c r="BL483" i="5" s="1"/>
  <c r="BH483" i="5"/>
  <c r="BM483" i="5" s="1"/>
  <c r="BH378" i="5"/>
  <c r="BM378" i="5" s="1"/>
  <c r="BG378" i="5"/>
  <c r="BL378" i="5" s="1"/>
  <c r="BH474" i="5"/>
  <c r="BM474" i="5" s="1"/>
  <c r="BG474" i="5"/>
  <c r="BL474" i="5" s="1"/>
  <c r="BH83" i="5"/>
  <c r="BM83" i="5" s="1"/>
  <c r="BG83" i="5"/>
  <c r="BL83" i="5" s="1"/>
  <c r="BH507" i="5"/>
  <c r="BM507" i="5" s="1"/>
  <c r="BG507" i="5"/>
  <c r="BL507" i="5" s="1"/>
  <c r="BG76" i="5"/>
  <c r="BL76" i="5" s="1"/>
  <c r="BH76" i="5"/>
  <c r="BM76" i="5" s="1"/>
  <c r="BH533" i="5"/>
  <c r="BM533" i="5" s="1"/>
  <c r="BG533" i="5"/>
  <c r="BL533" i="5" s="1"/>
  <c r="BG246" i="5"/>
  <c r="BL246" i="5" s="1"/>
  <c r="BH246" i="5"/>
  <c r="BM246" i="5" s="1"/>
  <c r="BG506" i="5"/>
  <c r="BL506" i="5" s="1"/>
  <c r="BH506" i="5"/>
  <c r="BM506" i="5" s="1"/>
  <c r="BG31" i="5"/>
  <c r="BL31" i="5" s="1"/>
  <c r="BH31" i="5"/>
  <c r="BM31" i="5" s="1"/>
  <c r="BG98" i="5"/>
  <c r="BL98" i="5" s="1"/>
  <c r="BH98" i="5"/>
  <c r="BM98" i="5" s="1"/>
  <c r="BG225" i="5"/>
  <c r="BL225" i="5" s="1"/>
  <c r="BH225" i="5"/>
  <c r="BM225" i="5" s="1"/>
  <c r="BH363" i="5"/>
  <c r="BM363" i="5" s="1"/>
  <c r="BG363" i="5"/>
  <c r="BL363" i="5" s="1"/>
  <c r="BH226" i="5"/>
  <c r="BM226" i="5" s="1"/>
  <c r="BG226" i="5"/>
  <c r="BL226" i="5" s="1"/>
  <c r="BG550" i="5"/>
  <c r="BL550" i="5" s="1"/>
  <c r="BH550" i="5"/>
  <c r="BM550" i="5" s="1"/>
  <c r="BH489" i="5"/>
  <c r="BM489" i="5" s="1"/>
  <c r="BG489" i="5"/>
  <c r="BL489" i="5" s="1"/>
  <c r="BH438" i="5"/>
  <c r="BM438" i="5" s="1"/>
  <c r="BG438" i="5"/>
  <c r="BL438" i="5" s="1"/>
  <c r="BH466" i="5"/>
  <c r="BM466" i="5" s="1"/>
  <c r="BG466" i="5"/>
  <c r="BL466" i="5" s="1"/>
  <c r="AQ11" i="5"/>
  <c r="BI11" i="5"/>
  <c r="AR11" i="5"/>
  <c r="BH527" i="5"/>
  <c r="BM527" i="5" s="1"/>
  <c r="BG527" i="5"/>
  <c r="BL527" i="5" s="1"/>
  <c r="BG302" i="5"/>
  <c r="BL302" i="5" s="1"/>
  <c r="BH302" i="5"/>
  <c r="BM302" i="5" s="1"/>
  <c r="BH78" i="5"/>
  <c r="BM78" i="5" s="1"/>
  <c r="BG78" i="5"/>
  <c r="BL78" i="5" s="1"/>
  <c r="BH82" i="5"/>
  <c r="BM82" i="5" s="1"/>
  <c r="BG82" i="5"/>
  <c r="BL82" i="5" s="1"/>
  <c r="BH353" i="5"/>
  <c r="BM353" i="5" s="1"/>
  <c r="BG353" i="5"/>
  <c r="BL353" i="5" s="1"/>
  <c r="BG209" i="5"/>
  <c r="BL209" i="5" s="1"/>
  <c r="BH209" i="5"/>
  <c r="BM209" i="5" s="1"/>
  <c r="BH19" i="5"/>
  <c r="BM19" i="5" s="1"/>
  <c r="BG19" i="5"/>
  <c r="BL19" i="5" s="1"/>
  <c r="BG374" i="5"/>
  <c r="BL374" i="5" s="1"/>
  <c r="BH374" i="5"/>
  <c r="BM374" i="5" s="1"/>
  <c r="BH105" i="5"/>
  <c r="BM105" i="5" s="1"/>
  <c r="BG105" i="5"/>
  <c r="BL105" i="5" s="1"/>
  <c r="BG303" i="5"/>
  <c r="BL303" i="5" s="1"/>
  <c r="BH303" i="5"/>
  <c r="BM303" i="5" s="1"/>
  <c r="BG47" i="5"/>
  <c r="BL47" i="5" s="1"/>
  <c r="BH47" i="5"/>
  <c r="BM47" i="5" s="1"/>
  <c r="BH322" i="5"/>
  <c r="BM322" i="5" s="1"/>
  <c r="BG322" i="5"/>
  <c r="BL322" i="5" s="1"/>
  <c r="BG258" i="5"/>
  <c r="BL258" i="5" s="1"/>
  <c r="BH258" i="5"/>
  <c r="BM258" i="5" s="1"/>
  <c r="BG270" i="5"/>
  <c r="BL270" i="5" s="1"/>
  <c r="BH270" i="5"/>
  <c r="BM270" i="5" s="1"/>
  <c r="BG176" i="5"/>
  <c r="BL176" i="5" s="1"/>
  <c r="BH176" i="5"/>
  <c r="BM176" i="5" s="1"/>
  <c r="BH508" i="5"/>
  <c r="BM508" i="5" s="1"/>
  <c r="BG508" i="5"/>
  <c r="BL508" i="5" s="1"/>
  <c r="BG414" i="5"/>
  <c r="BL414" i="5" s="1"/>
  <c r="BH414" i="5"/>
  <c r="BM414" i="5" s="1"/>
  <c r="BH230" i="5"/>
  <c r="BM230" i="5" s="1"/>
  <c r="BG230" i="5"/>
  <c r="BL230" i="5" s="1"/>
  <c r="BH509" i="5"/>
  <c r="BM509" i="5" s="1"/>
  <c r="BG509" i="5"/>
  <c r="BL509" i="5" s="1"/>
  <c r="BG292" i="5"/>
  <c r="BL292" i="5" s="1"/>
  <c r="BH292" i="5"/>
  <c r="BM292" i="5" s="1"/>
  <c r="BG446" i="5"/>
  <c r="BL446" i="5" s="1"/>
  <c r="BH446" i="5"/>
  <c r="BM446" i="5" s="1"/>
  <c r="BH422" i="5"/>
  <c r="BM422" i="5" s="1"/>
  <c r="BG422" i="5"/>
  <c r="BL422" i="5" s="1"/>
  <c r="BG43" i="5"/>
  <c r="BL43" i="5" s="1"/>
  <c r="BH43" i="5"/>
  <c r="BM43" i="5" s="1"/>
  <c r="BG91" i="5"/>
  <c r="BL91" i="5" s="1"/>
  <c r="BH91" i="5"/>
  <c r="BM91" i="5" s="1"/>
  <c r="BH37" i="5"/>
  <c r="BM37" i="5" s="1"/>
  <c r="BG37" i="5"/>
  <c r="BL37" i="5" s="1"/>
  <c r="BH248" i="5"/>
  <c r="BM248" i="5" s="1"/>
  <c r="BG248" i="5"/>
  <c r="BL248" i="5" s="1"/>
  <c r="BH529" i="5"/>
  <c r="BM529" i="5" s="1"/>
  <c r="BG529" i="5"/>
  <c r="BL529" i="5" s="1"/>
  <c r="BG354" i="5"/>
  <c r="BL354" i="5" s="1"/>
  <c r="BH354" i="5"/>
  <c r="BM354" i="5" s="1"/>
  <c r="BH255" i="5"/>
  <c r="BM255" i="5" s="1"/>
  <c r="BG255" i="5"/>
  <c r="BL255" i="5" s="1"/>
  <c r="BG121" i="5"/>
  <c r="BL121" i="5" s="1"/>
  <c r="BH121" i="5"/>
  <c r="BM121" i="5" s="1"/>
  <c r="BH124" i="5"/>
  <c r="BM124" i="5" s="1"/>
  <c r="BG124" i="5"/>
  <c r="BL124" i="5" s="1"/>
  <c r="BG402" i="5"/>
  <c r="BL402" i="5" s="1"/>
  <c r="BH402" i="5"/>
  <c r="BM402" i="5" s="1"/>
  <c r="BH324" i="5"/>
  <c r="BM324" i="5" s="1"/>
  <c r="BG324" i="5"/>
  <c r="BL324" i="5" s="1"/>
  <c r="BG283" i="5"/>
  <c r="BL283" i="5" s="1"/>
  <c r="BH283" i="5"/>
  <c r="BM283" i="5" s="1"/>
  <c r="BG251" i="5"/>
  <c r="BL251" i="5" s="1"/>
  <c r="BH251" i="5"/>
  <c r="BM251" i="5" s="1"/>
  <c r="BG291" i="5"/>
  <c r="BL291" i="5" s="1"/>
  <c r="BH291" i="5"/>
  <c r="BM291" i="5" s="1"/>
  <c r="BG343" i="5"/>
  <c r="BL343" i="5" s="1"/>
  <c r="BH343" i="5"/>
  <c r="BM343" i="5" s="1"/>
  <c r="BG65" i="5"/>
  <c r="BL65" i="5" s="1"/>
  <c r="BH65" i="5"/>
  <c r="BM65" i="5" s="1"/>
  <c r="BH331" i="5"/>
  <c r="BM331" i="5" s="1"/>
  <c r="BG331" i="5"/>
  <c r="BL331" i="5" s="1"/>
  <c r="BG316" i="5"/>
  <c r="BL316" i="5" s="1"/>
  <c r="BH316" i="5"/>
  <c r="BM316" i="5" s="1"/>
  <c r="BG522" i="5"/>
  <c r="BL522" i="5" s="1"/>
  <c r="BH522" i="5"/>
  <c r="BM522" i="5" s="1"/>
  <c r="BG70" i="5"/>
  <c r="BL70" i="5" s="1"/>
  <c r="BH70" i="5"/>
  <c r="BM70" i="5" s="1"/>
  <c r="BH12" i="5"/>
  <c r="BM12" i="5" s="1"/>
  <c r="BG12" i="5"/>
  <c r="BL12" i="5" s="1"/>
  <c r="BG186" i="5"/>
  <c r="BL186" i="5" s="1"/>
  <c r="BH186" i="5"/>
  <c r="BM186" i="5" s="1"/>
  <c r="BG66" i="5"/>
  <c r="BL66" i="5" s="1"/>
  <c r="BH66" i="5"/>
  <c r="BM66" i="5" s="1"/>
  <c r="BG325" i="5"/>
  <c r="BL325" i="5" s="1"/>
  <c r="BH325" i="5"/>
  <c r="BM325" i="5" s="1"/>
  <c r="BG268" i="5"/>
  <c r="BL268" i="5" s="1"/>
  <c r="BH268" i="5"/>
  <c r="BM268" i="5" s="1"/>
  <c r="BG217" i="5"/>
  <c r="BL217" i="5" s="1"/>
  <c r="BH217" i="5"/>
  <c r="BM217" i="5" s="1"/>
  <c r="BG430" i="5"/>
  <c r="BL430" i="5" s="1"/>
  <c r="BH430" i="5"/>
  <c r="BM430" i="5" s="1"/>
  <c r="BH410" i="5"/>
  <c r="BM410" i="5" s="1"/>
  <c r="BG410" i="5"/>
  <c r="BL410" i="5" s="1"/>
  <c r="BG534" i="5"/>
  <c r="BL534" i="5" s="1"/>
  <c r="BH534" i="5"/>
  <c r="BM534" i="5" s="1"/>
  <c r="BH202" i="5"/>
  <c r="BM202" i="5" s="1"/>
  <c r="BG202" i="5"/>
  <c r="BL202" i="5" s="1"/>
  <c r="BG498" i="5"/>
  <c r="BL498" i="5" s="1"/>
  <c r="BH498" i="5"/>
  <c r="BM498" i="5" s="1"/>
  <c r="BG40" i="5"/>
  <c r="BL40" i="5" s="1"/>
  <c r="BH40" i="5"/>
  <c r="BM40" i="5" s="1"/>
  <c r="BG109" i="5"/>
  <c r="BL109" i="5" s="1"/>
  <c r="BH109" i="5"/>
  <c r="BM109" i="5" s="1"/>
  <c r="BG504" i="5"/>
  <c r="BL504" i="5" s="1"/>
  <c r="BH504" i="5"/>
  <c r="BM504" i="5" s="1"/>
  <c r="BG256" i="5"/>
  <c r="BL256" i="5" s="1"/>
  <c r="BH256" i="5"/>
  <c r="BM256" i="5" s="1"/>
  <c r="BH172" i="5"/>
  <c r="BM172" i="5" s="1"/>
  <c r="BG172" i="5"/>
  <c r="BL172" i="5" s="1"/>
  <c r="BH348" i="5"/>
  <c r="BM348" i="5" s="1"/>
  <c r="BG348" i="5"/>
  <c r="BL348" i="5" s="1"/>
  <c r="BH218" i="5"/>
  <c r="BM218" i="5" s="1"/>
  <c r="BG218" i="5"/>
  <c r="BL218" i="5" s="1"/>
  <c r="BG392" i="5"/>
  <c r="BL392" i="5" s="1"/>
  <c r="BH392" i="5"/>
  <c r="BM392" i="5" s="1"/>
  <c r="BH250" i="5"/>
  <c r="BM250" i="5" s="1"/>
  <c r="BG250" i="5"/>
  <c r="BL250" i="5" s="1"/>
  <c r="BH321" i="5"/>
  <c r="BM321" i="5" s="1"/>
  <c r="BG321" i="5"/>
  <c r="BL321" i="5" s="1"/>
  <c r="BG168" i="5"/>
  <c r="BL168" i="5" s="1"/>
  <c r="BH168" i="5"/>
  <c r="BM168" i="5" s="1"/>
  <c r="BG477" i="5"/>
  <c r="BL477" i="5" s="1"/>
  <c r="BH477" i="5"/>
  <c r="BM477" i="5" s="1"/>
  <c r="BG231" i="5"/>
  <c r="BL231" i="5" s="1"/>
  <c r="BH231" i="5"/>
  <c r="BM231" i="5" s="1"/>
  <c r="BH482" i="5"/>
  <c r="BM482" i="5" s="1"/>
  <c r="BG482" i="5"/>
  <c r="BL482" i="5" s="1"/>
  <c r="BG429" i="5"/>
  <c r="BL429" i="5" s="1"/>
  <c r="BH429" i="5"/>
  <c r="BM429" i="5" s="1"/>
  <c r="BG254" i="5"/>
  <c r="BL254" i="5" s="1"/>
  <c r="BH254" i="5"/>
  <c r="BM254" i="5" s="1"/>
  <c r="BH92" i="5"/>
  <c r="BM92" i="5" s="1"/>
  <c r="BG92" i="5"/>
  <c r="BL92" i="5" s="1"/>
  <c r="BG228" i="5"/>
  <c r="BL228" i="5" s="1"/>
  <c r="BH228" i="5"/>
  <c r="BM228" i="5" s="1"/>
  <c r="BH173" i="5"/>
  <c r="BM173" i="5" s="1"/>
  <c r="BG173" i="5"/>
  <c r="BL173" i="5" s="1"/>
  <c r="BG288" i="5"/>
  <c r="BL288" i="5" s="1"/>
  <c r="BH288" i="5"/>
  <c r="BM288" i="5" s="1"/>
  <c r="BH128" i="5"/>
  <c r="BM128" i="5" s="1"/>
  <c r="BG128" i="5"/>
  <c r="BL128" i="5" s="1"/>
  <c r="BH207" i="5"/>
  <c r="BM207" i="5" s="1"/>
  <c r="BG207" i="5"/>
  <c r="BL207" i="5" s="1"/>
  <c r="BG279" i="5"/>
  <c r="BL279" i="5" s="1"/>
  <c r="BH279" i="5"/>
  <c r="BM279" i="5" s="1"/>
  <c r="BG437" i="5"/>
  <c r="BL437" i="5" s="1"/>
  <c r="BH437" i="5"/>
  <c r="BM437" i="5" s="1"/>
  <c r="BG334" i="5"/>
  <c r="BL334" i="5" s="1"/>
  <c r="BH334" i="5"/>
  <c r="BM334" i="5" s="1"/>
  <c r="BG552" i="5"/>
  <c r="BL552" i="5" s="1"/>
  <c r="BH552" i="5"/>
  <c r="BM552" i="5" s="1"/>
  <c r="BG104" i="5"/>
  <c r="BL104" i="5" s="1"/>
  <c r="BH104" i="5"/>
  <c r="BM104" i="5" s="1"/>
  <c r="BG531" i="5"/>
  <c r="BL531" i="5" s="1"/>
  <c r="BH531" i="5"/>
  <c r="BM531" i="5" s="1"/>
  <c r="BG38" i="5"/>
  <c r="BL38" i="5" s="1"/>
  <c r="BH38" i="5"/>
  <c r="BM38" i="5" s="1"/>
  <c r="BH97" i="5"/>
  <c r="BM97" i="5" s="1"/>
  <c r="BG97" i="5"/>
  <c r="BL97" i="5" s="1"/>
  <c r="BH96" i="5"/>
  <c r="BM96" i="5" s="1"/>
  <c r="BG96" i="5"/>
  <c r="BL96" i="5" s="1"/>
  <c r="BH26" i="5"/>
  <c r="BM26" i="5" s="1"/>
  <c r="BG26" i="5"/>
  <c r="BL26" i="5" s="1"/>
  <c r="BG183" i="5"/>
  <c r="BL183" i="5" s="1"/>
  <c r="BH183" i="5"/>
  <c r="BM183" i="5" s="1"/>
  <c r="BH559" i="5"/>
  <c r="BM559" i="5" s="1"/>
  <c r="BG559" i="5"/>
  <c r="BL559" i="5" s="1"/>
  <c r="BH39" i="5"/>
  <c r="BM39" i="5" s="1"/>
  <c r="BG39" i="5"/>
  <c r="BL39" i="5" s="1"/>
  <c r="BH517" i="5"/>
  <c r="BM517" i="5" s="1"/>
  <c r="BG517" i="5"/>
  <c r="BL517" i="5" s="1"/>
  <c r="BH99" i="5"/>
  <c r="BM99" i="5" s="1"/>
  <c r="BG99" i="5"/>
  <c r="BL99" i="5" s="1"/>
  <c r="BG525" i="5"/>
  <c r="BL525" i="5" s="1"/>
  <c r="BH525" i="5"/>
  <c r="BM525" i="5" s="1"/>
  <c r="BG59" i="5"/>
  <c r="BL59" i="5" s="1"/>
  <c r="BH59" i="5"/>
  <c r="BM59" i="5" s="1"/>
  <c r="BG169" i="5"/>
  <c r="BL169" i="5" s="1"/>
  <c r="BH169" i="5"/>
  <c r="BM169" i="5" s="1"/>
  <c r="BG146" i="5"/>
  <c r="BL146" i="5" s="1"/>
  <c r="BH146" i="5"/>
  <c r="BM146" i="5" s="1"/>
  <c r="BH274" i="5"/>
  <c r="BM274" i="5" s="1"/>
  <c r="BG274" i="5"/>
  <c r="BL274" i="5" s="1"/>
  <c r="BH523" i="5"/>
  <c r="BM523" i="5" s="1"/>
  <c r="BG523" i="5"/>
  <c r="BL523" i="5" s="1"/>
  <c r="BG229" i="5"/>
  <c r="BL229" i="5" s="1"/>
  <c r="BH229" i="5"/>
  <c r="BM229" i="5" s="1"/>
  <c r="BH495" i="5"/>
  <c r="BM495" i="5" s="1"/>
  <c r="BG495" i="5"/>
  <c r="BL495" i="5" s="1"/>
  <c r="BH329" i="5"/>
  <c r="BM329" i="5" s="1"/>
  <c r="BG329" i="5"/>
  <c r="BL329" i="5" s="1"/>
  <c r="BH554" i="5"/>
  <c r="BM554" i="5" s="1"/>
  <c r="BG554" i="5"/>
  <c r="BL554" i="5" s="1"/>
  <c r="BG75" i="5"/>
  <c r="BL75" i="5" s="1"/>
  <c r="BH75" i="5"/>
  <c r="BM75" i="5" s="1"/>
  <c r="BH546" i="5"/>
  <c r="BM546" i="5" s="1"/>
  <c r="BG546" i="5"/>
  <c r="BL546" i="5" s="1"/>
  <c r="BH484" i="5"/>
  <c r="BM484" i="5" s="1"/>
  <c r="BG484" i="5"/>
  <c r="BL484" i="5" s="1"/>
  <c r="BH174" i="5"/>
  <c r="BM174" i="5" s="1"/>
  <c r="BG174" i="5"/>
  <c r="BL174" i="5" s="1"/>
  <c r="BH471" i="5"/>
  <c r="BM471" i="5" s="1"/>
  <c r="BG471" i="5"/>
  <c r="BL471" i="5" s="1"/>
  <c r="BH199" i="5"/>
  <c r="BM199" i="5" s="1"/>
  <c r="BG199" i="5"/>
  <c r="BL199" i="5" s="1"/>
  <c r="BG433" i="5"/>
  <c r="BL433" i="5" s="1"/>
  <c r="BH433" i="5"/>
  <c r="BM433" i="5" s="1"/>
  <c r="BG333" i="5"/>
  <c r="BL333" i="5" s="1"/>
  <c r="BH333" i="5"/>
  <c r="BM333" i="5" s="1"/>
  <c r="BH95" i="5"/>
  <c r="BM95" i="5" s="1"/>
  <c r="BG95" i="5"/>
  <c r="BL95" i="5" s="1"/>
  <c r="BG51" i="5"/>
  <c r="BL51" i="5" s="1"/>
  <c r="BH51" i="5"/>
  <c r="BM51" i="5" s="1"/>
  <c r="BH161" i="5"/>
  <c r="BM161" i="5" s="1"/>
  <c r="BG161" i="5"/>
  <c r="BL161" i="5" s="1"/>
  <c r="BH240" i="5"/>
  <c r="BM240" i="5" s="1"/>
  <c r="BG240" i="5"/>
  <c r="BL240" i="5" s="1"/>
  <c r="BH492" i="5"/>
  <c r="BM492" i="5" s="1"/>
  <c r="BG492" i="5"/>
  <c r="BL492" i="5" s="1"/>
  <c r="BG403" i="5"/>
  <c r="BL403" i="5" s="1"/>
  <c r="BH403" i="5"/>
  <c r="BM403" i="5" s="1"/>
  <c r="BH475" i="5"/>
  <c r="BM475" i="5" s="1"/>
  <c r="BG475" i="5"/>
  <c r="BL475" i="5" s="1"/>
  <c r="BH213" i="5"/>
  <c r="BM213" i="5" s="1"/>
  <c r="BG213" i="5"/>
  <c r="BL213" i="5" s="1"/>
  <c r="BH49" i="5"/>
  <c r="BM49" i="5" s="1"/>
  <c r="BG49" i="5"/>
  <c r="BL49" i="5" s="1"/>
  <c r="BH281" i="5"/>
  <c r="BM281" i="5" s="1"/>
  <c r="BG281" i="5"/>
  <c r="BL281" i="5" s="1"/>
  <c r="BG382" i="5"/>
  <c r="BL382" i="5" s="1"/>
  <c r="BH382" i="5"/>
  <c r="BM382" i="5" s="1"/>
  <c r="BH257" i="5"/>
  <c r="BM257" i="5" s="1"/>
  <c r="BG257" i="5"/>
  <c r="BL257" i="5" s="1"/>
  <c r="BG390" i="5"/>
  <c r="BL390" i="5" s="1"/>
  <c r="BH390" i="5"/>
  <c r="BM390" i="5" s="1"/>
  <c r="BG463" i="5"/>
  <c r="BL463" i="5" s="1"/>
  <c r="BH463" i="5"/>
  <c r="BM463" i="5" s="1"/>
  <c r="BG379" i="5"/>
  <c r="BL379" i="5" s="1"/>
  <c r="BH379" i="5"/>
  <c r="BM379" i="5" s="1"/>
  <c r="BG276" i="5"/>
  <c r="BL276" i="5" s="1"/>
  <c r="BH276" i="5"/>
  <c r="BM276" i="5" s="1"/>
  <c r="BG13" i="5"/>
  <c r="BL13" i="5" s="1"/>
  <c r="BH13" i="5"/>
  <c r="BM13" i="5" s="1"/>
  <c r="BH442" i="5"/>
  <c r="BM442" i="5" s="1"/>
  <c r="BG442" i="5"/>
  <c r="BL442" i="5" s="1"/>
  <c r="BH149" i="5"/>
  <c r="BM149" i="5" s="1"/>
  <c r="BG149" i="5"/>
  <c r="BL149" i="5" s="1"/>
  <c r="BH34" i="5"/>
  <c r="BM34" i="5" s="1"/>
  <c r="BG34" i="5"/>
  <c r="BL34" i="5" s="1"/>
  <c r="BH129" i="5"/>
  <c r="BM129" i="5" s="1"/>
  <c r="BG129" i="5"/>
  <c r="BL129" i="5" s="1"/>
  <c r="BH386" i="5"/>
  <c r="BM386" i="5" s="1"/>
  <c r="BG386" i="5"/>
  <c r="BL386" i="5" s="1"/>
  <c r="BH404" i="5"/>
  <c r="BM404" i="5" s="1"/>
  <c r="BG404" i="5"/>
  <c r="BL404" i="5" s="1"/>
  <c r="BH192" i="5"/>
  <c r="BM192" i="5" s="1"/>
  <c r="BG192" i="5"/>
  <c r="BL192" i="5" s="1"/>
  <c r="BG196" i="5"/>
  <c r="BL196" i="5" s="1"/>
  <c r="BH196" i="5"/>
  <c r="BM196" i="5" s="1"/>
  <c r="BG536" i="5"/>
  <c r="BL536" i="5" s="1"/>
  <c r="BH536" i="5"/>
  <c r="BM536" i="5" s="1"/>
  <c r="BG305" i="5"/>
  <c r="BL305" i="5" s="1"/>
  <c r="BH305" i="5"/>
  <c r="BM305" i="5" s="1"/>
  <c r="BH223" i="5"/>
  <c r="BM223" i="5" s="1"/>
  <c r="BG223" i="5"/>
  <c r="BL223" i="5" s="1"/>
  <c r="BH33" i="5"/>
  <c r="BM33" i="5" s="1"/>
  <c r="BG33" i="5"/>
  <c r="BL33" i="5" s="1"/>
  <c r="BG87" i="5"/>
  <c r="BL87" i="5" s="1"/>
  <c r="BH87" i="5"/>
  <c r="BM87" i="5" s="1"/>
  <c r="BH341" i="5"/>
  <c r="BM341" i="5" s="1"/>
  <c r="BG341" i="5"/>
  <c r="BL341" i="5" s="1"/>
  <c r="BH133" i="5"/>
  <c r="BM133" i="5" s="1"/>
  <c r="BG133" i="5"/>
  <c r="BL133" i="5" s="1"/>
  <c r="BG356" i="5"/>
  <c r="BL356" i="5" s="1"/>
  <c r="BH356" i="5"/>
  <c r="BM356" i="5" s="1"/>
  <c r="BG371" i="5"/>
  <c r="BL371" i="5" s="1"/>
  <c r="BH371" i="5"/>
  <c r="BM371" i="5" s="1"/>
  <c r="BG460" i="5"/>
  <c r="BL460" i="5" s="1"/>
  <c r="BH460" i="5"/>
  <c r="BM460" i="5" s="1"/>
  <c r="BG395" i="5"/>
  <c r="BL395" i="5" s="1"/>
  <c r="BH395" i="5"/>
  <c r="BM395" i="5" s="1"/>
  <c r="BH407" i="5"/>
  <c r="BM407" i="5" s="1"/>
  <c r="BG407" i="5"/>
  <c r="BL407" i="5" s="1"/>
  <c r="BH505" i="5"/>
  <c r="BM505" i="5" s="1"/>
  <c r="BG505" i="5"/>
  <c r="BL505" i="5" s="1"/>
  <c r="BG393" i="5"/>
  <c r="BL393" i="5" s="1"/>
  <c r="BH393" i="5"/>
  <c r="BM393" i="5" s="1"/>
  <c r="BG352" i="5"/>
  <c r="BL352" i="5" s="1"/>
  <c r="BH352" i="5"/>
  <c r="BM352" i="5" s="1"/>
  <c r="BG282" i="5"/>
  <c r="BL282" i="5" s="1"/>
  <c r="BH282" i="5"/>
  <c r="BM282" i="5" s="1"/>
  <c r="BG145" i="5"/>
  <c r="BL145" i="5" s="1"/>
  <c r="BH145" i="5"/>
  <c r="BM145" i="5" s="1"/>
  <c r="BG126" i="5"/>
  <c r="BL126" i="5" s="1"/>
  <c r="BH126" i="5"/>
  <c r="BM126" i="5" s="1"/>
  <c r="BH85" i="5"/>
  <c r="BM85" i="5" s="1"/>
  <c r="BG85" i="5"/>
  <c r="BL85" i="5" s="1"/>
  <c r="BH311" i="5"/>
  <c r="BM311" i="5" s="1"/>
  <c r="BG311" i="5"/>
  <c r="BL311" i="5" s="1"/>
  <c r="BG58" i="5"/>
  <c r="BL58" i="5" s="1"/>
  <c r="BH58" i="5"/>
  <c r="BM58" i="5" s="1"/>
  <c r="BH423" i="5"/>
  <c r="BM423" i="5" s="1"/>
  <c r="BG423" i="5"/>
  <c r="BL423" i="5" s="1"/>
  <c r="BG71" i="5"/>
  <c r="BL71" i="5" s="1"/>
  <c r="BH71" i="5"/>
  <c r="BM71" i="5" s="1"/>
  <c r="BG553" i="5"/>
  <c r="BL553" i="5" s="1"/>
  <c r="BH553" i="5"/>
  <c r="BM553" i="5" s="1"/>
  <c r="BG221" i="5"/>
  <c r="BL221" i="5" s="1"/>
  <c r="BH221" i="5"/>
  <c r="BM221" i="5" s="1"/>
  <c r="BG278" i="5"/>
  <c r="BL278" i="5" s="1"/>
  <c r="BH278" i="5"/>
  <c r="BM278" i="5" s="1"/>
  <c r="BH376" i="5"/>
  <c r="BM376" i="5" s="1"/>
  <c r="BG376" i="5"/>
  <c r="BL376" i="5" s="1"/>
  <c r="BG499" i="5"/>
  <c r="BL499" i="5" s="1"/>
  <c r="BH499" i="5"/>
  <c r="BM499" i="5" s="1"/>
  <c r="BG408" i="5"/>
  <c r="BL408" i="5" s="1"/>
  <c r="BH408" i="5"/>
  <c r="BM408" i="5" s="1"/>
  <c r="BG373" i="5"/>
  <c r="BL373" i="5" s="1"/>
  <c r="BH373" i="5"/>
  <c r="BM373" i="5" s="1"/>
  <c r="BG119" i="5"/>
  <c r="BL119" i="5" s="1"/>
  <c r="BH119" i="5"/>
  <c r="BM119" i="5" s="1"/>
  <c r="BG272" i="5"/>
  <c r="BL272" i="5" s="1"/>
  <c r="BH272" i="5"/>
  <c r="BM272" i="5" s="1"/>
  <c r="BG64" i="5"/>
  <c r="BL64" i="5" s="1"/>
  <c r="BH64" i="5"/>
  <c r="BM64" i="5" s="1"/>
  <c r="BG180" i="5"/>
  <c r="BL180" i="5" s="1"/>
  <c r="BH180" i="5"/>
  <c r="BM180" i="5" s="1"/>
  <c r="BG179" i="5"/>
  <c r="BL179" i="5" s="1"/>
  <c r="BH179" i="5"/>
  <c r="BM179" i="5" s="1"/>
  <c r="BH216" i="5"/>
  <c r="BM216" i="5" s="1"/>
  <c r="BG216" i="5"/>
  <c r="BL216" i="5" s="1"/>
  <c r="BG23" i="5"/>
  <c r="BL23" i="5" s="1"/>
  <c r="BH23" i="5"/>
  <c r="BM23" i="5" s="1"/>
  <c r="BG267" i="5"/>
  <c r="BL267" i="5" s="1"/>
  <c r="BH267" i="5"/>
  <c r="BM267" i="5" s="1"/>
  <c r="BH449" i="5"/>
  <c r="BM449" i="5" s="1"/>
  <c r="BG449" i="5"/>
  <c r="BL449" i="5" s="1"/>
  <c r="BG457" i="5"/>
  <c r="BL457" i="5" s="1"/>
  <c r="BH457" i="5"/>
  <c r="BM457" i="5" s="1"/>
  <c r="BH162" i="5"/>
  <c r="BM162" i="5" s="1"/>
  <c r="BG162" i="5"/>
  <c r="BL162" i="5" s="1"/>
  <c r="BG473" i="5"/>
  <c r="BL473" i="5" s="1"/>
  <c r="BH473" i="5"/>
  <c r="BM473" i="5" s="1"/>
  <c r="BG421" i="5"/>
  <c r="BL421" i="5" s="1"/>
  <c r="BH421" i="5"/>
  <c r="BM421" i="5" s="1"/>
  <c r="BH415" i="5"/>
  <c r="BM415" i="5" s="1"/>
  <c r="BG415" i="5"/>
  <c r="BL415" i="5" s="1"/>
  <c r="BG280" i="5"/>
  <c r="BL280" i="5" s="1"/>
  <c r="BH280" i="5"/>
  <c r="BM280" i="5" s="1"/>
  <c r="BG490" i="5"/>
  <c r="BL490" i="5" s="1"/>
  <c r="BH490" i="5"/>
  <c r="BM490" i="5" s="1"/>
  <c r="BG480" i="5"/>
  <c r="BL480" i="5" s="1"/>
  <c r="BH480" i="5"/>
  <c r="BM480" i="5" s="1"/>
  <c r="BH156" i="5"/>
  <c r="BM156" i="5" s="1"/>
  <c r="BG156" i="5"/>
  <c r="BL156" i="5" s="1"/>
  <c r="BH289" i="5"/>
  <c r="BM289" i="5" s="1"/>
  <c r="BG289" i="5"/>
  <c r="BL289" i="5" s="1"/>
  <c r="BG551" i="5"/>
  <c r="BL551" i="5" s="1"/>
  <c r="BH551" i="5"/>
  <c r="BM551" i="5" s="1"/>
  <c r="BG309" i="5"/>
  <c r="BL309" i="5" s="1"/>
  <c r="BH309" i="5"/>
  <c r="BM309" i="5" s="1"/>
  <c r="BG10" i="5"/>
  <c r="BL10" i="5" s="1"/>
  <c r="BH10" i="5"/>
  <c r="BM10" i="5" s="1"/>
  <c r="BG259" i="5"/>
  <c r="BL259" i="5" s="1"/>
  <c r="BH259" i="5"/>
  <c r="BM259" i="5" s="1"/>
  <c r="BG396" i="5"/>
  <c r="BL396" i="5" s="1"/>
  <c r="BH396" i="5"/>
  <c r="BM396" i="5" s="1"/>
  <c r="BH296" i="5"/>
  <c r="BM296" i="5" s="1"/>
  <c r="BG296" i="5"/>
  <c r="BL296" i="5" s="1"/>
  <c r="BH55" i="5"/>
  <c r="BM55" i="5" s="1"/>
  <c r="BG55" i="5"/>
  <c r="BL55" i="5" s="1"/>
  <c r="BG194" i="5"/>
  <c r="BL194" i="5" s="1"/>
  <c r="BH194" i="5"/>
  <c r="BM194" i="5" s="1"/>
  <c r="BH543" i="5"/>
  <c r="BM543" i="5" s="1"/>
  <c r="BG543" i="5"/>
  <c r="BL543" i="5" s="1"/>
  <c r="BH332" i="5"/>
  <c r="BM332" i="5" s="1"/>
  <c r="BG332" i="5"/>
  <c r="BL332" i="5" s="1"/>
  <c r="BH406" i="5"/>
  <c r="BM406" i="5" s="1"/>
  <c r="BG406" i="5"/>
  <c r="BL406" i="5" s="1"/>
  <c r="BH286" i="5"/>
  <c r="BM286" i="5" s="1"/>
  <c r="BG286" i="5"/>
  <c r="BL286" i="5" s="1"/>
  <c r="BH448" i="5"/>
  <c r="BM448" i="5" s="1"/>
  <c r="BG448" i="5"/>
  <c r="BL448" i="5" s="1"/>
  <c r="BG344" i="5"/>
  <c r="BL344" i="5" s="1"/>
  <c r="BH344" i="5"/>
  <c r="BM344" i="5" s="1"/>
  <c r="BH439" i="5"/>
  <c r="BM439" i="5" s="1"/>
  <c r="BG439" i="5"/>
  <c r="BL439" i="5" s="1"/>
  <c r="BH158" i="5"/>
  <c r="BM158" i="5" s="1"/>
  <c r="BG158" i="5"/>
  <c r="BL158" i="5" s="1"/>
  <c r="BG184" i="5"/>
  <c r="BL184" i="5" s="1"/>
  <c r="BH184" i="5"/>
  <c r="BM184" i="5" s="1"/>
  <c r="BG298" i="5"/>
  <c r="BL298" i="5" s="1"/>
  <c r="BH298" i="5"/>
  <c r="BM298" i="5" s="1"/>
  <c r="BG56" i="5"/>
  <c r="BL56" i="5" s="1"/>
  <c r="BH56" i="5"/>
  <c r="BM56" i="5" s="1"/>
  <c r="BH514" i="5"/>
  <c r="BM514" i="5" s="1"/>
  <c r="BG514" i="5"/>
  <c r="BL514" i="5" s="1"/>
  <c r="BH299" i="5"/>
  <c r="BM299" i="5" s="1"/>
  <c r="BG299" i="5"/>
  <c r="BL299" i="5" s="1"/>
  <c r="BH167" i="5"/>
  <c r="BM167" i="5" s="1"/>
  <c r="BG167" i="5"/>
  <c r="BL167" i="5" s="1"/>
  <c r="BG235" i="5"/>
  <c r="BL235" i="5" s="1"/>
  <c r="BH235" i="5"/>
  <c r="BM235" i="5" s="1"/>
  <c r="BG317" i="5"/>
  <c r="BL317" i="5" s="1"/>
  <c r="BH317" i="5"/>
  <c r="BM317" i="5" s="1"/>
  <c r="BG342" i="5"/>
  <c r="BL342" i="5" s="1"/>
  <c r="BH342" i="5"/>
  <c r="BM342" i="5" s="1"/>
  <c r="BG252" i="5"/>
  <c r="BL252" i="5" s="1"/>
  <c r="BH252" i="5"/>
  <c r="BM252" i="5" s="1"/>
  <c r="BH526" i="5"/>
  <c r="BM526" i="5" s="1"/>
  <c r="BG526" i="5"/>
  <c r="BL526" i="5" s="1"/>
  <c r="BH112" i="5"/>
  <c r="BM112" i="5" s="1"/>
  <c r="BG112" i="5"/>
  <c r="BL112" i="5" s="1"/>
  <c r="BG185" i="5"/>
  <c r="BL185" i="5" s="1"/>
  <c r="BH185" i="5"/>
  <c r="BM185" i="5" s="1"/>
  <c r="BG245" i="5"/>
  <c r="BL245" i="5" s="1"/>
  <c r="BH245" i="5"/>
  <c r="BM245" i="5" s="1"/>
  <c r="BG8" i="5"/>
  <c r="BL8" i="5" s="1"/>
  <c r="BH8" i="5"/>
  <c r="BM8" i="5" s="1"/>
  <c r="BG94" i="5"/>
  <c r="BL94" i="5" s="1"/>
  <c r="BH94" i="5"/>
  <c r="BM94" i="5" s="1"/>
  <c r="BG351" i="5"/>
  <c r="BL351" i="5" s="1"/>
  <c r="BH351" i="5"/>
  <c r="BM351" i="5" s="1"/>
  <c r="BG452" i="5"/>
  <c r="BL452" i="5" s="1"/>
  <c r="BH452" i="5"/>
  <c r="BM452" i="5" s="1"/>
  <c r="BH432" i="5"/>
  <c r="BM432" i="5" s="1"/>
  <c r="BG432" i="5"/>
  <c r="BL432" i="5" s="1"/>
  <c r="BG287" i="5"/>
  <c r="BL287" i="5" s="1"/>
  <c r="BH287" i="5"/>
  <c r="BM287" i="5" s="1"/>
  <c r="BH21" i="5"/>
  <c r="BM21" i="5" s="1"/>
  <c r="BG21" i="5"/>
  <c r="BL21" i="5" s="1"/>
  <c r="BG541" i="5"/>
  <c r="BL541" i="5" s="1"/>
  <c r="BH541" i="5"/>
  <c r="BM541" i="5" s="1"/>
  <c r="BH345" i="5"/>
  <c r="BM345" i="5" s="1"/>
  <c r="BG345" i="5"/>
  <c r="BL345" i="5" s="1"/>
  <c r="BH157" i="5"/>
  <c r="BM157" i="5" s="1"/>
  <c r="BG157" i="5"/>
  <c r="BL157" i="5" s="1"/>
  <c r="BH205" i="5"/>
  <c r="BM205" i="5" s="1"/>
  <c r="BG205" i="5"/>
  <c r="BL205" i="5" s="1"/>
  <c r="BH510" i="5"/>
  <c r="BM510" i="5" s="1"/>
  <c r="BG510" i="5"/>
  <c r="BL510" i="5" s="1"/>
  <c r="BG358" i="5"/>
  <c r="BL358" i="5" s="1"/>
  <c r="BH358" i="5"/>
  <c r="BM358" i="5" s="1"/>
  <c r="BH142" i="5"/>
  <c r="BM142" i="5" s="1"/>
  <c r="BG142" i="5"/>
  <c r="BL142" i="5" s="1"/>
  <c r="BG140" i="5"/>
  <c r="BL140" i="5" s="1"/>
  <c r="BH140" i="5"/>
  <c r="BM140" i="5" s="1"/>
  <c r="BH409" i="5"/>
  <c r="BM409" i="5" s="1"/>
  <c r="BG409" i="5"/>
  <c r="BL409" i="5" s="1"/>
  <c r="BH27" i="5"/>
  <c r="BM27" i="5" s="1"/>
  <c r="BG27" i="5"/>
  <c r="BL27" i="5" s="1"/>
  <c r="BH520" i="5"/>
  <c r="BM520" i="5" s="1"/>
  <c r="BG520" i="5"/>
  <c r="BL520" i="5" s="1"/>
  <c r="BH136" i="5"/>
  <c r="BM136" i="5" s="1"/>
  <c r="BG136" i="5"/>
  <c r="BL136" i="5" s="1"/>
  <c r="BG532" i="5"/>
  <c r="BL532" i="5" s="1"/>
  <c r="BH532" i="5"/>
  <c r="BM532" i="5" s="1"/>
  <c r="BH412" i="5"/>
  <c r="BM412" i="5" s="1"/>
  <c r="BG412" i="5"/>
  <c r="BL412" i="5" s="1"/>
  <c r="BG417" i="5"/>
  <c r="BL417" i="5" s="1"/>
  <c r="BH417" i="5"/>
  <c r="BM417" i="5" s="1"/>
  <c r="BH349" i="5"/>
  <c r="BM349" i="5" s="1"/>
  <c r="BG349" i="5"/>
  <c r="BL349" i="5" s="1"/>
  <c r="BG195" i="5"/>
  <c r="BL195" i="5" s="1"/>
  <c r="BH195" i="5"/>
  <c r="BM195" i="5" s="1"/>
  <c r="BG164" i="5"/>
  <c r="BL164" i="5" s="1"/>
  <c r="BH164" i="5"/>
  <c r="BM164" i="5" s="1"/>
  <c r="BG110" i="5"/>
  <c r="BL110" i="5" s="1"/>
  <c r="BH110" i="5"/>
  <c r="BM110" i="5" s="1"/>
  <c r="BH137" i="5"/>
  <c r="BM137" i="5" s="1"/>
  <c r="BG137" i="5"/>
  <c r="BL137" i="5" s="1"/>
  <c r="BG469" i="5"/>
  <c r="BL469" i="5" s="1"/>
  <c r="BH469" i="5"/>
  <c r="BM469" i="5" s="1"/>
  <c r="BH275" i="5"/>
  <c r="BM275" i="5" s="1"/>
  <c r="BG275" i="5"/>
  <c r="BL275" i="5" s="1"/>
  <c r="BG545" i="5"/>
  <c r="BL545" i="5" s="1"/>
  <c r="BH545" i="5"/>
  <c r="BM545" i="5" s="1"/>
  <c r="BH486" i="5"/>
  <c r="BM486" i="5" s="1"/>
  <c r="BG486" i="5"/>
  <c r="BL486" i="5" s="1"/>
  <c r="BH203" i="5"/>
  <c r="BM203" i="5" s="1"/>
  <c r="BG203" i="5"/>
  <c r="BL203" i="5" s="1"/>
  <c r="BG191" i="5"/>
  <c r="BL191" i="5" s="1"/>
  <c r="BH191" i="5"/>
  <c r="BM191" i="5" s="1"/>
  <c r="BH93" i="5"/>
  <c r="BM93" i="5" s="1"/>
  <c r="BG93" i="5"/>
  <c r="BL93" i="5" s="1"/>
  <c r="BG236" i="5"/>
  <c r="BL236" i="5" s="1"/>
  <c r="BH236" i="5"/>
  <c r="BM236" i="5" s="1"/>
  <c r="BH212" i="5"/>
  <c r="BM212" i="5" s="1"/>
  <c r="BG212" i="5"/>
  <c r="BL212" i="5" s="1"/>
  <c r="BG227" i="5"/>
  <c r="BL227" i="5" s="1"/>
  <c r="BH227" i="5"/>
  <c r="BM227" i="5" s="1"/>
  <c r="BH114" i="5"/>
  <c r="BM114" i="5" s="1"/>
  <c r="BG114" i="5"/>
  <c r="BL114" i="5" s="1"/>
  <c r="BG511" i="5"/>
  <c r="BL511" i="5" s="1"/>
  <c r="BH511" i="5"/>
  <c r="BM511" i="5" s="1"/>
  <c r="BH204" i="5"/>
  <c r="BM204" i="5" s="1"/>
  <c r="BG204" i="5"/>
  <c r="BL204" i="5" s="1"/>
  <c r="BG555" i="5"/>
  <c r="BL555" i="5" s="1"/>
  <c r="BH555" i="5"/>
  <c r="BM555" i="5" s="1"/>
  <c r="BH61" i="5"/>
  <c r="BM61" i="5" s="1"/>
  <c r="BG61" i="5"/>
  <c r="BL61" i="5" s="1"/>
  <c r="BH465" i="5"/>
  <c r="BM465" i="5" s="1"/>
  <c r="BG465" i="5"/>
  <c r="BL465" i="5" s="1"/>
  <c r="BH90" i="5"/>
  <c r="BM90" i="5" s="1"/>
  <c r="BG90" i="5"/>
  <c r="BL90" i="5" s="1"/>
  <c r="BG9" i="5"/>
  <c r="BL9" i="5" s="1"/>
  <c r="BH9" i="5"/>
  <c r="BM9" i="5" s="1"/>
  <c r="BG375" i="5"/>
  <c r="BL375" i="5" s="1"/>
  <c r="BH375" i="5"/>
  <c r="BM375" i="5" s="1"/>
  <c r="BG338" i="5"/>
  <c r="BL338" i="5" s="1"/>
  <c r="BH338" i="5"/>
  <c r="BM338" i="5" s="1"/>
  <c r="BG80" i="5"/>
  <c r="BL80" i="5" s="1"/>
  <c r="BH80" i="5"/>
  <c r="BM80" i="5" s="1"/>
  <c r="BH380" i="5"/>
  <c r="BM380" i="5" s="1"/>
  <c r="BG380" i="5"/>
  <c r="BL380" i="5" s="1"/>
  <c r="BG113" i="5"/>
  <c r="BL113" i="5" s="1"/>
  <c r="BH113" i="5"/>
  <c r="BM113" i="5" s="1"/>
  <c r="BH62" i="5"/>
  <c r="BM62" i="5" s="1"/>
  <c r="BG62" i="5"/>
  <c r="BL62" i="5" s="1"/>
  <c r="BG405" i="5"/>
  <c r="BL405" i="5" s="1"/>
  <c r="BH405" i="5"/>
  <c r="BM405" i="5" s="1"/>
  <c r="BH46" i="5"/>
  <c r="BM46" i="5" s="1"/>
  <c r="BG46" i="5"/>
  <c r="BL46" i="5" s="1"/>
  <c r="BG304" i="5"/>
  <c r="BL304" i="5" s="1"/>
  <c r="BH304" i="5"/>
  <c r="BM304" i="5" s="1"/>
  <c r="BG355" i="5"/>
  <c r="BL355" i="5" s="1"/>
  <c r="BH355" i="5"/>
  <c r="BM355" i="5" s="1"/>
  <c r="BG215" i="5"/>
  <c r="BL215" i="5" s="1"/>
  <c r="BH215" i="5"/>
  <c r="BM215" i="5" s="1"/>
  <c r="BH347" i="5"/>
  <c r="BM347" i="5" s="1"/>
  <c r="BG347" i="5"/>
  <c r="BL347" i="5" s="1"/>
  <c r="BG154" i="5"/>
  <c r="BL154" i="5" s="1"/>
  <c r="BH154" i="5"/>
  <c r="BM154" i="5" s="1"/>
  <c r="BG389" i="5"/>
  <c r="BL389" i="5" s="1"/>
  <c r="BH389" i="5"/>
  <c r="BM389" i="5" s="1"/>
  <c r="BH335" i="5"/>
  <c r="BM335" i="5" s="1"/>
  <c r="BG335" i="5"/>
  <c r="BL335" i="5" s="1"/>
  <c r="BH399" i="5"/>
  <c r="BM399" i="5" s="1"/>
  <c r="BG399" i="5"/>
  <c r="BL399" i="5" s="1"/>
  <c r="BH74" i="5"/>
  <c r="BM74" i="5" s="1"/>
  <c r="BG74" i="5"/>
  <c r="BL74" i="5" s="1"/>
  <c r="BG153" i="5"/>
  <c r="BL153" i="5" s="1"/>
  <c r="BH153" i="5"/>
  <c r="BM153" i="5" s="1"/>
  <c r="BH193" i="5"/>
  <c r="BM193" i="5" s="1"/>
  <c r="BG193" i="5"/>
  <c r="BL193" i="5" s="1"/>
  <c r="BG57" i="5"/>
  <c r="BL57" i="5" s="1"/>
  <c r="BH57" i="5"/>
  <c r="BM57" i="5" s="1"/>
  <c r="BG264" i="5"/>
  <c r="BL264" i="5" s="1"/>
  <c r="BH264" i="5"/>
  <c r="BM264" i="5" s="1"/>
  <c r="BG314" i="5"/>
  <c r="BL314" i="5" s="1"/>
  <c r="BH314" i="5"/>
  <c r="BM314" i="5" s="1"/>
  <c r="BH453" i="5"/>
  <c r="BM453" i="5" s="1"/>
  <c r="BG453" i="5"/>
  <c r="BL453" i="5" s="1"/>
  <c r="BG424" i="5"/>
  <c r="BL424" i="5" s="1"/>
  <c r="BH424" i="5"/>
  <c r="BM424" i="5" s="1"/>
  <c r="BH187" i="5"/>
  <c r="BM187" i="5" s="1"/>
  <c r="BG187" i="5"/>
  <c r="BL187" i="5" s="1"/>
  <c r="BH501" i="5"/>
  <c r="BM501" i="5" s="1"/>
  <c r="BG501" i="5"/>
  <c r="BL501" i="5" s="1"/>
  <c r="BH247" i="5"/>
  <c r="BM247" i="5" s="1"/>
  <c r="BG247" i="5"/>
  <c r="BL247" i="5" s="1"/>
  <c r="BG201" i="5"/>
  <c r="BL201" i="5" s="1"/>
  <c r="BH201" i="5"/>
  <c r="BM201" i="5" s="1"/>
  <c r="BH178" i="5"/>
  <c r="BM178" i="5" s="1"/>
  <c r="BG178" i="5"/>
  <c r="BL178" i="5" s="1"/>
  <c r="BH79" i="5"/>
  <c r="BM79" i="5" s="1"/>
  <c r="BG79" i="5"/>
  <c r="BL79" i="5" s="1"/>
  <c r="BG36" i="5"/>
  <c r="BL36" i="5" s="1"/>
  <c r="BH36" i="5"/>
  <c r="BM36" i="5" s="1"/>
  <c r="BH362" i="5"/>
  <c r="BM362" i="5" s="1"/>
  <c r="BG362" i="5"/>
  <c r="BL362" i="5" s="1"/>
  <c r="BG445" i="5"/>
  <c r="BL445" i="5" s="1"/>
  <c r="BH445" i="5"/>
  <c r="BM445" i="5" s="1"/>
  <c r="BG326" i="5"/>
  <c r="BL326" i="5" s="1"/>
  <c r="BH326" i="5"/>
  <c r="BM326" i="5" s="1"/>
  <c r="BG455" i="5"/>
  <c r="BL455" i="5" s="1"/>
  <c r="BH455" i="5"/>
  <c r="BM455" i="5" s="1"/>
  <c r="BH111" i="5"/>
  <c r="BM111" i="5" s="1"/>
  <c r="BG111" i="5"/>
  <c r="BL111" i="5" s="1"/>
  <c r="BH273" i="5"/>
  <c r="BM273" i="5" s="1"/>
  <c r="BG273" i="5"/>
  <c r="BL273" i="5" s="1"/>
  <c r="BG165" i="5"/>
  <c r="BL165" i="5" s="1"/>
  <c r="BH165" i="5"/>
  <c r="BM165" i="5" s="1"/>
  <c r="BH148" i="5"/>
  <c r="BM148" i="5" s="1"/>
  <c r="BG148" i="5"/>
  <c r="BL148" i="5" s="1"/>
  <c r="BG175" i="5"/>
  <c r="BL175" i="5" s="1"/>
  <c r="BH175" i="5"/>
  <c r="BM175" i="5" s="1"/>
  <c r="BH416" i="5"/>
  <c r="BM416" i="5" s="1"/>
  <c r="BG416" i="5"/>
  <c r="BL416" i="5" s="1"/>
  <c r="BH319" i="5"/>
  <c r="BM319" i="5" s="1"/>
  <c r="BG319" i="5"/>
  <c r="BL319" i="5" s="1"/>
  <c r="BH462" i="5"/>
  <c r="BM462" i="5" s="1"/>
  <c r="BG462" i="5"/>
  <c r="BL462" i="5" s="1"/>
  <c r="BG468" i="5"/>
  <c r="BL468" i="5" s="1"/>
  <c r="BH468" i="5"/>
  <c r="BM468" i="5" s="1"/>
  <c r="BH315" i="5"/>
  <c r="BM315" i="5" s="1"/>
  <c r="BG315" i="5"/>
  <c r="BL315" i="5" s="1"/>
  <c r="BG367" i="5"/>
  <c r="BL367" i="5" s="1"/>
  <c r="BH367" i="5"/>
  <c r="BM367" i="5" s="1"/>
  <c r="BH138" i="5"/>
  <c r="BM138" i="5" s="1"/>
  <c r="BG138" i="5"/>
  <c r="BL138" i="5" s="1"/>
  <c r="BG266" i="5"/>
  <c r="BL266" i="5" s="1"/>
  <c r="BH266" i="5"/>
  <c r="BM266" i="5" s="1"/>
  <c r="BG535" i="5"/>
  <c r="BL535" i="5" s="1"/>
  <c r="BH535" i="5"/>
  <c r="BM535" i="5" s="1"/>
  <c r="BH277" i="5"/>
  <c r="BM277" i="5" s="1"/>
  <c r="BG277" i="5"/>
  <c r="BL277" i="5" s="1"/>
  <c r="BG542" i="5"/>
  <c r="BL542" i="5" s="1"/>
  <c r="BH542" i="5"/>
  <c r="BM542" i="5" s="1"/>
  <c r="BH28" i="5"/>
  <c r="BM28" i="5" s="1"/>
  <c r="BG28" i="5"/>
  <c r="BL28" i="5" s="1"/>
  <c r="BG454" i="5"/>
  <c r="BL454" i="5" s="1"/>
  <c r="BH454" i="5"/>
  <c r="BM454" i="5" s="1"/>
  <c r="BG336" i="5"/>
  <c r="BL336" i="5" s="1"/>
  <c r="BH336" i="5"/>
  <c r="BM336" i="5" s="1"/>
  <c r="BG152" i="5"/>
  <c r="BL152" i="5" s="1"/>
  <c r="BH152" i="5"/>
  <c r="BM152" i="5" s="1"/>
  <c r="BH143" i="5"/>
  <c r="BM143" i="5" s="1"/>
  <c r="BG143" i="5"/>
  <c r="BL143" i="5" s="1"/>
  <c r="BG497" i="5"/>
  <c r="BL497" i="5" s="1"/>
  <c r="BH497" i="5"/>
  <c r="BM497" i="5" s="1"/>
  <c r="BG130" i="5"/>
  <c r="BL130" i="5" s="1"/>
  <c r="BH130" i="5"/>
  <c r="BM130" i="5" s="1"/>
  <c r="BG100" i="5"/>
  <c r="BL100" i="5" s="1"/>
  <c r="BH100" i="5"/>
  <c r="BM100" i="5" s="1"/>
  <c r="BG68" i="5"/>
  <c r="BL68" i="5" s="1"/>
  <c r="BH68" i="5"/>
  <c r="BM68" i="5" s="1"/>
  <c r="BG271" i="5"/>
  <c r="BL271" i="5" s="1"/>
  <c r="BH271" i="5"/>
  <c r="BM271" i="5" s="1"/>
  <c r="BG487" i="5"/>
  <c r="BL487" i="5" s="1"/>
  <c r="BH487" i="5"/>
  <c r="BM487" i="5" s="1"/>
  <c r="BG381" i="5"/>
  <c r="BL381" i="5" s="1"/>
  <c r="BH381" i="5"/>
  <c r="BM381" i="5" s="1"/>
  <c r="BG29" i="5"/>
  <c r="BL29" i="5" s="1"/>
  <c r="BH29" i="5"/>
  <c r="BM29" i="5" s="1"/>
  <c r="BH32" i="5"/>
  <c r="BM32" i="5" s="1"/>
  <c r="BG32" i="5"/>
  <c r="BL32" i="5" s="1"/>
  <c r="BH293" i="5"/>
  <c r="BM293" i="5" s="1"/>
  <c r="BG293" i="5"/>
  <c r="BL293" i="5" s="1"/>
  <c r="BG73" i="5"/>
  <c r="BL73" i="5" s="1"/>
  <c r="BH73" i="5"/>
  <c r="BM73" i="5" s="1"/>
  <c r="BG515" i="5"/>
  <c r="BL515" i="5" s="1"/>
  <c r="BH515" i="5"/>
  <c r="BM515" i="5" s="1"/>
  <c r="BG485" i="5"/>
  <c r="BL485" i="5" s="1"/>
  <c r="BH485" i="5"/>
  <c r="BM485" i="5" s="1"/>
  <c r="BH81" i="5"/>
  <c r="BM81" i="5" s="1"/>
  <c r="BG81" i="5"/>
  <c r="BL81" i="5" s="1"/>
  <c r="BH330" i="5"/>
  <c r="BM330" i="5" s="1"/>
  <c r="BG330" i="5"/>
  <c r="BL330" i="5" s="1"/>
  <c r="BH147" i="5"/>
  <c r="BM147" i="5" s="1"/>
  <c r="BG147" i="5"/>
  <c r="BL147" i="5" s="1"/>
  <c r="BG400" i="5"/>
  <c r="BL400" i="5" s="1"/>
  <c r="BH400" i="5"/>
  <c r="BM400" i="5" s="1"/>
  <c r="BG502" i="5"/>
  <c r="BL502" i="5" s="1"/>
  <c r="BH502" i="5"/>
  <c r="BM502" i="5" s="1"/>
  <c r="BH107" i="5"/>
  <c r="BM107" i="5" s="1"/>
  <c r="BG107" i="5"/>
  <c r="BL107" i="5" s="1"/>
  <c r="BH360" i="5"/>
  <c r="BM360" i="5" s="1"/>
  <c r="BG360" i="5"/>
  <c r="BL360" i="5" s="1"/>
  <c r="BH521" i="5"/>
  <c r="BM521" i="5" s="1"/>
  <c r="BG521" i="5"/>
  <c r="BL521" i="5" s="1"/>
  <c r="BH115" i="5"/>
  <c r="BM115" i="5" s="1"/>
  <c r="BG115" i="5"/>
  <c r="BL115" i="5" s="1"/>
  <c r="BG77" i="5"/>
  <c r="BL77" i="5" s="1"/>
  <c r="BH77" i="5"/>
  <c r="BM77" i="5" s="1"/>
  <c r="BG364" i="5"/>
  <c r="BL364" i="5" s="1"/>
  <c r="BH364" i="5"/>
  <c r="BM364" i="5" s="1"/>
  <c r="BG60" i="5"/>
  <c r="BL60" i="5" s="1"/>
  <c r="BH60" i="5"/>
  <c r="BM60" i="5" s="1"/>
  <c r="BG200" i="5"/>
  <c r="BL200" i="5" s="1"/>
  <c r="BH200" i="5"/>
  <c r="BM200" i="5" s="1"/>
  <c r="BG163" i="5"/>
  <c r="BL163" i="5" s="1"/>
  <c r="BH163" i="5"/>
  <c r="BM163" i="5" s="1"/>
  <c r="BG491" i="5"/>
  <c r="BL491" i="5" s="1"/>
  <c r="BH491" i="5"/>
  <c r="BM491" i="5" s="1"/>
  <c r="BH426" i="5"/>
  <c r="BM426" i="5" s="1"/>
  <c r="BG426" i="5"/>
  <c r="BL426" i="5" s="1"/>
  <c r="BH290" i="5"/>
  <c r="BM290" i="5" s="1"/>
  <c r="BG290" i="5"/>
  <c r="BL290" i="5" s="1"/>
  <c r="BG243" i="5"/>
  <c r="BL243" i="5" s="1"/>
  <c r="BH243" i="5"/>
  <c r="BM243" i="5" s="1"/>
  <c r="BH88" i="5"/>
  <c r="BM88" i="5" s="1"/>
  <c r="BG88" i="5"/>
  <c r="BL88" i="5" s="1"/>
  <c r="BH431" i="5"/>
  <c r="BM431" i="5" s="1"/>
  <c r="BG431" i="5"/>
  <c r="BL431" i="5" s="1"/>
  <c r="BG44" i="5"/>
  <c r="BL44" i="5" s="1"/>
  <c r="BH44" i="5"/>
  <c r="BM44" i="5" s="1"/>
  <c r="BH117" i="5"/>
  <c r="BM117" i="5" s="1"/>
  <c r="BG117" i="5"/>
  <c r="BL117" i="5" s="1"/>
  <c r="BG428" i="5"/>
  <c r="BL428" i="5" s="1"/>
  <c r="BH428" i="5"/>
  <c r="BM428" i="5" s="1"/>
  <c r="BG547" i="5"/>
  <c r="BL547" i="5" s="1"/>
  <c r="BH547" i="5"/>
  <c r="BM547" i="5" s="1"/>
  <c r="BH53" i="5"/>
  <c r="BM53" i="5" s="1"/>
  <c r="BG53" i="5"/>
  <c r="BL53" i="5" s="1"/>
  <c r="BG512" i="5"/>
  <c r="BL512" i="5" s="1"/>
  <c r="BH512" i="5"/>
  <c r="BM512" i="5" s="1"/>
  <c r="BF11" i="5"/>
  <c r="BG150" i="5"/>
  <c r="BL150" i="5" s="1"/>
  <c r="BH150" i="5"/>
  <c r="BM150" i="5" s="1"/>
  <c r="BG549" i="5"/>
  <c r="BL549" i="5" s="1"/>
  <c r="BH549" i="5"/>
  <c r="BM549" i="5" s="1"/>
  <c r="BH372" i="5"/>
  <c r="BM372" i="5" s="1"/>
  <c r="BG372" i="5"/>
  <c r="BL372" i="5" s="1"/>
  <c r="BH503" i="5"/>
  <c r="BM503" i="5" s="1"/>
  <c r="BG503" i="5"/>
  <c r="BL503" i="5" s="1"/>
  <c r="BG106" i="5"/>
  <c r="BL106" i="5" s="1"/>
  <c r="BH106" i="5"/>
  <c r="BM106" i="5" s="1"/>
  <c r="BG308" i="5"/>
  <c r="BL308" i="5" s="1"/>
  <c r="BH308" i="5"/>
  <c r="BM308" i="5" s="1"/>
  <c r="BG208" i="5"/>
  <c r="BL208" i="5" s="1"/>
  <c r="BH208" i="5"/>
  <c r="BM208" i="5" s="1"/>
  <c r="BG139" i="5"/>
  <c r="BL139" i="5" s="1"/>
  <c r="BH139" i="5"/>
  <c r="BM139" i="5" s="1"/>
  <c r="BG519" i="5"/>
  <c r="BL519" i="5" s="1"/>
  <c r="BH519" i="5"/>
  <c r="BM519" i="5" s="1"/>
  <c r="BG122" i="5"/>
  <c r="BL122" i="5" s="1"/>
  <c r="BH122" i="5"/>
  <c r="BM122" i="5" s="1"/>
  <c r="BG134" i="5"/>
  <c r="BL134" i="5" s="1"/>
  <c r="BH134" i="5"/>
  <c r="BM134" i="5" s="1"/>
  <c r="BH513" i="5"/>
  <c r="BM513" i="5" s="1"/>
  <c r="BG513" i="5"/>
  <c r="BL513" i="5" s="1"/>
  <c r="BG265" i="5"/>
  <c r="BL265" i="5" s="1"/>
  <c r="BH265" i="5"/>
  <c r="BM265" i="5" s="1"/>
  <c r="BH45" i="5"/>
  <c r="BM45" i="5" s="1"/>
  <c r="BG45" i="5"/>
  <c r="BL45" i="5" s="1"/>
  <c r="BG141" i="5"/>
  <c r="BL141" i="5" s="1"/>
  <c r="BH141" i="5"/>
  <c r="BM141" i="5" s="1"/>
  <c r="BH260" i="5"/>
  <c r="BM260" i="5" s="1"/>
  <c r="BG260" i="5"/>
  <c r="BL260" i="5" s="1"/>
  <c r="BH459" i="5"/>
  <c r="BM459" i="5" s="1"/>
  <c r="BG459" i="5"/>
  <c r="BL459" i="5" s="1"/>
  <c r="BG50" i="5"/>
  <c r="BL50" i="5" s="1"/>
  <c r="BH50" i="5"/>
  <c r="BM50" i="5" s="1"/>
  <c r="BG261" i="5"/>
  <c r="BL261" i="5" s="1"/>
  <c r="BH261" i="5"/>
  <c r="BM261" i="5" s="1"/>
  <c r="BH206" i="5"/>
  <c r="BM206" i="5" s="1"/>
  <c r="BG206" i="5"/>
  <c r="BL206" i="5" s="1"/>
  <c r="BH368" i="5"/>
  <c r="BM368" i="5" s="1"/>
  <c r="BG368" i="5"/>
  <c r="BL368" i="5" s="1"/>
  <c r="BH478" i="5"/>
  <c r="BM478" i="5" s="1"/>
  <c r="BG478" i="5"/>
  <c r="BL478" i="5" s="1"/>
  <c r="BH385" i="5"/>
  <c r="BM385" i="5" s="1"/>
  <c r="BG385" i="5"/>
  <c r="BL385" i="5" s="1"/>
  <c r="BG391" i="5"/>
  <c r="BL391" i="5" s="1"/>
  <c r="BH391" i="5"/>
  <c r="BM391" i="5" s="1"/>
  <c r="BG384" i="5"/>
  <c r="BL384" i="5" s="1"/>
  <c r="BH384" i="5"/>
  <c r="BM384" i="5" s="1"/>
  <c r="BG69" i="5"/>
  <c r="BL69" i="5" s="1"/>
  <c r="BH69" i="5"/>
  <c r="BM69" i="5" s="1"/>
  <c r="AU74" i="4" l="1"/>
  <c r="AW74" i="4" s="1"/>
  <c r="AU69" i="4"/>
  <c r="AW69" i="4" s="1"/>
  <c r="AU54" i="4"/>
  <c r="AW54" i="4" s="1"/>
  <c r="AQ108" i="4"/>
  <c r="AC108" i="4"/>
  <c r="AD108" i="4" s="1"/>
  <c r="AU75" i="4"/>
  <c r="AW75" i="4" s="1"/>
  <c r="AU107" i="4"/>
  <c r="AW107" i="4" s="1"/>
  <c r="AU108" i="4"/>
  <c r="AW108" i="4" s="1"/>
  <c r="AU76" i="4"/>
  <c r="AW76" i="4" s="1"/>
  <c r="AU61" i="4"/>
  <c r="AW61" i="4" s="1"/>
  <c r="AU78" i="4"/>
  <c r="AW78" i="4" s="1"/>
  <c r="AU43" i="4"/>
  <c r="AW43" i="4" s="1"/>
  <c r="AU71" i="4"/>
  <c r="AW71" i="4" s="1"/>
  <c r="AC77" i="4"/>
  <c r="AD77" i="4" s="1"/>
  <c r="AQ77" i="4"/>
  <c r="AP77" i="4"/>
  <c r="AQ102" i="4"/>
  <c r="AC102" i="4"/>
  <c r="AD102" i="4" s="1"/>
  <c r="AP102" i="4"/>
  <c r="AP101" i="4"/>
  <c r="AQ101" i="4"/>
  <c r="AC101" i="4"/>
  <c r="AD101" i="4" s="1"/>
  <c r="AP81" i="4"/>
  <c r="AQ81" i="4"/>
  <c r="AC81" i="4"/>
  <c r="AD81" i="4" s="1"/>
  <c r="AQ95" i="4"/>
  <c r="AP95" i="4"/>
  <c r="AC95" i="4"/>
  <c r="AD95" i="4" s="1"/>
  <c r="AC67" i="4"/>
  <c r="AD67" i="4" s="1"/>
  <c r="AP67" i="4"/>
  <c r="AQ67" i="4"/>
  <c r="AQ59" i="4"/>
  <c r="AC59" i="4"/>
  <c r="AD59" i="4" s="1"/>
  <c r="AP59" i="4"/>
  <c r="AQ63" i="4"/>
  <c r="AC63" i="4"/>
  <c r="AD63" i="4" s="1"/>
  <c r="AP63" i="4"/>
  <c r="AQ66" i="4"/>
  <c r="AC66" i="4"/>
  <c r="AD66" i="4" s="1"/>
  <c r="AP66" i="4"/>
  <c r="AC106" i="4"/>
  <c r="AD106" i="4" s="1"/>
  <c r="AP106" i="4"/>
  <c r="AQ106" i="4"/>
  <c r="AQ113" i="4"/>
  <c r="AP113" i="4"/>
  <c r="AC113" i="4"/>
  <c r="AD113" i="4" s="1"/>
  <c r="AQ60" i="4"/>
  <c r="AC60" i="4"/>
  <c r="AD60" i="4" s="1"/>
  <c r="AP60" i="4"/>
  <c r="AC90" i="4"/>
  <c r="AD90" i="4" s="1"/>
  <c r="AQ90" i="4"/>
  <c r="AP90" i="4"/>
  <c r="AQ82" i="4"/>
  <c r="AP82" i="4"/>
  <c r="AC82" i="4"/>
  <c r="AD82" i="4" s="1"/>
  <c r="AP97" i="4"/>
  <c r="AQ97" i="4"/>
  <c r="AC97" i="4"/>
  <c r="AD97" i="4" s="1"/>
  <c r="AU94" i="4"/>
  <c r="AW94" i="4" s="1"/>
  <c r="AC85" i="4"/>
  <c r="AD85" i="4" s="1"/>
  <c r="AQ85" i="4"/>
  <c r="AP85" i="4"/>
  <c r="AC112" i="4"/>
  <c r="AD112" i="4" s="1"/>
  <c r="AP112" i="4"/>
  <c r="AQ112" i="4"/>
  <c r="AP62" i="4"/>
  <c r="AC62" i="4"/>
  <c r="AD62" i="4" s="1"/>
  <c r="AQ62" i="4"/>
  <c r="AQ93" i="4"/>
  <c r="AC93" i="4"/>
  <c r="AD93" i="4" s="1"/>
  <c r="AP93" i="4"/>
  <c r="AQ65" i="4"/>
  <c r="AP65" i="4"/>
  <c r="AC65" i="4"/>
  <c r="AD65" i="4" s="1"/>
  <c r="AP111" i="4"/>
  <c r="AC111" i="4"/>
  <c r="AD111" i="4" s="1"/>
  <c r="AQ111" i="4"/>
  <c r="AQ89" i="4"/>
  <c r="AC89" i="4"/>
  <c r="AD89" i="4" s="1"/>
  <c r="AP89" i="4"/>
  <c r="AP79" i="4"/>
  <c r="AC79" i="4"/>
  <c r="AD79" i="4" s="1"/>
  <c r="AQ79" i="4"/>
  <c r="AQ110" i="4"/>
  <c r="AP110" i="4"/>
  <c r="AC110" i="4"/>
  <c r="AD110" i="4" s="1"/>
  <c r="AP98" i="4"/>
  <c r="AC98" i="4"/>
  <c r="AD98" i="4" s="1"/>
  <c r="AQ98" i="4"/>
  <c r="AU36" i="4"/>
  <c r="AW36" i="4" s="1"/>
  <c r="AU52" i="4"/>
  <c r="AW52" i="4" s="1"/>
  <c r="AU41" i="4"/>
  <c r="AW41" i="4" s="1"/>
  <c r="AU42" i="4"/>
  <c r="AW42" i="4" s="1"/>
  <c r="AU58" i="4"/>
  <c r="AW58" i="4" s="1"/>
  <c r="AU48" i="4"/>
  <c r="AW48" i="4" s="1"/>
  <c r="AQ57" i="4"/>
  <c r="AC57" i="4"/>
  <c r="AD57" i="4" s="1"/>
  <c r="AP57" i="4"/>
  <c r="AU34" i="4"/>
  <c r="AW34" i="4" s="1"/>
  <c r="AU33" i="4"/>
  <c r="AW33" i="4" s="1"/>
  <c r="BK11" i="5"/>
  <c r="BJ11" i="5"/>
  <c r="BG11" i="5"/>
  <c r="BL11" i="5" s="1"/>
  <c r="BH11" i="5"/>
  <c r="BM11" i="5" s="1"/>
  <c r="AU77" i="4" l="1"/>
  <c r="AW77" i="4" s="1"/>
  <c r="AU59" i="4"/>
  <c r="AW59" i="4" s="1"/>
  <c r="AU102" i="4"/>
  <c r="AW102" i="4" s="1"/>
  <c r="AU85" i="4"/>
  <c r="AW85" i="4" s="1"/>
  <c r="AU60" i="4"/>
  <c r="AW60" i="4" s="1"/>
  <c r="AU101" i="4"/>
  <c r="AW101" i="4" s="1"/>
  <c r="AU63" i="4"/>
  <c r="AW63" i="4" s="1"/>
  <c r="AU89" i="4"/>
  <c r="AW89" i="4" s="1"/>
  <c r="AU66" i="4"/>
  <c r="AW66" i="4" s="1"/>
  <c r="AU97" i="4"/>
  <c r="AW97" i="4" s="1"/>
  <c r="AU93" i="4"/>
  <c r="AW93" i="4" s="1"/>
  <c r="AU112" i="4"/>
  <c r="AW112" i="4" s="1"/>
  <c r="AU65" i="4"/>
  <c r="AW65" i="4" s="1"/>
  <c r="AU67" i="4"/>
  <c r="AW67" i="4" s="1"/>
  <c r="AU57" i="4"/>
  <c r="AW57" i="4" s="1"/>
  <c r="AU81" i="4"/>
  <c r="AW81" i="4" s="1"/>
  <c r="AU106" i="4"/>
  <c r="AW106" i="4" s="1"/>
  <c r="AU95" i="4"/>
  <c r="AW95" i="4" s="1"/>
  <c r="AU82" i="4"/>
  <c r="AW82" i="4" s="1"/>
  <c r="AU90" i="4"/>
  <c r="AW90" i="4" s="1"/>
  <c r="AU98" i="4"/>
  <c r="AW98" i="4" s="1"/>
  <c r="AU110" i="4"/>
  <c r="AW110" i="4" s="1"/>
  <c r="AU79" i="4"/>
  <c r="AW79" i="4" s="1"/>
  <c r="AU62" i="4"/>
  <c r="AW62" i="4" s="1"/>
  <c r="AU111" i="4"/>
  <c r="AW111" i="4" s="1"/>
  <c r="AU113" i="4"/>
  <c r="AW11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A3" authorId="0" shapeId="0" xr:uid="{00000000-0006-0000-0000-000001000000}">
      <text>
        <r>
          <rPr>
            <b/>
            <sz val="11"/>
            <color indexed="10"/>
            <rFont val="Tahoma"/>
            <family val="2"/>
          </rPr>
          <t>Welcome to the LM5127 Design Tool</t>
        </r>
        <r>
          <rPr>
            <sz val="9"/>
            <color indexed="81"/>
            <rFont val="Tahoma"/>
            <family val="2"/>
          </rPr>
          <t xml:space="preserve">
This stand-alone tool facilitates and assists the power supply engineer with design of a DC-DC boost converter based on the LM5127 boost controller. As such, the user can expeditiously arrive at an optimized design by virtue of the following:
- Select components
- Optimize compensation values and pole/zero placement in terms of control loop stability using crossover frquency as a performance metric
- Inspect regulator efficiency and component power dissipation
- Analyze efficiency based on selected MOSFET, inductor and diode parameters
IMPORTANT: You must enable macros if Microsoft Excel asks as the file is being opened. U.S. English notation is used throughout. Make sure to input or select values in all of the yellow shaded cells even if a value already exists in that cell. Do not over write equations in cells, as this may result in calculation errors.
</t>
        </r>
      </text>
    </comment>
    <comment ref="O3" authorId="0" shapeId="0" xr:uid="{00000000-0006-0000-0000-000002000000}">
      <text>
        <r>
          <rPr>
            <sz val="9"/>
            <color indexed="81"/>
            <rFont val="Tahoma"/>
            <family val="2"/>
          </rPr>
          <t xml:space="preserve">
</t>
        </r>
        <r>
          <rPr>
            <sz val="12"/>
            <color indexed="10"/>
            <rFont val="Tahoma"/>
            <family val="2"/>
          </rPr>
          <t>Texas Instruments:</t>
        </r>
        <r>
          <rPr>
            <sz val="9"/>
            <color indexed="81"/>
            <rFont val="Tahoma"/>
            <family val="2"/>
          </rPr>
          <t xml:space="preserve">
Limited Use Policy
You must treat this software and documentation like any other copyrighted material.
You may not: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The most recent version of this excel file can be found in the product folder of the part at TI.com. To activate all functions, Macro should be enabled and 'Analysis Toolpak' should be added in. 
</t>
        </r>
      </text>
    </comment>
    <comment ref="H12" authorId="0" shapeId="0" xr:uid="{00000000-0006-0000-0000-000003000000}">
      <text>
        <r>
          <rPr>
            <b/>
            <sz val="9"/>
            <color indexed="81"/>
            <rFont val="Tahoma"/>
            <family val="2"/>
          </rPr>
          <t xml:space="preserve">Light Load Switching Mode Selection:
</t>
        </r>
        <r>
          <rPr>
            <sz val="9"/>
            <color indexed="81"/>
            <rFont val="Tahoma"/>
            <family val="2"/>
          </rPr>
          <t>FPWM --&gt; MODE pin connected to VCC.
SKIP --&gt; MODE pin floating.
DEM --&gt; MODE pin connect to GND.
See the datasheet for more details on each mode.</t>
        </r>
      </text>
    </comment>
    <comment ref="H20" authorId="0" shapeId="0" xr:uid="{00000000-0006-0000-0000-000004000000}">
      <text>
        <r>
          <rPr>
            <b/>
            <sz val="9"/>
            <color indexed="81"/>
            <rFont val="Tahoma"/>
            <family val="2"/>
          </rPr>
          <t xml:space="preserve">If this cell shows:
CCM: </t>
        </r>
        <r>
          <rPr>
            <sz val="9"/>
            <color indexed="81"/>
            <rFont val="Tahoma"/>
            <family val="2"/>
          </rPr>
          <t>The step up ratio from the minimum supply voltage to the load voltage can be achieved without exceeding the maximum duty cycle. Continous conduction mode is possilbe at the minimum supply voltage.</t>
        </r>
        <r>
          <rPr>
            <b/>
            <sz val="9"/>
            <color indexed="81"/>
            <rFont val="Tahoma"/>
            <family val="2"/>
          </rPr>
          <t xml:space="preserve">
DCM: </t>
        </r>
        <r>
          <rPr>
            <sz val="9"/>
            <color indexed="81"/>
            <rFont val="Tahoma"/>
            <family val="2"/>
          </rPr>
          <t>Discontinous conduction mode at the minimum supply voltage must be used as the duty cycle exceeds the maximum of the IC. This will result in higher peak inductor currents and lower efficiency. If this occurs, it is possible to decrease the switching frequency to increase the maximum duty cycle.</t>
        </r>
      </text>
    </comment>
    <comment ref="H57" authorId="0" shapeId="0" xr:uid="{00000000-0006-0000-0000-000005000000}">
      <text>
        <r>
          <rPr>
            <b/>
            <sz val="9"/>
            <color indexed="81"/>
            <rFont val="Tahoma"/>
            <family val="2"/>
          </rPr>
          <t xml:space="preserve">TRK Pin Voltage:
</t>
        </r>
        <r>
          <rPr>
            <sz val="9"/>
            <color indexed="81"/>
            <rFont val="Tahoma"/>
            <family val="2"/>
          </rPr>
          <t xml:space="preserve">
This is the voltage seen at the TRK pin when regulation to the load voltage. The TRK pin can be driven from an external voltage source or it can be supplied through a resistor divider from the REF pin. 
</t>
        </r>
      </text>
    </comment>
    <comment ref="H60" authorId="0" shapeId="0" xr:uid="{00000000-0006-0000-0000-000006000000}">
      <text>
        <r>
          <rPr>
            <b/>
            <sz val="9"/>
            <color indexed="81"/>
            <rFont val="Tahoma"/>
            <family val="2"/>
          </rPr>
          <t xml:space="preserve">RVREFT selection
</t>
        </r>
        <r>
          <rPr>
            <sz val="9"/>
            <color indexed="81"/>
            <rFont val="Tahoma"/>
            <family val="2"/>
          </rPr>
          <t xml:space="preserve">Select the a resistor value between RVREFT_min and VREFT_max. This will set the LM5123 to be in the correct output voltage range for the application.
</t>
        </r>
      </text>
    </comment>
    <comment ref="H62" authorId="0" shapeId="0" xr:uid="{00000000-0006-0000-0000-000007000000}">
      <text>
        <r>
          <rPr>
            <b/>
            <sz val="9"/>
            <color indexed="81"/>
            <rFont val="Tahoma"/>
            <family val="2"/>
          </rPr>
          <t xml:space="preserve">RVREFB Selection
</t>
        </r>
        <r>
          <rPr>
            <sz val="9"/>
            <color indexed="81"/>
            <rFont val="Tahoma"/>
            <family val="2"/>
          </rPr>
          <t xml:space="preserve">This value should be the same value as the VREFB_calc value. This sets the load voltage of the boost controler 
</t>
        </r>
      </text>
    </comment>
    <comment ref="H65" authorId="0" shapeId="0" xr:uid="{00000000-0006-0000-0000-000008000000}">
      <text>
        <r>
          <rPr>
            <b/>
            <sz val="9"/>
            <color indexed="81"/>
            <rFont val="Tahoma"/>
            <family val="2"/>
          </rPr>
          <t>Control Loop Bandwidth</t>
        </r>
        <r>
          <rPr>
            <sz val="9"/>
            <color indexed="81"/>
            <rFont val="Tahoma"/>
            <family val="2"/>
          </rPr>
          <t xml:space="preserve">
This sets the bandwidth of the control loop. In a boost controler the RHP zero of the plant transfer function limits the maximum value of the control loop bandwidth. It is recommended to not exceed 1/5th the RHP zero frequency. The FCO_calc value calculates the 1/5th the RHP zero frequency. It is recommend to not exceed the FCO_calc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K93" authorId="0" shapeId="0" xr:uid="{00000000-0006-0000-0100-000001000000}">
      <text>
        <r>
          <rPr>
            <b/>
            <sz val="9"/>
            <color indexed="81"/>
            <rFont val="Tahoma"/>
            <family val="2"/>
          </rPr>
          <t xml:space="preserve">Slope Compensation flag. If this flag is tripped there is not enough slope compensation. Double check the calculated values. 
</t>
        </r>
        <r>
          <rPr>
            <sz val="9"/>
            <color indexed="81"/>
            <rFont val="Tahoma"/>
            <family val="2"/>
          </rPr>
          <t xml:space="preserve">
</t>
        </r>
      </text>
    </comment>
    <comment ref="K94" authorId="0" shapeId="0" xr:uid="{00000000-0006-0000-0100-000002000000}">
      <text>
        <r>
          <rPr>
            <sz val="9"/>
            <color indexed="81"/>
            <rFont val="Tahoma"/>
            <family val="2"/>
          </rPr>
          <t xml:space="preserve">Tripped if the current sense resistor results in a lower current limit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V6" authorId="0" shapeId="0" xr:uid="{00000000-0006-0000-0200-000001000000}">
      <text>
        <r>
          <rPr>
            <b/>
            <sz val="9"/>
            <color indexed="81"/>
            <rFont val="Tahoma"/>
            <family val="2"/>
          </rPr>
          <t xml:space="preserve">1 = DCM operation
2 = CCM operation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O18" authorId="0" shapeId="0" xr:uid="{00000000-0006-0000-0300-000001000000}">
      <text>
        <r>
          <rPr>
            <b/>
            <sz val="9"/>
            <color indexed="81"/>
            <rFont val="Tahoma"/>
            <family val="2"/>
          </rPr>
          <t>BMC-BCS:</t>
        </r>
        <r>
          <rPr>
            <sz val="9"/>
            <color indexed="81"/>
            <rFont val="Tahoma"/>
            <family val="2"/>
          </rPr>
          <t xml:space="preserve">
Need to make this log not linear at some point
</t>
        </r>
      </text>
    </comment>
  </commentList>
</comments>
</file>

<file path=xl/sharedStrings.xml><?xml version="1.0" encoding="utf-8"?>
<sst xmlns="http://schemas.openxmlformats.org/spreadsheetml/2006/main" count="1065" uniqueCount="610">
  <si>
    <t>TERMS OF USE</t>
  </si>
  <si>
    <t>ABOUT</t>
  </si>
  <si>
    <t>=Input Box</t>
  </si>
  <si>
    <t>Step 1: Design Specifications</t>
  </si>
  <si>
    <r>
      <t>Minimum Input Supply Voltage , V</t>
    </r>
    <r>
      <rPr>
        <vertAlign val="subscript"/>
        <sz val="10"/>
        <color theme="1"/>
        <rFont val="Calibri"/>
        <family val="2"/>
        <scheme val="minor"/>
      </rPr>
      <t>SUPPLY(min)</t>
    </r>
    <r>
      <rPr>
        <sz val="10"/>
        <color theme="1"/>
        <rFont val="Calibri"/>
        <family val="2"/>
        <scheme val="minor"/>
      </rPr>
      <t xml:space="preserve"> </t>
    </r>
  </si>
  <si>
    <r>
      <t>Typical Input Supply Voltage, V</t>
    </r>
    <r>
      <rPr>
        <vertAlign val="subscript"/>
        <sz val="10"/>
        <color theme="1"/>
        <rFont val="Calibri"/>
        <family val="2"/>
        <scheme val="minor"/>
      </rPr>
      <t>SUPPLY(typ)</t>
    </r>
    <r>
      <rPr>
        <sz val="10"/>
        <color theme="1"/>
        <rFont val="Calibri"/>
        <family val="2"/>
        <scheme val="minor"/>
      </rPr>
      <t xml:space="preserve"> </t>
    </r>
  </si>
  <si>
    <r>
      <t>Maximum Input Supply Voltage , V</t>
    </r>
    <r>
      <rPr>
        <vertAlign val="subscript"/>
        <sz val="10"/>
        <color theme="1"/>
        <rFont val="Calibri"/>
        <family val="2"/>
        <scheme val="minor"/>
      </rPr>
      <t>SUPPLY(max)</t>
    </r>
    <r>
      <rPr>
        <sz val="10"/>
        <color theme="1"/>
        <rFont val="Calibri"/>
        <family val="2"/>
        <scheme val="minor"/>
      </rPr>
      <t xml:space="preserve"> </t>
    </r>
  </si>
  <si>
    <r>
      <t>Output Target Voltage, V</t>
    </r>
    <r>
      <rPr>
        <vertAlign val="subscript"/>
        <sz val="10"/>
        <color theme="1"/>
        <rFont val="Calibri"/>
        <family val="2"/>
        <scheme val="minor"/>
      </rPr>
      <t>LOAD</t>
    </r>
    <r>
      <rPr>
        <sz val="10"/>
        <color theme="1"/>
        <rFont val="Calibri"/>
        <family val="2"/>
        <scheme val="minor"/>
      </rPr>
      <t xml:space="preserve"> </t>
    </r>
  </si>
  <si>
    <r>
      <t>Maximum Output Current , I</t>
    </r>
    <r>
      <rPr>
        <vertAlign val="subscript"/>
        <sz val="10"/>
        <color theme="1"/>
        <rFont val="Calibri"/>
        <family val="2"/>
        <scheme val="minor"/>
      </rPr>
      <t>LOAD</t>
    </r>
    <r>
      <rPr>
        <sz val="10"/>
        <color theme="1"/>
        <rFont val="Calibri"/>
        <family val="2"/>
        <scheme val="minor"/>
      </rPr>
      <t xml:space="preserve"> </t>
    </r>
  </si>
  <si>
    <r>
      <t>Free Running Switching Frequency, F</t>
    </r>
    <r>
      <rPr>
        <vertAlign val="subscript"/>
        <sz val="10"/>
        <color theme="1"/>
        <rFont val="Calibri"/>
        <family val="2"/>
        <scheme val="minor"/>
      </rPr>
      <t>SW</t>
    </r>
  </si>
  <si>
    <t>V</t>
  </si>
  <si>
    <t>A</t>
  </si>
  <si>
    <t>kHz</t>
  </si>
  <si>
    <t>%</t>
  </si>
  <si>
    <r>
      <t>Output Power, P</t>
    </r>
    <r>
      <rPr>
        <vertAlign val="subscript"/>
        <sz val="10"/>
        <color theme="1"/>
        <rFont val="Calibri"/>
        <family val="2"/>
        <scheme val="minor"/>
      </rPr>
      <t>OUT</t>
    </r>
    <r>
      <rPr>
        <sz val="10"/>
        <color theme="1"/>
        <rFont val="Calibri"/>
        <family val="2"/>
        <scheme val="minor"/>
      </rPr>
      <t xml:space="preserve"> </t>
    </r>
  </si>
  <si>
    <t>EXCEL Variables Names/Calculations</t>
  </si>
  <si>
    <t>Input from user =</t>
  </si>
  <si>
    <t>Output =</t>
  </si>
  <si>
    <t>Constant</t>
  </si>
  <si>
    <t>Variable Name</t>
  </si>
  <si>
    <t>Value</t>
  </si>
  <si>
    <t>STD Units</t>
  </si>
  <si>
    <t>Notes</t>
  </si>
  <si>
    <t>Iteration</t>
  </si>
  <si>
    <t>Step 1: Operational Specs</t>
  </si>
  <si>
    <t>VIN_min</t>
  </si>
  <si>
    <t>VIN_nom</t>
  </si>
  <si>
    <t>VIN_max</t>
  </si>
  <si>
    <t>Minimum input voltage</t>
  </si>
  <si>
    <t>Nominal input voltage</t>
  </si>
  <si>
    <t>Maximum input voltage</t>
  </si>
  <si>
    <t>VOUT</t>
  </si>
  <si>
    <t>Target Output Voltage</t>
  </si>
  <si>
    <t>IOUT</t>
  </si>
  <si>
    <t>Maximum Output current</t>
  </si>
  <si>
    <t>ROUT</t>
  </si>
  <si>
    <t>Ω</t>
  </si>
  <si>
    <t>POUT</t>
  </si>
  <si>
    <t>W</t>
  </si>
  <si>
    <t>EFF_est</t>
  </si>
  <si>
    <t>Total output power</t>
  </si>
  <si>
    <t>Minimum load resistance</t>
  </si>
  <si>
    <t>Dc_max_ideal</t>
  </si>
  <si>
    <t>Dc_max_IC</t>
  </si>
  <si>
    <t>D_2p2_min</t>
  </si>
  <si>
    <t>D_2p2_nom</t>
  </si>
  <si>
    <t>D_2p2_max</t>
  </si>
  <si>
    <t>Minimum max duty cycle at 2p2MHZ operation</t>
  </si>
  <si>
    <t>t_off_max</t>
  </si>
  <si>
    <t>T_off_nom</t>
  </si>
  <si>
    <t>T_off_min</t>
  </si>
  <si>
    <t>s</t>
  </si>
  <si>
    <t>Minimum forced off time</t>
  </si>
  <si>
    <t>nominal forced off time</t>
  </si>
  <si>
    <t>Maximum forced off time</t>
  </si>
  <si>
    <t xml:space="preserve">IC Duty Cycle Limitation: </t>
  </si>
  <si>
    <t>D_limit_min</t>
  </si>
  <si>
    <t>D_limit_nom</t>
  </si>
  <si>
    <t>D_limit_max</t>
  </si>
  <si>
    <t>Nomminal max duty cycle at low frequency</t>
  </si>
  <si>
    <t xml:space="preserve">Base Calculations of </t>
  </si>
  <si>
    <t>Spec conditions</t>
  </si>
  <si>
    <t>Min max duty cycle at low frequency</t>
  </si>
  <si>
    <t>Maximum max duty cycle at low frequency</t>
  </si>
  <si>
    <t>Fsw</t>
  </si>
  <si>
    <t>Hz</t>
  </si>
  <si>
    <t xml:space="preserve">Switching frequnecy </t>
  </si>
  <si>
    <t>Flag</t>
  </si>
  <si>
    <t>RT</t>
  </si>
  <si>
    <t>Oscillator Set resistor. Based on the datasheet equation</t>
  </si>
  <si>
    <r>
      <t>Free running Oscillator Set Resistor, R</t>
    </r>
    <r>
      <rPr>
        <vertAlign val="subscript"/>
        <sz val="10"/>
        <color theme="1"/>
        <rFont val="Calibri"/>
        <family val="2"/>
        <scheme val="minor"/>
      </rPr>
      <t>T</t>
    </r>
  </si>
  <si>
    <r>
      <t>k</t>
    </r>
    <r>
      <rPr>
        <sz val="11"/>
        <color theme="1"/>
        <rFont val="Calibri"/>
        <family val="2"/>
      </rPr>
      <t>Ω</t>
    </r>
  </si>
  <si>
    <t>Step 2: Filter Inductor</t>
  </si>
  <si>
    <t>Dc_Limit</t>
  </si>
  <si>
    <t>Max duty cycle of LM5155 at Fsw</t>
  </si>
  <si>
    <t>EXCEL Constants / Values / IC Limits</t>
  </si>
  <si>
    <r>
      <t>Max Inductor DCR, R</t>
    </r>
    <r>
      <rPr>
        <vertAlign val="subscript"/>
        <sz val="10"/>
        <color theme="1"/>
        <rFont val="Calibri"/>
        <family val="2"/>
        <scheme val="minor"/>
      </rPr>
      <t>DCR</t>
    </r>
  </si>
  <si>
    <t>Dc_VIN_min</t>
  </si>
  <si>
    <t>Dc_VIN_nom</t>
  </si>
  <si>
    <t>Dc_VIN_max</t>
  </si>
  <si>
    <t>ton_min</t>
  </si>
  <si>
    <t>Typical Ton minimum value</t>
  </si>
  <si>
    <t>IL_avg_VIN_min</t>
  </si>
  <si>
    <t>IL_avg_VIN_nom</t>
  </si>
  <si>
    <t>Average input current at minimum input voltage. 100% Eff assumed</t>
  </si>
  <si>
    <t>Average input current at nominal input voltage. 100% Eff assumed</t>
  </si>
  <si>
    <t>Average input current at maximum input voltage. 100% Eff assumed</t>
  </si>
  <si>
    <t>H</t>
  </si>
  <si>
    <t>ILrip</t>
  </si>
  <si>
    <t>Lm</t>
  </si>
  <si>
    <t>Selected filter inductor</t>
  </si>
  <si>
    <t>Rdcr</t>
  </si>
  <si>
    <r>
      <t>m</t>
    </r>
    <r>
      <rPr>
        <sz val="11"/>
        <color theme="1"/>
        <rFont val="Calibri"/>
        <family val="2"/>
      </rPr>
      <t>Ω</t>
    </r>
  </si>
  <si>
    <r>
      <t>Peak inductor current, IL</t>
    </r>
    <r>
      <rPr>
        <vertAlign val="subscript"/>
        <sz val="10"/>
        <color theme="1"/>
        <rFont val="Calibri"/>
        <family val="2"/>
        <scheme val="minor"/>
      </rPr>
      <t>PK</t>
    </r>
  </si>
  <si>
    <t>VIN_33</t>
  </si>
  <si>
    <t>IIN_33</t>
  </si>
  <si>
    <t>Lopt_2</t>
  </si>
  <si>
    <t>.</t>
  </si>
  <si>
    <t>ILp_VINmin</t>
  </si>
  <si>
    <t>Peak inductor current at VIN min. Including estimated efficiency</t>
  </si>
  <si>
    <t>ILrip_VINmin</t>
  </si>
  <si>
    <t xml:space="preserve">Inductor ripple current at VIN min. </t>
  </si>
  <si>
    <t>ILrip_VINnom</t>
  </si>
  <si>
    <t>ILp_VINnom</t>
  </si>
  <si>
    <t>ILrip_VINmax</t>
  </si>
  <si>
    <t>ILp_VINmax</t>
  </si>
  <si>
    <t>Step 3: Current Sense Resistor</t>
  </si>
  <si>
    <t>Selected indutor ripple ratio. Will be changed later to a standard value just to keep things simple</t>
  </si>
  <si>
    <t xml:space="preserve">Inductor ripple current at VIN nom. </t>
  </si>
  <si>
    <t>Peak inductor current at VIN nom. Including estimated efficiency</t>
  </si>
  <si>
    <t xml:space="preserve">Inductor ripple current at VIN max. </t>
  </si>
  <si>
    <t>Peak inductor current at VIN max. Including estimated efficiency</t>
  </si>
  <si>
    <t>Step 3: Current Sense Resistor Selection</t>
  </si>
  <si>
    <t>Ipk_margin</t>
  </si>
  <si>
    <t>Peak current limit margin. 20% is a typical value</t>
  </si>
  <si>
    <t>Ipk_selected</t>
  </si>
  <si>
    <t>Selected peak current limit based on margin selection</t>
  </si>
  <si>
    <t>Peak ripple ratio: Boost this happens at 33%</t>
  </si>
  <si>
    <t>Dc_rip_max</t>
  </si>
  <si>
    <t>Input current at maximum ripple duty cycle</t>
  </si>
  <si>
    <t>Input voltage at maximum ripple duty cycle. If maximum input voltage Dc is &gt;.33 this value will be used</t>
  </si>
  <si>
    <t>Filter inductor DCR</t>
  </si>
  <si>
    <t>Ltol</t>
  </si>
  <si>
    <t>Assumed inductor tolerance. Constant to help simplify the user experience</t>
  </si>
  <si>
    <t>Rcs_max</t>
  </si>
  <si>
    <t>Maximum Rcs based on internal slope compensation. Assuming slope ratio of 1/2</t>
  </si>
  <si>
    <t>Rcs_sl_ratio</t>
  </si>
  <si>
    <t>Isl</t>
  </si>
  <si>
    <t>Internal slope compensation ramp</t>
  </si>
  <si>
    <t>Rsl_int</t>
  </si>
  <si>
    <t>Internal Slope compensation resistor</t>
  </si>
  <si>
    <t>Rcs_wo_sl</t>
  </si>
  <si>
    <t>Vcl</t>
  </si>
  <si>
    <t>Current Limit Value. See datsheet for Parameters</t>
  </si>
  <si>
    <t>Flag_ext_sl</t>
  </si>
  <si>
    <t>R_cs_calc</t>
  </si>
  <si>
    <t>R_sl_calc</t>
  </si>
  <si>
    <t>R_cs</t>
  </si>
  <si>
    <t>R_sl</t>
  </si>
  <si>
    <t>Selected current sense Resistor</t>
  </si>
  <si>
    <t>Check to make sure that slope compensation is high enough at the minimum input voltage</t>
  </si>
  <si>
    <t>Slope Compensation</t>
  </si>
  <si>
    <t>sl_vin_min</t>
  </si>
  <si>
    <t>Actual inductor peak current limit</t>
  </si>
  <si>
    <t>IL_pk</t>
  </si>
  <si>
    <t>IL_pk_max</t>
  </si>
  <si>
    <t>Peak current limit at the minimum input voltage</t>
  </si>
  <si>
    <t>Peak inductor current limit for saturation rating.  VIN max due to the possibility of external slope comp</t>
  </si>
  <si>
    <t>sat_mar</t>
  </si>
  <si>
    <t>Margin for saturation current of the inductor</t>
  </si>
  <si>
    <t>V/V</t>
  </si>
  <si>
    <t>IL_sat</t>
  </si>
  <si>
    <t>Recommended Saturation current rating of the selected inductor</t>
  </si>
  <si>
    <t>COMP voltage Limit checks</t>
  </si>
  <si>
    <t>Step 4: Output Capacitor Selection</t>
  </si>
  <si>
    <t>mV</t>
  </si>
  <si>
    <t xml:space="preserve">Minimum output capacitance </t>
  </si>
  <si>
    <t>uF</t>
  </si>
  <si>
    <r>
      <t>Selected Output Capacitance (C</t>
    </r>
    <r>
      <rPr>
        <vertAlign val="subscript"/>
        <sz val="11"/>
        <color theme="1"/>
        <rFont val="Calibri"/>
        <family val="2"/>
        <scheme val="minor"/>
      </rPr>
      <t>OUT</t>
    </r>
    <r>
      <rPr>
        <sz val="11"/>
        <color theme="1"/>
        <rFont val="Calibri"/>
        <family val="2"/>
        <scheme val="minor"/>
      </rPr>
      <t>)</t>
    </r>
  </si>
  <si>
    <t>Desired output ripple</t>
  </si>
  <si>
    <t>Vout_rip_sel</t>
  </si>
  <si>
    <t>Cout_min</t>
  </si>
  <si>
    <t>F</t>
  </si>
  <si>
    <t>Calculate minimum capacitance based simply on the capacitive ripple</t>
  </si>
  <si>
    <t>IRMS_COUT</t>
  </si>
  <si>
    <r>
      <t>Equivalent  COUT ESR (R</t>
    </r>
    <r>
      <rPr>
        <vertAlign val="subscript"/>
        <sz val="11"/>
        <color theme="1"/>
        <rFont val="Calibri"/>
        <family val="2"/>
        <scheme val="minor"/>
      </rPr>
      <t>ESR</t>
    </r>
    <r>
      <rPr>
        <sz val="11"/>
        <color theme="1"/>
        <rFont val="Calibri"/>
        <family val="2"/>
        <scheme val="minor"/>
      </rPr>
      <t>)</t>
    </r>
  </si>
  <si>
    <t>Resr</t>
  </si>
  <si>
    <t>Selected Output Capacitance</t>
  </si>
  <si>
    <t>Selected output capacitance ESR</t>
  </si>
  <si>
    <t>Cout</t>
  </si>
  <si>
    <r>
      <t>Selected Peak Current limit(IL</t>
    </r>
    <r>
      <rPr>
        <vertAlign val="subscript"/>
        <sz val="11"/>
        <color theme="1"/>
        <rFont val="Calibri"/>
        <family val="2"/>
        <scheme val="minor"/>
      </rPr>
      <t>PK_select</t>
    </r>
    <r>
      <rPr>
        <sz val="11"/>
        <color theme="1"/>
        <rFont val="Calibri"/>
        <family val="2"/>
        <scheme val="minor"/>
      </rPr>
      <t>)</t>
    </r>
  </si>
  <si>
    <t>Step 5: Loop Compensation</t>
  </si>
  <si>
    <t>Input Parameters</t>
  </si>
  <si>
    <t>Output Voltage</t>
  </si>
  <si>
    <t>Component Selection</t>
  </si>
  <si>
    <t>LM</t>
  </si>
  <si>
    <t>filter Inductor</t>
  </si>
  <si>
    <t>Current sense resi</t>
  </si>
  <si>
    <t>Interanl Slope Compesnation Resistor</t>
  </si>
  <si>
    <t>Interanl Slope Compesnation current</t>
  </si>
  <si>
    <t>RCOMP</t>
  </si>
  <si>
    <t>kΩ</t>
  </si>
  <si>
    <t>pF</t>
  </si>
  <si>
    <t>nF</t>
  </si>
  <si>
    <t>CCOMP</t>
  </si>
  <si>
    <t>CHF</t>
  </si>
  <si>
    <t>Type II compensation Resistort</t>
  </si>
  <si>
    <t>Type II compensation Capacitor</t>
  </si>
  <si>
    <t>Type II high frequency capacitor</t>
  </si>
  <si>
    <t>RFBT</t>
  </si>
  <si>
    <t>RFBB</t>
  </si>
  <si>
    <t>Compensation Components</t>
  </si>
  <si>
    <t>Top feedback resistor</t>
  </si>
  <si>
    <t>Bottom feedback resistor</t>
  </si>
  <si>
    <t>Calculations</t>
  </si>
  <si>
    <t>Frequency</t>
  </si>
  <si>
    <t>Selected VIN</t>
  </si>
  <si>
    <t>VIN_var</t>
  </si>
  <si>
    <t>VIN_VAR</t>
  </si>
  <si>
    <t>Variable input voltage</t>
  </si>
  <si>
    <t>ADC</t>
  </si>
  <si>
    <t>Gcomp</t>
  </si>
  <si>
    <t>Scale down factor of the interal comp voltage divider</t>
  </si>
  <si>
    <t>Intenal step down of the divider</t>
  </si>
  <si>
    <t>DC gain of the plant function</t>
  </si>
  <si>
    <t>Acs</t>
  </si>
  <si>
    <t>Current sense Amplifier Gain (1 for this device)</t>
  </si>
  <si>
    <t>Low Frequency Pole</t>
  </si>
  <si>
    <t>RHPz zero of boost converter</t>
  </si>
  <si>
    <t>ESR zero cause by output capacitance</t>
  </si>
  <si>
    <t>wsl</t>
  </si>
  <si>
    <t>Q</t>
  </si>
  <si>
    <t>Se</t>
  </si>
  <si>
    <t xml:space="preserve">Slope compensation </t>
  </si>
  <si>
    <t>Down slope at the selected input voltage</t>
  </si>
  <si>
    <t>Sn</t>
  </si>
  <si>
    <t>Rad</t>
  </si>
  <si>
    <t>wp_lf</t>
  </si>
  <si>
    <t>wz_rhp</t>
  </si>
  <si>
    <t>wz_esr</t>
  </si>
  <si>
    <t>Gain</t>
  </si>
  <si>
    <t>Phase</t>
  </si>
  <si>
    <t>Sampling</t>
  </si>
  <si>
    <t>Complex</t>
  </si>
  <si>
    <t>Total</t>
  </si>
  <si>
    <t>Error Amplifier</t>
  </si>
  <si>
    <t>wz_ea</t>
  </si>
  <si>
    <t>Adc_ea</t>
  </si>
  <si>
    <t>gm_ea</t>
  </si>
  <si>
    <t>Error Amplifier Gain</t>
  </si>
  <si>
    <t>A/V</t>
  </si>
  <si>
    <t>wp0_ea</t>
  </si>
  <si>
    <t>wp1_ea</t>
  </si>
  <si>
    <t>ADC_ea</t>
  </si>
  <si>
    <t xml:space="preserve">Gain </t>
  </si>
  <si>
    <t>COMPLEX</t>
  </si>
  <si>
    <t>Gain of open loop at wp_Lf</t>
  </si>
  <si>
    <t>dB</t>
  </si>
  <si>
    <r>
      <t xml:space="preserve">Variable input voltage to model the loop. </t>
    </r>
    <r>
      <rPr>
        <b/>
        <sz val="11"/>
        <color theme="1"/>
        <rFont val="Calibri"/>
        <family val="2"/>
        <scheme val="minor"/>
      </rPr>
      <t>Currently not used. Will be updated in next rev</t>
    </r>
  </si>
  <si>
    <t>Selected by user. Feedback resistor should be &gt;100uA to help reject noise</t>
  </si>
  <si>
    <t>Error Amplifier Zero</t>
  </si>
  <si>
    <t>Error Amplifier pole at the origin</t>
  </si>
  <si>
    <t>Error Amplifier pole at high frequencies</t>
  </si>
  <si>
    <t>RFBB_CALC</t>
  </si>
  <si>
    <t>Vref</t>
  </si>
  <si>
    <t>Reference voltage</t>
  </si>
  <si>
    <t>Estimated bottom feedback resistor</t>
  </si>
  <si>
    <t>Selected botton feedback resistor</t>
  </si>
  <si>
    <t>Ifb</t>
  </si>
  <si>
    <r>
      <t xml:space="preserve">Plant low frequency pole. </t>
    </r>
    <r>
      <rPr>
        <b/>
        <sz val="11"/>
        <color theme="1"/>
        <rFont val="Calibri"/>
        <family val="2"/>
        <scheme val="minor"/>
      </rPr>
      <t>IN Hz!!!</t>
    </r>
  </si>
  <si>
    <r>
      <t xml:space="preserve">Plant RHP Zero, </t>
    </r>
    <r>
      <rPr>
        <b/>
        <sz val="11"/>
        <color theme="1"/>
        <rFont val="Calibri"/>
        <family val="2"/>
        <scheme val="minor"/>
      </rPr>
      <t>(IN Hz)</t>
    </r>
  </si>
  <si>
    <r>
      <t xml:space="preserve">Plant capacitor ESR zero </t>
    </r>
    <r>
      <rPr>
        <b/>
        <sz val="11"/>
        <color theme="1"/>
        <rFont val="Calibri"/>
        <family val="2"/>
        <scheme val="minor"/>
      </rPr>
      <t>(In Hz)</t>
    </r>
  </si>
  <si>
    <t>Feedback resistor selection</t>
  </si>
  <si>
    <t>Crossover Frequency Selection</t>
  </si>
  <si>
    <t>fcross</t>
  </si>
  <si>
    <t>Desired Crossover frequency</t>
  </si>
  <si>
    <t>1/10 the swictching frequency</t>
  </si>
  <si>
    <t>Select the lower crossover frequency</t>
  </si>
  <si>
    <t>wz_RHP</t>
  </si>
  <si>
    <t>Rcomp_Calc</t>
  </si>
  <si>
    <t>Calculate on based on the desired Mid-band gain needed to set the crossover frequency</t>
  </si>
  <si>
    <t>fz_ea_est</t>
  </si>
  <si>
    <t>CCOMP_calc</t>
  </si>
  <si>
    <t>fp_ea_est</t>
  </si>
  <si>
    <t>Efficiency / Power Loss Analyzer</t>
  </si>
  <si>
    <r>
      <t>R</t>
    </r>
    <r>
      <rPr>
        <vertAlign val="subscript"/>
        <sz val="11"/>
        <color theme="1"/>
        <rFont val="Calibri"/>
        <family val="2"/>
        <scheme val="minor"/>
      </rPr>
      <t>COMP</t>
    </r>
  </si>
  <si>
    <t>Calculated</t>
  </si>
  <si>
    <t>Selected</t>
  </si>
  <si>
    <t>Steps</t>
  </si>
  <si>
    <t>Step size</t>
  </si>
  <si>
    <t>VIN</t>
  </si>
  <si>
    <t>DCM/CCM</t>
  </si>
  <si>
    <t>DC</t>
  </si>
  <si>
    <t>IIN</t>
  </si>
  <si>
    <t>Icrms_min</t>
  </si>
  <si>
    <t>Minimum required RMS current rating for the output capacitor bank</t>
  </si>
  <si>
    <t>On-time of the switch</t>
  </si>
  <si>
    <t>Soft-Start</t>
  </si>
  <si>
    <t>Iss</t>
  </si>
  <si>
    <t>Soft-start capacitor charge current</t>
  </si>
  <si>
    <t>Soft-Start Charge current</t>
  </si>
  <si>
    <t>Css_min</t>
  </si>
  <si>
    <t>Suggested minimum SS capacitor to minize the over shoot.</t>
  </si>
  <si>
    <t>tss</t>
  </si>
  <si>
    <t>Desired Soft-Start Capacitor</t>
  </si>
  <si>
    <r>
      <t>Suggested minimum soft-start capacitor (C</t>
    </r>
    <r>
      <rPr>
        <vertAlign val="subscript"/>
        <sz val="11"/>
        <color theme="1"/>
        <rFont val="Calibri"/>
        <family val="2"/>
        <scheme val="minor"/>
      </rPr>
      <t>SS_MIN</t>
    </r>
    <r>
      <rPr>
        <sz val="11"/>
        <color theme="1"/>
        <rFont val="Calibri"/>
        <family val="2"/>
        <scheme val="minor"/>
      </rPr>
      <t>)</t>
    </r>
  </si>
  <si>
    <t>ms</t>
  </si>
  <si>
    <t>Css_calc</t>
  </si>
  <si>
    <t>Calcualted Soft-start capacitor</t>
  </si>
  <si>
    <r>
      <t>Calculated soft-start capacitor (C</t>
    </r>
    <r>
      <rPr>
        <vertAlign val="subscript"/>
        <sz val="11"/>
        <color theme="1"/>
        <rFont val="Calibri"/>
        <family val="2"/>
        <scheme val="minor"/>
      </rPr>
      <t>SS</t>
    </r>
    <r>
      <rPr>
        <sz val="11"/>
        <color theme="1"/>
        <rFont val="Calibri"/>
        <family val="2"/>
        <scheme val="minor"/>
      </rPr>
      <t>)</t>
    </r>
  </si>
  <si>
    <r>
      <t>Desied soft-start time at minimum input voltage (T</t>
    </r>
    <r>
      <rPr>
        <vertAlign val="subscript"/>
        <sz val="11"/>
        <color theme="1"/>
        <rFont val="Calibri"/>
        <family val="2"/>
        <scheme val="minor"/>
      </rPr>
      <t>SS</t>
    </r>
    <r>
      <rPr>
        <sz val="11"/>
        <color theme="1"/>
        <rFont val="Calibri"/>
        <family val="2"/>
        <scheme val="minor"/>
      </rPr>
      <t>)</t>
    </r>
  </si>
  <si>
    <t>Step 6: UVLO Resistor Selection</t>
  </si>
  <si>
    <t>Step 5: Soft-start Capacitor selection</t>
  </si>
  <si>
    <t>Vuvlo_on</t>
  </si>
  <si>
    <t>Vuvlo_off</t>
  </si>
  <si>
    <t>Desired turn on voltage</t>
  </si>
  <si>
    <t>Desired turn off voltage</t>
  </si>
  <si>
    <t>UVLO Thresholds</t>
  </si>
  <si>
    <t>UV_rise</t>
  </si>
  <si>
    <t>UV_fall</t>
  </si>
  <si>
    <t>Falling threshold (See datasheet for more details)</t>
  </si>
  <si>
    <t>Rising Threshold (See datasheet for more details)</t>
  </si>
  <si>
    <t>Rising UV threshold</t>
  </si>
  <si>
    <t>Falling  UV threshold</t>
  </si>
  <si>
    <t>UV_I_hyst</t>
  </si>
  <si>
    <t>UVLO current hysteresis</t>
  </si>
  <si>
    <t>UVLO circuit current hysteresis</t>
  </si>
  <si>
    <t>Ruvlo_top_calc</t>
  </si>
  <si>
    <t>Ruvlo_bottom_calc</t>
  </si>
  <si>
    <t>Vuvlo_on_act</t>
  </si>
  <si>
    <t>Vuvlo_off_act</t>
  </si>
  <si>
    <t>Actual turn on voltage</t>
  </si>
  <si>
    <t>Actual turn off voltage</t>
  </si>
  <si>
    <t>Step  7: Loop Compensation</t>
  </si>
  <si>
    <t>Operation Variables</t>
  </si>
  <si>
    <t>Duty Cycle</t>
  </si>
  <si>
    <t>dIL</t>
  </si>
  <si>
    <r>
      <t>IL</t>
    </r>
    <r>
      <rPr>
        <vertAlign val="subscript"/>
        <sz val="11"/>
        <color theme="1"/>
        <rFont val="Calibri"/>
        <family val="2"/>
        <scheme val="minor"/>
      </rPr>
      <t>RMS</t>
    </r>
  </si>
  <si>
    <r>
      <t>IL</t>
    </r>
    <r>
      <rPr>
        <vertAlign val="subscript"/>
        <sz val="11"/>
        <color theme="1"/>
        <rFont val="Calibri"/>
        <family val="2"/>
        <scheme val="minor"/>
      </rPr>
      <t>PEAK</t>
    </r>
  </si>
  <si>
    <t>DC_off</t>
  </si>
  <si>
    <t>Step 7: Component Selection</t>
  </si>
  <si>
    <t>Vd_rect</t>
  </si>
  <si>
    <r>
      <t>ID</t>
    </r>
    <r>
      <rPr>
        <vertAlign val="subscript"/>
        <sz val="11"/>
        <color theme="1"/>
        <rFont val="Calibri"/>
        <family val="2"/>
        <scheme val="minor"/>
      </rPr>
      <t xml:space="preserve">AVG </t>
    </r>
    <r>
      <rPr>
        <sz val="11"/>
        <color theme="1"/>
        <rFont val="Calibri"/>
        <family val="2"/>
        <scheme val="minor"/>
      </rPr>
      <t>(A)</t>
    </r>
  </si>
  <si>
    <r>
      <t>P</t>
    </r>
    <r>
      <rPr>
        <vertAlign val="subscript"/>
        <sz val="11"/>
        <color theme="1"/>
        <rFont val="Calibri"/>
        <family val="2"/>
        <scheme val="minor"/>
      </rPr>
      <t>Lac</t>
    </r>
    <r>
      <rPr>
        <sz val="11"/>
        <color theme="1"/>
        <rFont val="Calibri"/>
        <family val="2"/>
        <scheme val="minor"/>
      </rPr>
      <t xml:space="preserve"> (W)</t>
    </r>
  </si>
  <si>
    <r>
      <t>P</t>
    </r>
    <r>
      <rPr>
        <vertAlign val="subscript"/>
        <sz val="11"/>
        <color theme="1"/>
        <rFont val="Calibri"/>
        <family val="2"/>
        <scheme val="minor"/>
      </rPr>
      <t>L_DCR</t>
    </r>
    <r>
      <rPr>
        <sz val="11"/>
        <color theme="1"/>
        <rFont val="Calibri"/>
        <family val="2"/>
        <scheme val="minor"/>
      </rPr>
      <t xml:space="preserve"> (W)</t>
    </r>
  </si>
  <si>
    <r>
      <t>P</t>
    </r>
    <r>
      <rPr>
        <vertAlign val="subscript"/>
        <sz val="11"/>
        <color theme="1"/>
        <rFont val="Calibri"/>
        <family val="2"/>
        <scheme val="minor"/>
      </rPr>
      <t xml:space="preserve">D_COND </t>
    </r>
    <r>
      <rPr>
        <sz val="11"/>
        <color theme="1"/>
        <rFont val="Calibri"/>
        <family val="2"/>
        <scheme val="minor"/>
      </rPr>
      <t>(W)</t>
    </r>
  </si>
  <si>
    <r>
      <t>P</t>
    </r>
    <r>
      <rPr>
        <vertAlign val="subscript"/>
        <sz val="11"/>
        <color theme="1"/>
        <rFont val="Calibri"/>
        <family val="2"/>
        <scheme val="minor"/>
      </rPr>
      <t xml:space="preserve">D_SW </t>
    </r>
    <r>
      <rPr>
        <sz val="11"/>
        <color theme="1"/>
        <rFont val="Calibri"/>
        <family val="2"/>
        <scheme val="minor"/>
      </rPr>
      <t>(W)</t>
    </r>
  </si>
  <si>
    <r>
      <t>On-State Resistance, R</t>
    </r>
    <r>
      <rPr>
        <vertAlign val="subscript"/>
        <sz val="10"/>
        <rFont val="Arial"/>
        <family val="2"/>
      </rPr>
      <t>DS(on)</t>
    </r>
    <r>
      <rPr>
        <sz val="10"/>
        <rFont val="Arial"/>
        <family val="2"/>
      </rPr>
      <t xml:space="preserve"> </t>
    </r>
  </si>
  <si>
    <r>
      <t>Total Gate Charge, Q</t>
    </r>
    <r>
      <rPr>
        <vertAlign val="subscript"/>
        <sz val="10"/>
        <rFont val="Arial"/>
        <family val="2"/>
      </rPr>
      <t>G</t>
    </r>
    <r>
      <rPr>
        <sz val="10"/>
        <rFont val="Arial"/>
        <family val="2"/>
      </rPr>
      <t xml:space="preserve"> </t>
    </r>
  </si>
  <si>
    <r>
      <t>Gate-Drain Charge, Q</t>
    </r>
    <r>
      <rPr>
        <vertAlign val="subscript"/>
        <sz val="10"/>
        <rFont val="Arial"/>
        <family val="2"/>
      </rPr>
      <t>GD</t>
    </r>
    <r>
      <rPr>
        <sz val="10"/>
        <rFont val="Arial"/>
        <family val="2"/>
      </rPr>
      <t xml:space="preserve"> </t>
    </r>
  </si>
  <si>
    <r>
      <t>Gate-Source Charge, Q</t>
    </r>
    <r>
      <rPr>
        <vertAlign val="subscript"/>
        <sz val="10"/>
        <rFont val="Arial"/>
        <family val="2"/>
      </rPr>
      <t>GS</t>
    </r>
    <r>
      <rPr>
        <sz val="10"/>
        <rFont val="Arial"/>
        <family val="2"/>
      </rPr>
      <t xml:space="preserve"> </t>
    </r>
  </si>
  <si>
    <r>
      <t>Gate Resistance, R</t>
    </r>
    <r>
      <rPr>
        <vertAlign val="subscript"/>
        <sz val="10"/>
        <rFont val="Arial"/>
        <family val="2"/>
      </rPr>
      <t>G</t>
    </r>
    <r>
      <rPr>
        <sz val="10"/>
        <rFont val="Arial"/>
        <family val="2"/>
      </rPr>
      <t xml:space="preserve"> </t>
    </r>
  </si>
  <si>
    <r>
      <t>Transconductance, g</t>
    </r>
    <r>
      <rPr>
        <vertAlign val="subscript"/>
        <sz val="10"/>
        <rFont val="Arial"/>
        <family val="2"/>
      </rPr>
      <t>FS</t>
    </r>
    <r>
      <rPr>
        <sz val="10"/>
        <rFont val="Arial"/>
        <family val="2"/>
      </rPr>
      <t xml:space="preserve"> </t>
    </r>
  </si>
  <si>
    <r>
      <t>Gate-Source Threshold Voltage, V</t>
    </r>
    <r>
      <rPr>
        <vertAlign val="subscript"/>
        <sz val="10"/>
        <rFont val="Arial"/>
        <family val="2"/>
      </rPr>
      <t>TH</t>
    </r>
    <r>
      <rPr>
        <sz val="10"/>
        <rFont val="Arial"/>
        <family val="2"/>
      </rPr>
      <t xml:space="preserve"> </t>
    </r>
  </si>
  <si>
    <t>mΩ</t>
  </si>
  <si>
    <t>nC</t>
  </si>
  <si>
    <t>Ω</t>
  </si>
  <si>
    <t>S</t>
  </si>
  <si>
    <t>Diode Parameters</t>
  </si>
  <si>
    <t>Qg_tot</t>
  </si>
  <si>
    <t>Qgs</t>
  </si>
  <si>
    <t>Qgd</t>
  </si>
  <si>
    <t>Rgate</t>
  </si>
  <si>
    <t>gfs</t>
  </si>
  <si>
    <t>Vth</t>
  </si>
  <si>
    <t>C</t>
  </si>
  <si>
    <t>Qrr</t>
  </si>
  <si>
    <t>RDS_on</t>
  </si>
  <si>
    <t>Rgate_int</t>
  </si>
  <si>
    <t>Internal Gate resistance of the MOSFET driver.</t>
  </si>
  <si>
    <t>Vsp</t>
  </si>
  <si>
    <t>Gate voltage when MOSFET begins conducting current</t>
  </si>
  <si>
    <t>Rise time of the switch node</t>
  </si>
  <si>
    <t>Fall time of the switch node</t>
  </si>
  <si>
    <t>VCC</t>
  </si>
  <si>
    <t>VCC regulator</t>
  </si>
  <si>
    <t>Vcc</t>
  </si>
  <si>
    <t>Regulated output voltage of internal LDO. Can change if this is externally biased.</t>
  </si>
  <si>
    <t>Need to double check this value</t>
  </si>
  <si>
    <t xml:space="preserve">VCC voltage. Can be changed with external bias. </t>
  </si>
  <si>
    <t>tr_sw</t>
  </si>
  <si>
    <t>tf_sw</t>
  </si>
  <si>
    <r>
      <t>ISW</t>
    </r>
    <r>
      <rPr>
        <vertAlign val="subscript"/>
        <sz val="11"/>
        <color theme="1"/>
        <rFont val="Calibri"/>
        <family val="2"/>
        <scheme val="minor"/>
      </rPr>
      <t xml:space="preserve">AVG </t>
    </r>
    <r>
      <rPr>
        <sz val="11"/>
        <color theme="1"/>
        <rFont val="Calibri"/>
        <family val="2"/>
        <scheme val="minor"/>
      </rPr>
      <t>(A)</t>
    </r>
  </si>
  <si>
    <r>
      <t>ISW</t>
    </r>
    <r>
      <rPr>
        <vertAlign val="subscript"/>
        <sz val="11"/>
        <color theme="1"/>
        <rFont val="Calibri"/>
        <family val="2"/>
        <scheme val="minor"/>
      </rPr>
      <t>RMS</t>
    </r>
  </si>
  <si>
    <r>
      <t>P</t>
    </r>
    <r>
      <rPr>
        <vertAlign val="subscript"/>
        <sz val="11"/>
        <color theme="1"/>
        <rFont val="Calibri"/>
        <family val="2"/>
        <scheme val="minor"/>
      </rPr>
      <t xml:space="preserve">Q_SW </t>
    </r>
    <r>
      <rPr>
        <sz val="11"/>
        <color theme="1"/>
        <rFont val="Calibri"/>
        <family val="2"/>
        <scheme val="minor"/>
      </rPr>
      <t>(W)</t>
    </r>
  </si>
  <si>
    <r>
      <t>P</t>
    </r>
    <r>
      <rPr>
        <vertAlign val="subscript"/>
        <sz val="11"/>
        <color theme="1"/>
        <rFont val="Calibri"/>
        <family val="2"/>
        <scheme val="minor"/>
      </rPr>
      <t xml:space="preserve">Q_COND </t>
    </r>
    <r>
      <rPr>
        <sz val="11"/>
        <color theme="1"/>
        <rFont val="Calibri"/>
        <family val="2"/>
        <scheme val="minor"/>
      </rPr>
      <t>(W)</t>
    </r>
  </si>
  <si>
    <r>
      <t>P</t>
    </r>
    <r>
      <rPr>
        <vertAlign val="subscript"/>
        <sz val="11"/>
        <color theme="1"/>
        <rFont val="Calibri"/>
        <family val="2"/>
        <scheme val="minor"/>
      </rPr>
      <t xml:space="preserve">Q_tot </t>
    </r>
    <r>
      <rPr>
        <sz val="11"/>
        <color theme="1"/>
        <rFont val="Calibri"/>
        <family val="2"/>
        <scheme val="minor"/>
      </rPr>
      <t>(W)</t>
    </r>
  </si>
  <si>
    <r>
      <t>P</t>
    </r>
    <r>
      <rPr>
        <vertAlign val="subscript"/>
        <sz val="11"/>
        <color theme="1"/>
        <rFont val="Calibri"/>
        <family val="2"/>
        <scheme val="minor"/>
      </rPr>
      <t>L_tot</t>
    </r>
    <r>
      <rPr>
        <sz val="11"/>
        <color theme="1"/>
        <rFont val="Calibri"/>
        <family val="2"/>
        <scheme val="minor"/>
      </rPr>
      <t xml:space="preserve"> (W)</t>
    </r>
  </si>
  <si>
    <r>
      <t>P</t>
    </r>
    <r>
      <rPr>
        <vertAlign val="subscript"/>
        <sz val="11"/>
        <color theme="1"/>
        <rFont val="Calibri"/>
        <family val="2"/>
        <scheme val="minor"/>
      </rPr>
      <t>RCS</t>
    </r>
    <r>
      <rPr>
        <sz val="11"/>
        <color theme="1"/>
        <rFont val="Calibri"/>
        <family val="2"/>
        <scheme val="minor"/>
      </rPr>
      <t xml:space="preserve"> (W)</t>
    </r>
  </si>
  <si>
    <t>Total Losses</t>
  </si>
  <si>
    <r>
      <t>P</t>
    </r>
    <r>
      <rPr>
        <vertAlign val="subscript"/>
        <sz val="11"/>
        <color theme="1"/>
        <rFont val="Calibri"/>
        <family val="2"/>
        <scheme val="minor"/>
      </rPr>
      <t>TOTAL</t>
    </r>
    <r>
      <rPr>
        <sz val="11"/>
        <color theme="1"/>
        <rFont val="Calibri"/>
        <family val="2"/>
        <scheme val="minor"/>
      </rPr>
      <t xml:space="preserve"> (W)</t>
    </r>
  </si>
  <si>
    <r>
      <t>P</t>
    </r>
    <r>
      <rPr>
        <vertAlign val="subscript"/>
        <sz val="11"/>
        <color theme="1"/>
        <rFont val="Calibri"/>
        <family val="2"/>
        <scheme val="minor"/>
      </rPr>
      <t>G_drv</t>
    </r>
    <r>
      <rPr>
        <sz val="11"/>
        <color theme="1"/>
        <rFont val="Calibri"/>
        <family val="2"/>
        <scheme val="minor"/>
      </rPr>
      <t xml:space="preserve"> (W)</t>
    </r>
  </si>
  <si>
    <r>
      <t>P</t>
    </r>
    <r>
      <rPr>
        <vertAlign val="subscript"/>
        <sz val="11"/>
        <color theme="1"/>
        <rFont val="Calibri"/>
        <family val="2"/>
        <scheme val="minor"/>
      </rPr>
      <t>IQ</t>
    </r>
    <r>
      <rPr>
        <sz val="11"/>
        <color theme="1"/>
        <rFont val="Calibri"/>
        <family val="2"/>
        <scheme val="minor"/>
      </rPr>
      <t xml:space="preserve"> (W)</t>
    </r>
  </si>
  <si>
    <t>IQ current</t>
  </si>
  <si>
    <t xml:space="preserve">IQ </t>
  </si>
  <si>
    <t>Non-switching IQ current</t>
  </si>
  <si>
    <t>Other Losses</t>
  </si>
  <si>
    <t>Eff</t>
  </si>
  <si>
    <r>
      <t>P</t>
    </r>
    <r>
      <rPr>
        <vertAlign val="subscript"/>
        <sz val="11"/>
        <color theme="1"/>
        <rFont val="Calibri"/>
        <family val="2"/>
        <scheme val="minor"/>
      </rPr>
      <t>OUT</t>
    </r>
    <r>
      <rPr>
        <sz val="11"/>
        <color theme="1"/>
        <rFont val="Calibri"/>
        <family val="2"/>
        <scheme val="minor"/>
      </rPr>
      <t xml:space="preserve"> (W)</t>
    </r>
  </si>
  <si>
    <t>Inductor</t>
  </si>
  <si>
    <r>
      <t>C</t>
    </r>
    <r>
      <rPr>
        <vertAlign val="subscript"/>
        <sz val="11"/>
        <color theme="1"/>
        <rFont val="Calibri"/>
        <family val="2"/>
        <scheme val="minor"/>
      </rPr>
      <t>COMP</t>
    </r>
  </si>
  <si>
    <r>
      <t>C</t>
    </r>
    <r>
      <rPr>
        <vertAlign val="subscript"/>
        <sz val="11"/>
        <color theme="1"/>
        <rFont val="Calibri"/>
        <family val="2"/>
        <scheme val="minor"/>
      </rPr>
      <t>HF</t>
    </r>
  </si>
  <si>
    <t>IOUT_VAR</t>
  </si>
  <si>
    <t>RHP_zero location based on the minimum input voltage</t>
  </si>
  <si>
    <t>Low frequency pole based on the minimum input voltage</t>
  </si>
  <si>
    <t>rad</t>
  </si>
  <si>
    <t>raf</t>
  </si>
  <si>
    <t>ESR zero based on the minimum input voltage</t>
  </si>
  <si>
    <t>This is based on the minimum input voltage. T</t>
  </si>
  <si>
    <t>Input Voltage</t>
  </si>
  <si>
    <r>
      <t>Recommended Inductance (L</t>
    </r>
    <r>
      <rPr>
        <vertAlign val="subscript"/>
        <sz val="10"/>
        <color theme="1"/>
        <rFont val="Calibri"/>
        <family val="2"/>
        <scheme val="minor"/>
      </rPr>
      <t>M_CALC</t>
    </r>
    <r>
      <rPr>
        <sz val="10"/>
        <color theme="1"/>
        <rFont val="Calibri"/>
        <family val="2"/>
        <scheme val="minor"/>
      </rPr>
      <t>)</t>
    </r>
  </si>
  <si>
    <r>
      <t>User Selection. Inductance, (L</t>
    </r>
    <r>
      <rPr>
        <vertAlign val="subscript"/>
        <sz val="10"/>
        <color theme="1"/>
        <rFont val="Calibri"/>
        <family val="2"/>
        <scheme val="minor"/>
      </rPr>
      <t>M</t>
    </r>
    <r>
      <rPr>
        <sz val="10"/>
        <color theme="1"/>
        <rFont val="Calibri"/>
        <family val="2"/>
        <scheme val="minor"/>
      </rPr>
      <t>)</t>
    </r>
  </si>
  <si>
    <t>Id_AVG</t>
  </si>
  <si>
    <t xml:space="preserve">Suggested average current rating of diode. </t>
  </si>
  <si>
    <t>Calcualted top UVLO resistor</t>
  </si>
  <si>
    <t>Selected top UVLO resistor</t>
  </si>
  <si>
    <t>Calcualted Bottom UBLO Resistor</t>
  </si>
  <si>
    <t>Frcoss (VIN)min</t>
  </si>
  <si>
    <t>ADC_VINmin</t>
  </si>
  <si>
    <t>wp_lf_VINmin</t>
  </si>
  <si>
    <t>fp_lf_VINmin</t>
  </si>
  <si>
    <t>wz_esr_VINmin</t>
  </si>
  <si>
    <t>fz_esr_VINmin</t>
  </si>
  <si>
    <t>wz_RHP_VINmin</t>
  </si>
  <si>
    <t>fz_rhp_VINmin</t>
  </si>
  <si>
    <t>Se_VINmin</t>
  </si>
  <si>
    <t>Sn_VINmin</t>
  </si>
  <si>
    <t>wsl_VINmin</t>
  </si>
  <si>
    <t>Q_VINmin</t>
  </si>
  <si>
    <t>Operation Raange</t>
  </si>
  <si>
    <t>Vin_op_min</t>
  </si>
  <si>
    <t>Minimum operating voltage</t>
  </si>
  <si>
    <t>Maximum BIAS pin operating voltage</t>
  </si>
  <si>
    <t>Vin_op_max</t>
  </si>
  <si>
    <r>
      <t>Ideal Duty Cycle at V</t>
    </r>
    <r>
      <rPr>
        <vertAlign val="subscript"/>
        <sz val="10"/>
        <color theme="1"/>
        <rFont val="Calibri"/>
        <family val="2"/>
        <scheme val="minor"/>
      </rPr>
      <t xml:space="preserve">SUPPLY(MIN) </t>
    </r>
  </si>
  <si>
    <t>Peak Current Limit Margin</t>
  </si>
  <si>
    <r>
      <t>Voltage selected (V</t>
    </r>
    <r>
      <rPr>
        <vertAlign val="subscript"/>
        <sz val="11"/>
        <rFont val="Calibri"/>
        <family val="2"/>
        <scheme val="minor"/>
      </rPr>
      <t>IN_VAR</t>
    </r>
    <r>
      <rPr>
        <sz val="11"/>
        <rFont val="Calibri"/>
        <family val="2"/>
        <scheme val="minor"/>
      </rPr>
      <t>)</t>
    </r>
  </si>
  <si>
    <t>This should be set at or near the lowest RHP zero Frequency</t>
  </si>
  <si>
    <r>
      <t>Recommended current sense Resistor (R</t>
    </r>
    <r>
      <rPr>
        <vertAlign val="subscript"/>
        <sz val="11"/>
        <color theme="1"/>
        <rFont val="Calibri"/>
        <family val="2"/>
        <scheme val="minor"/>
      </rPr>
      <t>S</t>
    </r>
    <r>
      <rPr>
        <sz val="11"/>
        <color theme="1"/>
        <rFont val="Calibri"/>
        <family val="2"/>
        <scheme val="minor"/>
      </rPr>
      <t>)</t>
    </r>
  </si>
  <si>
    <r>
      <t>Selected current sense Resistor (R</t>
    </r>
    <r>
      <rPr>
        <vertAlign val="subscript"/>
        <sz val="11"/>
        <color theme="1"/>
        <rFont val="Calibri"/>
        <family val="2"/>
        <scheme val="minor"/>
      </rPr>
      <t>S</t>
    </r>
    <r>
      <rPr>
        <sz val="11"/>
        <color theme="1"/>
        <rFont val="Calibri"/>
        <family val="2"/>
        <scheme val="minor"/>
      </rPr>
      <t>)</t>
    </r>
  </si>
  <si>
    <t>Maximum duty cycle at the minimum input voltage. Includes estimated efficiency for margin</t>
  </si>
  <si>
    <t>Duty cycle at the mimum input voltage (CCM). (First order/ ideal equation)</t>
  </si>
  <si>
    <t>Duty cycle at the nominal input voltage (CCM) (First order/ ideal equation)</t>
  </si>
  <si>
    <t>Duty cycle at the maximum input voltage (CCM) (First order/ ideal equation)</t>
  </si>
  <si>
    <t>DCM_Flag</t>
  </si>
  <si>
    <t>DC_rip</t>
  </si>
  <si>
    <t>CCM Operation calculations</t>
  </si>
  <si>
    <t>Select DCM duty cycle to be 70%. This will keep the ripple current fairly low and allow for efficiency drops.</t>
  </si>
  <si>
    <t>L_DCM_DC</t>
  </si>
  <si>
    <t>DC_DCM_max</t>
  </si>
  <si>
    <t>Maximum duty cycle for DCM operation. 70% is a good starting point. Could be related to the switching frequency</t>
  </si>
  <si>
    <t>M_L_DCM</t>
  </si>
  <si>
    <t>Margin to allow for inductor ripple current to be greater than the average input current</t>
  </si>
  <si>
    <t>L_DCM_M</t>
  </si>
  <si>
    <t xml:space="preserve">Inductor value that ensures the ripple current is larger than the average input current </t>
  </si>
  <si>
    <t>L_DCM</t>
  </si>
  <si>
    <t>Select the lowest of the two inductor value calculations</t>
  </si>
  <si>
    <t>If DCM is required (high step-up ratio) output L_DCM. Otherwise output the CCM inductor value</t>
  </si>
  <si>
    <r>
      <t xml:space="preserve">Forced off time limit? [2 True, 1 False]. </t>
    </r>
    <r>
      <rPr>
        <b/>
        <sz val="11"/>
        <color theme="1"/>
        <rFont val="Calibri"/>
        <family val="2"/>
        <scheme val="minor"/>
      </rPr>
      <t>Note this is calcualting for the minimum duty cycle limit of the datasheet.</t>
    </r>
  </si>
  <si>
    <t>Lm_calc</t>
  </si>
  <si>
    <t>This value used to make the selection for CCM calculations</t>
  </si>
  <si>
    <t>Duty Cycle Calculations</t>
  </si>
  <si>
    <t>Minium input voltage</t>
  </si>
  <si>
    <t>DCc_mode_VIN_min</t>
  </si>
  <si>
    <t>DCc_mode_VIN_nom</t>
  </si>
  <si>
    <t>DCc_mode_VIN_max</t>
  </si>
  <si>
    <t>IL_avg_VIN_max</t>
  </si>
  <si>
    <t>Current Sense Resistor calculated, id DCM this is going to be the value calculated without slope compensation</t>
  </si>
  <si>
    <t>External Compensation? (0-no, 1-yes), Only accurate for CCM as DCM doesn't need slope compensation</t>
  </si>
  <si>
    <t>fcross_estimate</t>
  </si>
  <si>
    <t>Itrans</t>
  </si>
  <si>
    <r>
      <t>Desired load step ripple voltage (</t>
    </r>
    <r>
      <rPr>
        <sz val="11"/>
        <color theme="1"/>
        <rFont val="Calibri"/>
        <family val="2"/>
      </rPr>
      <t>Δv</t>
    </r>
    <r>
      <rPr>
        <vertAlign val="subscript"/>
        <sz val="11"/>
        <color theme="1"/>
        <rFont val="Calibri"/>
        <family val="2"/>
      </rPr>
      <t>OUT</t>
    </r>
    <r>
      <rPr>
        <sz val="11"/>
        <color theme="1"/>
        <rFont val="Calibri"/>
        <family val="2"/>
      </rPr>
      <t>)</t>
    </r>
  </si>
  <si>
    <t>CCM Calculations</t>
  </si>
  <si>
    <t>DCM Selections</t>
  </si>
  <si>
    <t>CCM Plant Transfer Function</t>
  </si>
  <si>
    <t>DCM Plant Transfer Function</t>
  </si>
  <si>
    <t xml:space="preserve"> CCMPlant Parameters</t>
  </si>
  <si>
    <t xml:space="preserve"> DCMPlant Parameters</t>
  </si>
  <si>
    <t>ADC_VIN_min_DCM</t>
  </si>
  <si>
    <t>Fm_DCM</t>
  </si>
  <si>
    <t>wp_dcm</t>
  </si>
  <si>
    <t>wz1_dcm</t>
  </si>
  <si>
    <t>wz2_dcm</t>
  </si>
  <si>
    <t>fcross_DCM</t>
  </si>
  <si>
    <r>
      <t xml:space="preserve">Conservative. Set Fcross to be 1/5th the RHP zero frequency or 1/10th SW: whichever is lower. </t>
    </r>
    <r>
      <rPr>
        <b/>
        <sz val="11"/>
        <color theme="1"/>
        <rFont val="Calibri"/>
        <family val="2"/>
        <scheme val="minor"/>
      </rPr>
      <t>Note this is just for CCM operation</t>
    </r>
  </si>
  <si>
    <t>General Loop Selections</t>
  </si>
  <si>
    <t>Rcomp_Calc_DCM</t>
  </si>
  <si>
    <t>Calcualted based on the desired Zero frequency. Set at the geometric mean between the crossover frequency and the load pole</t>
  </si>
  <si>
    <t>Calcualted based on the RHP zero frequency</t>
  </si>
  <si>
    <t>Ohm</t>
  </si>
  <si>
    <t>CCOMP_Calc_DCM</t>
  </si>
  <si>
    <t>CHF_Calc_DCM</t>
  </si>
  <si>
    <t>Rcomp_Calc_CCM</t>
  </si>
  <si>
    <t>CCOMP_calc_CCM</t>
  </si>
  <si>
    <t>CHF_Calc_CCM</t>
  </si>
  <si>
    <t>CHF_calc</t>
  </si>
  <si>
    <t>CCM Plan Parameters</t>
  </si>
  <si>
    <t>Variable output current (Can add this a different revision, not needed right now)</t>
  </si>
  <si>
    <t>RHP zero location</t>
  </si>
  <si>
    <t>Modulator gain of the PWM comparator</t>
  </si>
  <si>
    <t>DC_VIN_var_DCM</t>
  </si>
  <si>
    <t>Operating mode</t>
  </si>
  <si>
    <t>0 - DCM operation, 1- CCM opertaion</t>
  </si>
  <si>
    <t>wp_lf_DCM</t>
  </si>
  <si>
    <t>CCM Open Loop Response</t>
  </si>
  <si>
    <t>DCM Open Loop Response</t>
  </si>
  <si>
    <t>Displayed Loop Calclation</t>
  </si>
  <si>
    <t>Gain(dB)</t>
  </si>
  <si>
    <t>Phase (deg)</t>
  </si>
  <si>
    <t>RAD</t>
  </si>
  <si>
    <t>This sets the error amp zero at the geometric mean between the load pole and the crossover frequency</t>
  </si>
  <si>
    <t>Vsl</t>
  </si>
  <si>
    <r>
      <t xml:space="preserve">Current sense resistor without slope compensation </t>
    </r>
    <r>
      <rPr>
        <b/>
        <sz val="11"/>
        <color theme="1"/>
        <rFont val="Calibri"/>
        <family val="2"/>
        <scheme val="minor"/>
      </rPr>
      <t>(No variable slope compensation of the LM5127)</t>
    </r>
  </si>
  <si>
    <r>
      <t>External Slope Compensation Resistor</t>
    </r>
    <r>
      <rPr>
        <b/>
        <sz val="11"/>
        <color theme="1"/>
        <rFont val="Calibri"/>
        <family val="2"/>
        <scheme val="minor"/>
      </rPr>
      <t xml:space="preserve"> (No external Slope Comp for LM5127)</t>
    </r>
  </si>
  <si>
    <t>Kex</t>
  </si>
  <si>
    <t>Km</t>
  </si>
  <si>
    <t>Kd</t>
  </si>
  <si>
    <t>Slope compensation parameters. Will change pole and DC gain equation</t>
  </si>
  <si>
    <t>Sampling pole</t>
  </si>
  <si>
    <t>Q factor of the inductor sampling curve</t>
  </si>
  <si>
    <t>Always set to 1 right now for initial revision. Will only operate in CCM</t>
  </si>
  <si>
    <t>Kex_VINmin</t>
  </si>
  <si>
    <t>Km_VINmin</t>
  </si>
  <si>
    <t>Kd_VINmin</t>
  </si>
  <si>
    <t>Calculated at the minimum input voltage</t>
  </si>
  <si>
    <t>Slope compensation (VSL is refered to the current sense resistor)</t>
  </si>
  <si>
    <t>Uses the felxible equations used in my mathcad file.</t>
  </si>
  <si>
    <t>ae</t>
  </si>
  <si>
    <t>be</t>
  </si>
  <si>
    <t>Gfc</t>
  </si>
  <si>
    <r>
      <t>On-State Resistance, R</t>
    </r>
    <r>
      <rPr>
        <vertAlign val="subscript"/>
        <sz val="10"/>
        <color theme="2" tint="-0.89999084444715716"/>
        <rFont val="Arial"/>
        <family val="2"/>
      </rPr>
      <t>DS(on)</t>
    </r>
    <r>
      <rPr>
        <sz val="10"/>
        <color theme="2" tint="-0.89999084444715716"/>
        <rFont val="Arial"/>
        <family val="2"/>
      </rPr>
      <t xml:space="preserve"> </t>
    </r>
  </si>
  <si>
    <r>
      <t>Total Gate Charge, Q</t>
    </r>
    <r>
      <rPr>
        <vertAlign val="subscript"/>
        <sz val="10"/>
        <color theme="2" tint="-0.89999084444715716"/>
        <rFont val="Arial"/>
        <family val="2"/>
      </rPr>
      <t>G</t>
    </r>
    <r>
      <rPr>
        <sz val="10"/>
        <color theme="2" tint="-0.89999084444715716"/>
        <rFont val="Arial"/>
        <family val="2"/>
      </rPr>
      <t xml:space="preserve"> </t>
    </r>
  </si>
  <si>
    <r>
      <t>Gate-Drain Charge, Q</t>
    </r>
    <r>
      <rPr>
        <vertAlign val="subscript"/>
        <sz val="10"/>
        <color theme="2" tint="-0.89999084444715716"/>
        <rFont val="Arial"/>
        <family val="2"/>
      </rPr>
      <t>GD</t>
    </r>
    <r>
      <rPr>
        <sz val="10"/>
        <color theme="2" tint="-0.89999084444715716"/>
        <rFont val="Arial"/>
        <family val="2"/>
      </rPr>
      <t xml:space="preserve"> </t>
    </r>
  </si>
  <si>
    <r>
      <t>Gate-Source Charge, Q</t>
    </r>
    <r>
      <rPr>
        <vertAlign val="subscript"/>
        <sz val="10"/>
        <color theme="2" tint="-0.89999084444715716"/>
        <rFont val="Arial"/>
        <family val="2"/>
      </rPr>
      <t>GS</t>
    </r>
    <r>
      <rPr>
        <sz val="10"/>
        <color theme="2" tint="-0.89999084444715716"/>
        <rFont val="Arial"/>
        <family val="2"/>
      </rPr>
      <t xml:space="preserve"> </t>
    </r>
  </si>
  <si>
    <r>
      <t>Gate Resistance, R</t>
    </r>
    <r>
      <rPr>
        <vertAlign val="subscript"/>
        <sz val="10"/>
        <color theme="2" tint="-0.89999084444715716"/>
        <rFont val="Arial"/>
        <family val="2"/>
      </rPr>
      <t>G</t>
    </r>
    <r>
      <rPr>
        <sz val="10"/>
        <color theme="2" tint="-0.89999084444715716"/>
        <rFont val="Arial"/>
        <family val="2"/>
      </rPr>
      <t xml:space="preserve"> </t>
    </r>
  </si>
  <si>
    <r>
      <t>Gate-Source Threshold Voltage, V</t>
    </r>
    <r>
      <rPr>
        <vertAlign val="subscript"/>
        <sz val="10"/>
        <color theme="2" tint="-0.89999084444715716"/>
        <rFont val="Arial"/>
        <family val="2"/>
      </rPr>
      <t>TH</t>
    </r>
    <r>
      <rPr>
        <sz val="10"/>
        <color theme="2" tint="-0.89999084444715716"/>
        <rFont val="Arial"/>
        <family val="2"/>
      </rPr>
      <t xml:space="preserve"> </t>
    </r>
  </si>
  <si>
    <r>
      <t>Boost Converter Duty Cycle Limit of LM5123 at V</t>
    </r>
    <r>
      <rPr>
        <vertAlign val="subscript"/>
        <sz val="10"/>
        <color theme="1"/>
        <rFont val="Calibri"/>
        <family val="2"/>
        <scheme val="minor"/>
      </rPr>
      <t>SUPPLY(MIN)</t>
    </r>
  </si>
  <si>
    <t>LM5123 BOOST Controller Design Tool</t>
  </si>
  <si>
    <t>VOUT_range</t>
  </si>
  <si>
    <t>Suggested output voltage range</t>
  </si>
  <si>
    <t xml:space="preserve">Sets the feedback divider. Unique to the LM5123 topology (1 = low voltage &lt;=15V, 2 = high voltage &gt;15V) </t>
  </si>
  <si>
    <t>Light load operation switching mode</t>
  </si>
  <si>
    <t>SW_mode</t>
  </si>
  <si>
    <t>selected switching mode (1 = SKIP, 2 = DEM, 3 =FPWM) Will change the effieciency calculations accordingly</t>
  </si>
  <si>
    <r>
      <t>Switching mode at V</t>
    </r>
    <r>
      <rPr>
        <vertAlign val="subscript"/>
        <sz val="11"/>
        <color theme="1"/>
        <rFont val="Calibri"/>
        <family val="2"/>
        <scheme val="minor"/>
      </rPr>
      <t>SUPPLY(min)</t>
    </r>
  </si>
  <si>
    <t xml:space="preserve">Estimated efficiency. Assuming 100% simplify the calculations </t>
  </si>
  <si>
    <t xml:space="preserve">1: DCM operation required at VINmin to achieve the step-up ratio. 
</t>
  </si>
  <si>
    <t>2: CCM operation can achieve step-up ratio with out violating the maximum duty cycle</t>
  </si>
  <si>
    <t>Maximum IC duty cycle. Based on the forced off time and frequency. Give the equation about 2% margin to allow for losses in the controller</t>
  </si>
  <si>
    <t>DCM Operation calculations</t>
  </si>
  <si>
    <t>Indicates if the regulator is operating in CCM or DCM at full load (1 = CCM, 0 = DCM)</t>
  </si>
  <si>
    <t>Np</t>
  </si>
  <si>
    <t>number of phases in operation (For the LM5123 only one phase is possilbe with out external circuts)</t>
  </si>
  <si>
    <t>Normal</t>
  </si>
  <si>
    <t>Indicates if the regulator is operating in CCM or DCM at full load (1 = CCM, 0 = DCM). If FPWM mode is selected always picks CCM operation</t>
  </si>
  <si>
    <t>ratio of down slope to slope compensation. This helps to prevent sub-harmonic oscillation in conditions where the duty cycle is &gt; 50%</t>
  </si>
  <si>
    <r>
      <t>External slope compensation resistor, if DCM operation the external slope compensation is not needed. Should b 0 Ohm (</t>
    </r>
    <r>
      <rPr>
        <b/>
        <sz val="11"/>
        <color theme="1"/>
        <rFont val="Calibri"/>
        <family val="2"/>
        <scheme val="minor"/>
      </rPr>
      <t>No external slope comp in LM5123)</t>
    </r>
  </si>
  <si>
    <r>
      <t>Selected external slope compensation (</t>
    </r>
    <r>
      <rPr>
        <b/>
        <sz val="11"/>
        <color theme="1"/>
        <rFont val="Calibri"/>
        <family val="2"/>
        <scheme val="minor"/>
      </rPr>
      <t>No varialbe slope compenstiaon for the LM5123)</t>
    </r>
  </si>
  <si>
    <t>Can add this in later to make sure the dynamic range of the error amplifier is not violated</t>
  </si>
  <si>
    <t>HZ</t>
  </si>
  <si>
    <t>Estimate to be 1.5 the RHP zero frequency. Pick based on DCM or CCM operation.</t>
  </si>
  <si>
    <t>RMS current of the output capacitor at VIN min IOUT max. RMS current rating should be larger than this. Need to update for DCM</t>
  </si>
  <si>
    <r>
      <t>Desired voltage On (V</t>
    </r>
    <r>
      <rPr>
        <vertAlign val="subscript"/>
        <sz val="11"/>
        <color theme="1"/>
        <rFont val="Calibri"/>
        <family val="2"/>
        <scheme val="minor"/>
      </rPr>
      <t>UVLO_ON</t>
    </r>
    <r>
      <rPr>
        <sz val="11"/>
        <color theme="1"/>
        <rFont val="Calibri"/>
        <family val="2"/>
        <scheme val="minor"/>
      </rPr>
      <t>)</t>
    </r>
  </si>
  <si>
    <r>
      <t>Desired voltage OFF (V</t>
    </r>
    <r>
      <rPr>
        <vertAlign val="subscript"/>
        <sz val="11"/>
        <color theme="1"/>
        <rFont val="Calibri"/>
        <family val="2"/>
        <scheme val="minor"/>
      </rPr>
      <t>UVLO_OFF</t>
    </r>
    <r>
      <rPr>
        <sz val="11"/>
        <color theme="1"/>
        <rFont val="Calibri"/>
        <family val="2"/>
        <scheme val="minor"/>
      </rPr>
      <t>)</t>
    </r>
  </si>
  <si>
    <r>
      <t>Calculated top UVLO resistor value (R</t>
    </r>
    <r>
      <rPr>
        <vertAlign val="subscript"/>
        <sz val="11"/>
        <color theme="1"/>
        <rFont val="Calibri"/>
        <family val="2"/>
        <scheme val="minor"/>
      </rPr>
      <t>UVT_CALC</t>
    </r>
    <r>
      <rPr>
        <sz val="11"/>
        <color theme="1"/>
        <rFont val="Calibri"/>
        <family val="2"/>
        <scheme val="minor"/>
      </rPr>
      <t>)</t>
    </r>
  </si>
  <si>
    <r>
      <t>Selected top UVLO resistor value (R</t>
    </r>
    <r>
      <rPr>
        <vertAlign val="subscript"/>
        <sz val="11"/>
        <color theme="1"/>
        <rFont val="Calibri"/>
        <family val="2"/>
        <scheme val="minor"/>
      </rPr>
      <t>UVT</t>
    </r>
    <r>
      <rPr>
        <sz val="11"/>
        <color theme="1"/>
        <rFont val="Calibri"/>
        <family val="2"/>
        <scheme val="minor"/>
      </rPr>
      <t>)</t>
    </r>
  </si>
  <si>
    <r>
      <t>Bottom UVLO Resistor (R</t>
    </r>
    <r>
      <rPr>
        <vertAlign val="subscript"/>
        <sz val="11"/>
        <color theme="1"/>
        <rFont val="Calibri"/>
        <family val="2"/>
        <scheme val="minor"/>
      </rPr>
      <t>UVB</t>
    </r>
    <r>
      <rPr>
        <sz val="11"/>
        <color theme="1"/>
        <rFont val="Calibri"/>
        <family val="2"/>
        <scheme val="minor"/>
      </rPr>
      <t>)</t>
    </r>
  </si>
  <si>
    <t>Step 5: UVLO Resistor Divider Selection</t>
  </si>
  <si>
    <t>Step 6: Soft-Start Capacitor Selection</t>
  </si>
  <si>
    <t>*The output capcitance is based on the load transient specification. Similar to the fylback converter</t>
  </si>
  <si>
    <t>Vout_Range</t>
  </si>
  <si>
    <t>KFB</t>
  </si>
  <si>
    <t>Kfb_low</t>
  </si>
  <si>
    <t>Kfb_high</t>
  </si>
  <si>
    <t>Rmax_low</t>
  </si>
  <si>
    <t>Rmax_high</t>
  </si>
  <si>
    <t>Rmin_low</t>
  </si>
  <si>
    <t>Rmin_high</t>
  </si>
  <si>
    <t>Rmax</t>
  </si>
  <si>
    <t>Rmin</t>
  </si>
  <si>
    <t>RFBT_max</t>
  </si>
  <si>
    <t>RFBT_min</t>
  </si>
  <si>
    <t>VTRK</t>
  </si>
  <si>
    <t>TRK pin voltage to set the correct output voltage</t>
  </si>
  <si>
    <t>VREF Resistor Selection</t>
  </si>
  <si>
    <r>
      <t>Calculated bottom feedback resistor (R</t>
    </r>
    <r>
      <rPr>
        <vertAlign val="subscript"/>
        <sz val="11"/>
        <color theme="1"/>
        <rFont val="Calibri"/>
        <family val="2"/>
        <scheme val="minor"/>
      </rPr>
      <t>VREFB_calc</t>
    </r>
    <r>
      <rPr>
        <sz val="11"/>
        <color theme="1"/>
        <rFont val="Calibri"/>
        <family val="2"/>
        <scheme val="minor"/>
      </rPr>
      <t>)</t>
    </r>
  </si>
  <si>
    <r>
      <t>Track pin voltage to set the output voltage (V</t>
    </r>
    <r>
      <rPr>
        <vertAlign val="subscript"/>
        <sz val="11"/>
        <color theme="1"/>
        <rFont val="Calibri"/>
        <family val="2"/>
        <scheme val="minor"/>
      </rPr>
      <t>TRK</t>
    </r>
    <r>
      <rPr>
        <sz val="11"/>
        <color theme="1"/>
        <rFont val="Calibri"/>
        <family val="2"/>
        <scheme val="minor"/>
      </rPr>
      <t>)</t>
    </r>
  </si>
  <si>
    <r>
      <rPr>
        <b/>
        <sz val="11"/>
        <color theme="1"/>
        <rFont val="Calibri"/>
        <family val="2"/>
        <scheme val="minor"/>
      </rPr>
      <t xml:space="preserve">Not used for the LM5123 or the LM5152. </t>
    </r>
    <r>
      <rPr>
        <sz val="11"/>
        <color theme="1"/>
        <rFont val="Calibri"/>
        <family val="2"/>
        <scheme val="minor"/>
      </rPr>
      <t>Current Drawn from the feedback resistors (Typically higher than 100uA to help w/ noise)</t>
    </r>
  </si>
  <si>
    <t>This is the output to the user based on the mode of operation when VIN is the minimum. Changes based on DCM or CCM operation</t>
  </si>
  <si>
    <r>
      <t>Crossover frequnecy of the</t>
    </r>
    <r>
      <rPr>
        <b/>
        <sz val="11"/>
        <color theme="1"/>
        <rFont val="Calibri"/>
        <family val="2"/>
        <scheme val="minor"/>
      </rPr>
      <t xml:space="preserve"> DCM control loop</t>
    </r>
    <r>
      <rPr>
        <sz val="11"/>
        <color theme="1"/>
        <rFont val="Calibri"/>
        <family val="2"/>
        <scheme val="minor"/>
      </rPr>
      <t>. (1/5th the RHPzero frequency), or 10th the switching frequency which ever is lower</t>
    </r>
  </si>
  <si>
    <t>Selected crossover</t>
  </si>
  <si>
    <t>DCM Operation Loop Model</t>
  </si>
  <si>
    <t>Fcross (VINvar)</t>
  </si>
  <si>
    <t>Low-Side MOSFET</t>
  </si>
  <si>
    <t>High-Side MOSFET Losses</t>
  </si>
  <si>
    <t>LOW Side MOSFET Parameters</t>
  </si>
  <si>
    <t>High Side MOSFET Parameters</t>
  </si>
  <si>
    <t>Body Diode Reverse recovery charge</t>
  </si>
  <si>
    <t>Body Diode Forward drop</t>
  </si>
  <si>
    <r>
      <t>Body Diode Reverse Recovery Charge (Q</t>
    </r>
    <r>
      <rPr>
        <vertAlign val="subscript"/>
        <sz val="11"/>
        <color theme="2" tint="-0.89996032593768116"/>
        <rFont val="Calibri"/>
        <family val="2"/>
        <scheme val="minor"/>
      </rPr>
      <t>RR</t>
    </r>
    <r>
      <rPr>
        <sz val="11"/>
        <color theme="2" tint="-0.89999084444715716"/>
        <rFont val="Calibri"/>
        <family val="2"/>
        <scheme val="minor"/>
      </rPr>
      <t>)</t>
    </r>
  </si>
  <si>
    <r>
      <t>Body Diode Forward Voltage Drop (V</t>
    </r>
    <r>
      <rPr>
        <vertAlign val="subscript"/>
        <sz val="11"/>
        <color theme="2" tint="-0.89996032593768116"/>
        <rFont val="Calibri"/>
        <family val="2"/>
        <scheme val="minor"/>
      </rPr>
      <t>D_BD</t>
    </r>
    <r>
      <rPr>
        <sz val="11"/>
        <color theme="2" tint="-0.89999084444715716"/>
        <rFont val="Calibri"/>
        <family val="2"/>
        <scheme val="minor"/>
      </rPr>
      <t>)</t>
    </r>
  </si>
  <si>
    <r>
      <t>Gate-Source Threshold Voltage, (V</t>
    </r>
    <r>
      <rPr>
        <vertAlign val="subscript"/>
        <sz val="10"/>
        <color theme="2" tint="-0.89999084444715716"/>
        <rFont val="Arial"/>
        <family val="2"/>
      </rPr>
      <t>TH</t>
    </r>
    <r>
      <rPr>
        <sz val="10"/>
        <color theme="2" tint="-0.89999084444715716"/>
        <rFont val="Arial"/>
        <family val="2"/>
      </rPr>
      <t>)</t>
    </r>
  </si>
  <si>
    <r>
      <t>Gate Resistance, (R</t>
    </r>
    <r>
      <rPr>
        <vertAlign val="subscript"/>
        <sz val="10"/>
        <color theme="2" tint="-0.89999084444715716"/>
        <rFont val="Arial"/>
        <family val="2"/>
      </rPr>
      <t>G</t>
    </r>
    <r>
      <rPr>
        <sz val="10"/>
        <color theme="2" tint="-0.89999084444715716"/>
        <rFont val="Arial"/>
        <family val="2"/>
      </rPr>
      <t>)</t>
    </r>
  </si>
  <si>
    <r>
      <t>On-State Resistance, (R</t>
    </r>
    <r>
      <rPr>
        <vertAlign val="subscript"/>
        <sz val="10"/>
        <color theme="2" tint="-0.89999084444715716"/>
        <rFont val="Arial"/>
        <family val="2"/>
      </rPr>
      <t>DS(on)</t>
    </r>
    <r>
      <rPr>
        <sz val="10"/>
        <color theme="2" tint="-0.89999084444715716"/>
        <rFont val="Arial"/>
        <family val="2"/>
      </rPr>
      <t>)</t>
    </r>
  </si>
  <si>
    <r>
      <t>Total Gate Charge, (Q</t>
    </r>
    <r>
      <rPr>
        <vertAlign val="subscript"/>
        <sz val="10"/>
        <color theme="2" tint="-0.89999084444715716"/>
        <rFont val="Arial"/>
        <family val="2"/>
      </rPr>
      <t>G</t>
    </r>
    <r>
      <rPr>
        <sz val="10"/>
        <color theme="2" tint="-0.89999084444715716"/>
        <rFont val="Arial"/>
        <family val="2"/>
      </rPr>
      <t>)</t>
    </r>
  </si>
  <si>
    <r>
      <t>Gate-Drain Charge, (Q</t>
    </r>
    <r>
      <rPr>
        <vertAlign val="subscript"/>
        <sz val="10"/>
        <color theme="2" tint="-0.89999084444715716"/>
        <rFont val="Arial"/>
        <family val="2"/>
      </rPr>
      <t>GD</t>
    </r>
    <r>
      <rPr>
        <sz val="10"/>
        <color theme="2" tint="-0.89999084444715716"/>
        <rFont val="Arial"/>
        <family val="2"/>
      </rPr>
      <t>)</t>
    </r>
  </si>
  <si>
    <r>
      <t>Gate-Source Charge, (Q</t>
    </r>
    <r>
      <rPr>
        <vertAlign val="subscript"/>
        <sz val="10"/>
        <color theme="2" tint="-0.89999084444715716"/>
        <rFont val="Arial"/>
        <family val="2"/>
      </rPr>
      <t>GS</t>
    </r>
    <r>
      <rPr>
        <sz val="10"/>
        <color theme="2" tint="-0.89999084444715716"/>
        <rFont val="Arial"/>
        <family val="2"/>
      </rPr>
      <t>)</t>
    </r>
  </si>
  <si>
    <r>
      <t>IHS</t>
    </r>
    <r>
      <rPr>
        <vertAlign val="subscript"/>
        <sz val="11"/>
        <color theme="1"/>
        <rFont val="Calibri"/>
        <family val="2"/>
        <scheme val="minor"/>
      </rPr>
      <t>RMS</t>
    </r>
  </si>
  <si>
    <t>Dead Time losses</t>
  </si>
  <si>
    <t>Dead time losses (Sync Controller)</t>
  </si>
  <si>
    <t>t_dead</t>
  </si>
  <si>
    <r>
      <t>P</t>
    </r>
    <r>
      <rPr>
        <vertAlign val="subscript"/>
        <sz val="11"/>
        <color theme="1"/>
        <rFont val="Calibri"/>
        <family val="2"/>
        <scheme val="minor"/>
      </rPr>
      <t xml:space="preserve">HS_tot </t>
    </r>
    <r>
      <rPr>
        <sz val="11"/>
        <color theme="1"/>
        <rFont val="Calibri"/>
        <family val="2"/>
        <scheme val="minor"/>
      </rPr>
      <t>(W)</t>
    </r>
  </si>
  <si>
    <r>
      <t>Select a top VREF resistor between R</t>
    </r>
    <r>
      <rPr>
        <vertAlign val="subscript"/>
        <sz val="11"/>
        <color theme="1"/>
        <rFont val="Calibri"/>
        <family val="2"/>
        <scheme val="minor"/>
      </rPr>
      <t>VREFT_min</t>
    </r>
    <r>
      <rPr>
        <sz val="11"/>
        <color theme="1"/>
        <rFont val="Calibri"/>
        <family val="2"/>
        <scheme val="minor"/>
      </rPr>
      <t xml:space="preserve"> and R</t>
    </r>
    <r>
      <rPr>
        <vertAlign val="subscript"/>
        <sz val="11"/>
        <color theme="1"/>
        <rFont val="Calibri"/>
        <family val="2"/>
        <scheme val="minor"/>
      </rPr>
      <t>VREFT_max</t>
    </r>
    <r>
      <rPr>
        <sz val="11"/>
        <color theme="1"/>
        <rFont val="Calibri"/>
        <family val="2"/>
        <scheme val="minor"/>
      </rPr>
      <t xml:space="preserve"> (R</t>
    </r>
    <r>
      <rPr>
        <vertAlign val="subscript"/>
        <sz val="11"/>
        <color theme="1"/>
        <rFont val="Calibri"/>
        <family val="2"/>
        <scheme val="minor"/>
      </rPr>
      <t>VREFT</t>
    </r>
    <r>
      <rPr>
        <sz val="11"/>
        <color theme="1"/>
        <rFont val="Calibri"/>
        <family val="2"/>
        <scheme val="minor"/>
      </rPr>
      <t>)</t>
    </r>
  </si>
  <si>
    <r>
      <t>P</t>
    </r>
    <r>
      <rPr>
        <vertAlign val="subscript"/>
        <sz val="11"/>
        <color theme="1"/>
        <rFont val="Calibri"/>
        <family val="2"/>
        <scheme val="minor"/>
      </rPr>
      <t>L_CORE</t>
    </r>
    <r>
      <rPr>
        <sz val="11"/>
        <color theme="1"/>
        <rFont val="Calibri"/>
        <family val="2"/>
        <scheme val="minor"/>
      </rPr>
      <t xml:space="preserve"> (W)</t>
    </r>
  </si>
  <si>
    <r>
      <t>Low-Side MOSFET Parameters (Q</t>
    </r>
    <r>
      <rPr>
        <b/>
        <vertAlign val="subscript"/>
        <sz val="11"/>
        <color theme="2" tint="-0.89996032593768116"/>
        <rFont val="Calibri"/>
        <family val="2"/>
        <scheme val="minor"/>
      </rPr>
      <t>LS</t>
    </r>
    <r>
      <rPr>
        <b/>
        <sz val="11"/>
        <color theme="2" tint="-0.89999084444715716"/>
        <rFont val="Calibri"/>
        <family val="2"/>
        <scheme val="minor"/>
      </rPr>
      <t>)</t>
    </r>
  </si>
  <si>
    <r>
      <t>High-Side MOSFET Parameters (Q</t>
    </r>
    <r>
      <rPr>
        <b/>
        <vertAlign val="subscript"/>
        <sz val="11"/>
        <color theme="2" tint="-0.89996032593768116"/>
        <rFont val="Calibri"/>
        <family val="2"/>
        <scheme val="minor"/>
      </rPr>
      <t>HS</t>
    </r>
    <r>
      <rPr>
        <b/>
        <sz val="11"/>
        <color theme="2" tint="-0.89999084444715716"/>
        <rFont val="Calibri"/>
        <family val="2"/>
        <scheme val="minor"/>
      </rPr>
      <t>)</t>
    </r>
  </si>
  <si>
    <r>
      <t>Select a bottomresistor based on calculated balue(R</t>
    </r>
    <r>
      <rPr>
        <vertAlign val="subscript"/>
        <sz val="11"/>
        <color theme="1"/>
        <rFont val="Calibri"/>
        <family val="2"/>
        <scheme val="minor"/>
      </rPr>
      <t>VREFB</t>
    </r>
    <r>
      <rPr>
        <sz val="11"/>
        <color theme="1"/>
        <rFont val="Calibri"/>
        <family val="2"/>
        <scheme val="minor"/>
      </rPr>
      <t>)</t>
    </r>
  </si>
  <si>
    <r>
      <t>Selected bandwidth (F</t>
    </r>
    <r>
      <rPr>
        <vertAlign val="subscript"/>
        <sz val="11"/>
        <color theme="1"/>
        <rFont val="Calibri"/>
        <family val="2"/>
        <scheme val="minor"/>
      </rPr>
      <t>CO</t>
    </r>
    <r>
      <rPr>
        <sz val="11"/>
        <color theme="1"/>
        <rFont val="Calibri"/>
        <family val="2"/>
        <scheme val="minor"/>
      </rPr>
      <t>)</t>
    </r>
  </si>
  <si>
    <r>
      <t>Suggested bandwidth (F</t>
    </r>
    <r>
      <rPr>
        <vertAlign val="subscript"/>
        <sz val="11"/>
        <color theme="1"/>
        <rFont val="Calibri"/>
        <family val="2"/>
        <scheme val="minor"/>
      </rPr>
      <t>CO_calc</t>
    </r>
    <r>
      <rPr>
        <sz val="11"/>
        <color theme="1"/>
        <rFont val="Calibri"/>
        <family val="2"/>
        <scheme val="minor"/>
      </rPr>
      <t>)</t>
    </r>
  </si>
  <si>
    <r>
      <t>Minimum value for (R</t>
    </r>
    <r>
      <rPr>
        <vertAlign val="subscript"/>
        <sz val="11"/>
        <color theme="1"/>
        <rFont val="Calibri"/>
        <family val="2"/>
        <scheme val="minor"/>
      </rPr>
      <t>VREFT_min</t>
    </r>
    <r>
      <rPr>
        <sz val="11"/>
        <color theme="1"/>
        <rFont val="Calibri"/>
        <family val="2"/>
        <scheme val="minor"/>
      </rPr>
      <t>)</t>
    </r>
  </si>
  <si>
    <r>
      <t>Maximum value for (R</t>
    </r>
    <r>
      <rPr>
        <vertAlign val="subscript"/>
        <sz val="11"/>
        <color theme="1"/>
        <rFont val="Calibri"/>
        <family val="2"/>
        <scheme val="minor"/>
      </rPr>
      <t>VREFT_max</t>
    </r>
    <r>
      <rPr>
        <sz val="11"/>
        <color theme="1"/>
        <rFont val="Calibri"/>
        <family val="2"/>
        <scheme val="minor"/>
      </rPr>
      <t>)</t>
    </r>
  </si>
  <si>
    <t>nest</t>
  </si>
  <si>
    <t>estimated efficiency at the peak current limit. Keep at ~95% for SYNC boost controllers</t>
  </si>
  <si>
    <t xml:space="preserve"> </t>
  </si>
  <si>
    <t>SCH_1 = SKIP</t>
  </si>
  <si>
    <t>SCH_2 = DEM</t>
  </si>
  <si>
    <t>SCH_3 = FPWM</t>
  </si>
  <si>
    <t>DEM</t>
  </si>
  <si>
    <t>Rev 0.2</t>
  </si>
  <si>
    <t>December-2021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</si>
</sst>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E+00"/>
    <numFmt numFmtId="166" formatCode="0.0000"/>
    <numFmt numFmtId="167" formatCode="0.0"/>
    <numFmt numFmtId="168" formatCode="0.0E+00"/>
    <numFmt numFmtId="169" formatCode="0.00000"/>
  </numFmts>
  <fonts count="40"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sz val="10"/>
      <name val="Arial"/>
      <family val="2"/>
    </font>
    <font>
      <b/>
      <sz val="10"/>
      <name val="Arial"/>
      <family val="2"/>
    </font>
    <font>
      <b/>
      <sz val="22"/>
      <color indexed="44"/>
      <name val="Arial"/>
      <family val="2"/>
    </font>
    <font>
      <b/>
      <sz val="9"/>
      <color indexed="81"/>
      <name val="Tahoma"/>
      <family val="2"/>
    </font>
    <font>
      <sz val="9"/>
      <color indexed="81"/>
      <name val="Tahoma"/>
      <family val="2"/>
    </font>
    <font>
      <b/>
      <sz val="12"/>
      <color rgb="FF0000FF"/>
      <name val="Arial"/>
      <family val="2"/>
    </font>
    <font>
      <sz val="28"/>
      <color theme="0"/>
      <name val="Calibri"/>
      <family val="2"/>
      <scheme val="minor"/>
    </font>
    <font>
      <b/>
      <sz val="11"/>
      <color indexed="10"/>
      <name val="Tahoma"/>
      <family val="2"/>
    </font>
    <font>
      <sz val="12"/>
      <color indexed="10"/>
      <name val="Tahoma"/>
      <family val="2"/>
    </font>
    <font>
      <sz val="10"/>
      <color theme="1"/>
      <name val="Calibri"/>
      <family val="2"/>
      <scheme val="minor"/>
    </font>
    <font>
      <vertAlign val="subscript"/>
      <sz val="10"/>
      <color theme="1"/>
      <name val="Calibri"/>
      <family val="2"/>
      <scheme val="minor"/>
    </font>
    <font>
      <sz val="11"/>
      <name val="Calibri"/>
      <family val="2"/>
      <scheme val="minor"/>
    </font>
    <font>
      <b/>
      <sz val="11"/>
      <color rgb="FF0070C0"/>
      <name val="Calibri"/>
      <family val="2"/>
      <scheme val="minor"/>
    </font>
    <font>
      <sz val="11"/>
      <color theme="1"/>
      <name val="Calibri"/>
      <family val="2"/>
    </font>
    <font>
      <u/>
      <sz val="11"/>
      <color theme="1"/>
      <name val="Calibri"/>
      <family val="2"/>
      <scheme val="minor"/>
    </font>
    <font>
      <vertAlign val="subscript"/>
      <sz val="11"/>
      <color theme="1"/>
      <name val="Calibri"/>
      <family val="2"/>
      <scheme val="minor"/>
    </font>
    <font>
      <b/>
      <sz val="12"/>
      <color theme="1"/>
      <name val="Calibri"/>
      <family val="2"/>
      <scheme val="minor"/>
    </font>
    <font>
      <vertAlign val="subscript"/>
      <sz val="11"/>
      <color theme="1"/>
      <name val="Calibri"/>
      <family val="2"/>
    </font>
    <font>
      <b/>
      <sz val="11"/>
      <color theme="3" tint="0.39997558519241921"/>
      <name val="Calibri"/>
      <family val="2"/>
      <scheme val="minor"/>
    </font>
    <font>
      <b/>
      <sz val="11"/>
      <color theme="1"/>
      <name val="Calibri"/>
      <family val="2"/>
      <scheme val="minor"/>
    </font>
    <font>
      <sz val="10"/>
      <name val="Calibri"/>
      <family val="2"/>
      <scheme val="minor"/>
    </font>
    <font>
      <b/>
      <sz val="12"/>
      <color rgb="FF00B0F0"/>
      <name val="Calibri"/>
      <family val="2"/>
      <scheme val="minor"/>
    </font>
    <font>
      <b/>
      <sz val="11"/>
      <color rgb="FF00B0F0"/>
      <name val="Calibri"/>
      <family val="2"/>
      <scheme val="minor"/>
    </font>
    <font>
      <b/>
      <sz val="10"/>
      <color rgb="FF00B0F0"/>
      <name val="Arial"/>
      <family val="2"/>
    </font>
    <font>
      <vertAlign val="subscript"/>
      <sz val="10"/>
      <name val="Arial"/>
      <family val="2"/>
    </font>
    <font>
      <vertAlign val="subscript"/>
      <sz val="11"/>
      <name val="Calibri"/>
      <family val="2"/>
      <scheme val="minor"/>
    </font>
    <font>
      <sz val="11"/>
      <color rgb="FF0070C0"/>
      <name val="Calibri"/>
      <family val="2"/>
      <scheme val="minor"/>
    </font>
    <font>
      <b/>
      <u/>
      <sz val="11"/>
      <color theme="1"/>
      <name val="Calibri"/>
      <family val="2"/>
      <scheme val="minor"/>
    </font>
    <font>
      <sz val="18"/>
      <color theme="2" tint="-0.89999084444715716"/>
      <name val="Calibri"/>
      <family val="2"/>
      <scheme val="minor"/>
    </font>
    <font>
      <sz val="11"/>
      <color theme="2" tint="-0.89999084444715716"/>
      <name val="Calibri"/>
      <family val="2"/>
      <scheme val="minor"/>
    </font>
    <font>
      <b/>
      <sz val="11"/>
      <color theme="2" tint="-0.89999084444715716"/>
      <name val="Calibri"/>
      <family val="2"/>
      <scheme val="minor"/>
    </font>
    <font>
      <sz val="10"/>
      <color theme="2" tint="-0.89999084444715716"/>
      <name val="Arial"/>
      <family val="2"/>
    </font>
    <font>
      <vertAlign val="subscript"/>
      <sz val="10"/>
      <color theme="2" tint="-0.89999084444715716"/>
      <name val="Arial"/>
      <family val="2"/>
    </font>
    <font>
      <sz val="11"/>
      <color theme="1" tint="0.14999847407452621"/>
      <name val="Calibri"/>
      <family val="2"/>
      <scheme val="minor"/>
    </font>
    <font>
      <vertAlign val="subscript"/>
      <sz val="11"/>
      <color theme="2" tint="-0.89996032593768116"/>
      <name val="Calibri"/>
      <family val="2"/>
      <scheme val="minor"/>
    </font>
    <font>
      <b/>
      <vertAlign val="subscript"/>
      <sz val="11"/>
      <color theme="2" tint="-0.89996032593768116"/>
      <name val="Calibri"/>
      <family val="2"/>
      <scheme val="minor"/>
    </font>
  </fonts>
  <fills count="17">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52"/>
        <bgColor indexed="64"/>
      </patternFill>
    </fill>
    <fill>
      <patternFill patternType="solid">
        <fgColor indexed="50"/>
        <bgColor indexed="64"/>
      </patternFill>
    </fill>
    <fill>
      <patternFill patternType="solid">
        <fgColor rgb="FFFF0000"/>
        <bgColor indexed="64"/>
      </patternFill>
    </fill>
    <fill>
      <patternFill patternType="solid">
        <fgColor rgb="FFFFFF00"/>
        <bgColor indexed="64"/>
      </patternFill>
    </fill>
    <fill>
      <patternFill patternType="solid">
        <fgColor theme="0" tint="-0.499984740745262"/>
        <bgColor indexed="64"/>
      </patternFill>
    </fill>
    <fill>
      <patternFill patternType="solid">
        <fgColor rgb="FFFFC00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2" tint="-0.89999084444715716"/>
        <bgColor indexed="64"/>
      </patternFill>
    </fill>
    <fill>
      <patternFill patternType="solid">
        <fgColor theme="0"/>
        <bgColor indexed="64"/>
      </patternFill>
    </fill>
    <fill>
      <patternFill patternType="solid">
        <fgColor rgb="FF00B050"/>
        <bgColor indexed="64"/>
      </patternFill>
    </fill>
  </fills>
  <borders count="3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3" fillId="0" borderId="0"/>
    <xf numFmtId="43" fontId="4" fillId="0" borderId="0" applyFont="0" applyFill="0" applyBorder="0" applyAlignment="0" applyProtection="0"/>
    <xf numFmtId="0" fontId="4" fillId="0" borderId="0"/>
    <xf numFmtId="0" fontId="1" fillId="0" borderId="0"/>
    <xf numFmtId="43" fontId="1" fillId="0" borderId="0" applyFont="0" applyFill="0" applyBorder="0" applyAlignment="0" applyProtection="0"/>
    <xf numFmtId="0" fontId="4" fillId="0" borderId="0"/>
    <xf numFmtId="0" fontId="4" fillId="0" borderId="0"/>
    <xf numFmtId="43" fontId="3" fillId="0" borderId="0" applyFont="0" applyFill="0" applyBorder="0" applyAlignment="0" applyProtection="0"/>
    <xf numFmtId="0" fontId="3" fillId="0" borderId="0"/>
    <xf numFmtId="0" fontId="3" fillId="0" borderId="0"/>
    <xf numFmtId="0" fontId="3" fillId="0" borderId="0"/>
  </cellStyleXfs>
  <cellXfs count="235">
    <xf numFmtId="0" fontId="0" fillId="0" borderId="0" xfId="0"/>
    <xf numFmtId="0" fontId="0" fillId="9" borderId="0" xfId="0" applyFill="1"/>
    <xf numFmtId="0" fontId="17" fillId="0" borderId="0" xfId="0" applyFont="1"/>
    <xf numFmtId="0" fontId="0" fillId="10" borderId="0" xfId="0" applyFill="1"/>
    <xf numFmtId="0" fontId="4" fillId="0" borderId="0" xfId="3"/>
    <xf numFmtId="0" fontId="5" fillId="0" borderId="0" xfId="3" applyFont="1" applyAlignment="1">
      <alignment horizontal="center"/>
    </xf>
    <xf numFmtId="0" fontId="5" fillId="3" borderId="0" xfId="3" applyFont="1" applyFill="1" applyAlignment="1">
      <alignment horizontal="center"/>
    </xf>
    <xf numFmtId="0" fontId="5" fillId="4" borderId="0" xfId="3" applyFont="1" applyFill="1" applyAlignment="1">
      <alignment horizontal="center"/>
    </xf>
    <xf numFmtId="0" fontId="5" fillId="5" borderId="0" xfId="3" applyFont="1" applyFill="1" applyAlignment="1">
      <alignment horizontal="center"/>
    </xf>
    <xf numFmtId="0" fontId="5" fillId="0" borderId="0" xfId="3" applyFont="1"/>
    <xf numFmtId="0" fontId="9" fillId="0" borderId="0" xfId="3" applyFont="1"/>
    <xf numFmtId="2" fontId="0" fillId="10" borderId="0" xfId="0" applyNumberFormat="1" applyFill="1"/>
    <xf numFmtId="0" fontId="0" fillId="11" borderId="0" xfId="0" applyFill="1"/>
    <xf numFmtId="165" fontId="0" fillId="9" borderId="0" xfId="0" applyNumberFormat="1" applyFill="1"/>
    <xf numFmtId="0" fontId="5" fillId="0" borderId="0" xfId="3" applyFont="1" applyAlignment="1">
      <alignment horizontal="right"/>
    </xf>
    <xf numFmtId="0" fontId="4" fillId="0" borderId="0" xfId="3" applyAlignment="1">
      <alignment horizontal="center"/>
    </xf>
    <xf numFmtId="164" fontId="0" fillId="9" borderId="0" xfId="0" applyNumberFormat="1" applyFill="1"/>
    <xf numFmtId="2" fontId="0" fillId="9" borderId="0" xfId="0" applyNumberFormat="1" applyFill="1"/>
    <xf numFmtId="1" fontId="0" fillId="9" borderId="0" xfId="0" applyNumberFormat="1" applyFill="1"/>
    <xf numFmtId="0" fontId="16" fillId="0" borderId="0" xfId="0" applyFont="1"/>
    <xf numFmtId="164" fontId="0" fillId="0" borderId="0" xfId="0" applyNumberFormat="1"/>
    <xf numFmtId="11" fontId="15" fillId="10" borderId="0" xfId="0" applyNumberFormat="1" applyFont="1" applyFill="1"/>
    <xf numFmtId="0" fontId="18" fillId="0" borderId="0" xfId="0" applyFont="1"/>
    <xf numFmtId="11" fontId="0" fillId="9" borderId="0" xfId="0" applyNumberFormat="1" applyFill="1"/>
    <xf numFmtId="0" fontId="5" fillId="0" borderId="0" xfId="3" applyFont="1" applyAlignment="1">
      <alignment horizontal="left"/>
    </xf>
    <xf numFmtId="166" fontId="0" fillId="9" borderId="0" xfId="0" applyNumberFormat="1" applyFill="1"/>
    <xf numFmtId="0" fontId="15" fillId="10" borderId="0" xfId="0" applyFont="1" applyFill="1"/>
    <xf numFmtId="0" fontId="20" fillId="0" borderId="0" xfId="0" applyFont="1"/>
    <xf numFmtId="0" fontId="22" fillId="0" borderId="0" xfId="0" applyFont="1"/>
    <xf numFmtId="0" fontId="0" fillId="12" borderId="0" xfId="0" applyFill="1"/>
    <xf numFmtId="1" fontId="0" fillId="0" borderId="0" xfId="0" applyNumberFormat="1"/>
    <xf numFmtId="0" fontId="23" fillId="0" borderId="0" xfId="0" applyFont="1"/>
    <xf numFmtId="0" fontId="24" fillId="0" borderId="0" xfId="0" applyFont="1"/>
    <xf numFmtId="164" fontId="4" fillId="0" borderId="0" xfId="3" applyNumberFormat="1"/>
    <xf numFmtId="2" fontId="0" fillId="0" borderId="0" xfId="0" applyNumberFormat="1"/>
    <xf numFmtId="0" fontId="25" fillId="0" borderId="0" xfId="0" applyFont="1"/>
    <xf numFmtId="2" fontId="0" fillId="0" borderId="5" xfId="0" applyNumberFormat="1" applyBorder="1"/>
    <xf numFmtId="2" fontId="0" fillId="0" borderId="7" xfId="0" applyNumberFormat="1" applyBorder="1"/>
    <xf numFmtId="0" fontId="4" fillId="0" borderId="8" xfId="3" applyBorder="1"/>
    <xf numFmtId="0" fontId="0" fillId="0" borderId="8" xfId="0" applyBorder="1"/>
    <xf numFmtId="0" fontId="4" fillId="0" borderId="9" xfId="3" applyBorder="1"/>
    <xf numFmtId="0" fontId="0" fillId="0" borderId="5" xfId="0" applyBorder="1"/>
    <xf numFmtId="0" fontId="4" fillId="0" borderId="7" xfId="3" applyBorder="1"/>
    <xf numFmtId="0" fontId="0" fillId="0" borderId="6" xfId="0" applyBorder="1"/>
    <xf numFmtId="0" fontId="0" fillId="0" borderId="7" xfId="0" applyBorder="1"/>
    <xf numFmtId="0" fontId="0" fillId="0" borderId="9" xfId="0" applyBorder="1"/>
    <xf numFmtId="164" fontId="0" fillId="0" borderId="8" xfId="0" applyNumberFormat="1" applyBorder="1"/>
    <xf numFmtId="0" fontId="4" fillId="0" borderId="5" xfId="3" applyBorder="1"/>
    <xf numFmtId="2" fontId="0" fillId="0" borderId="10" xfId="0" applyNumberFormat="1" applyBorder="1"/>
    <xf numFmtId="0" fontId="26" fillId="0" borderId="0" xfId="0" applyFont="1"/>
    <xf numFmtId="0" fontId="27" fillId="0" borderId="0" xfId="3" applyFont="1"/>
    <xf numFmtId="167" fontId="0" fillId="0" borderId="0" xfId="0" applyNumberFormat="1"/>
    <xf numFmtId="0" fontId="0" fillId="0" borderId="2" xfId="0" applyBorder="1"/>
    <xf numFmtId="164" fontId="4" fillId="0" borderId="3" xfId="3" applyNumberFormat="1" applyBorder="1"/>
    <xf numFmtId="0" fontId="4" fillId="0" borderId="3" xfId="3" applyBorder="1"/>
    <xf numFmtId="0" fontId="0" fillId="0" borderId="3" xfId="0" applyBorder="1"/>
    <xf numFmtId="0" fontId="4" fillId="0" borderId="2" xfId="3" applyBorder="1"/>
    <xf numFmtId="164" fontId="0" fillId="0" borderId="3" xfId="0" applyNumberFormat="1" applyBorder="1"/>
    <xf numFmtId="0" fontId="0" fillId="0" borderId="4" xfId="0" applyBorder="1"/>
    <xf numFmtId="164" fontId="4" fillId="0" borderId="8" xfId="3" applyNumberFormat="1" applyBorder="1"/>
    <xf numFmtId="0" fontId="4" fillId="0" borderId="6" xfId="3" applyBorder="1"/>
    <xf numFmtId="0" fontId="0" fillId="0" borderId="10" xfId="0" applyBorder="1"/>
    <xf numFmtId="0" fontId="0" fillId="0" borderId="11" xfId="0" applyBorder="1"/>
    <xf numFmtId="164" fontId="4" fillId="0" borderId="11" xfId="3" applyNumberFormat="1" applyBorder="1"/>
    <xf numFmtId="0" fontId="4" fillId="0" borderId="11" xfId="3" applyBorder="1"/>
    <xf numFmtId="0" fontId="4" fillId="0" borderId="10" xfId="3" applyBorder="1"/>
    <xf numFmtId="164" fontId="0" fillId="0" borderId="11" xfId="0" applyNumberFormat="1" applyBorder="1"/>
    <xf numFmtId="0" fontId="0" fillId="0" borderId="12" xfId="0" applyBorder="1"/>
    <xf numFmtId="1" fontId="0" fillId="0" borderId="4" xfId="0" applyNumberFormat="1" applyBorder="1"/>
    <xf numFmtId="1" fontId="0" fillId="0" borderId="6" xfId="0" applyNumberFormat="1" applyBorder="1"/>
    <xf numFmtId="1" fontId="0" fillId="0" borderId="9" xfId="0" applyNumberFormat="1" applyBorder="1"/>
    <xf numFmtId="0" fontId="0" fillId="0" borderId="13" xfId="0" applyBorder="1"/>
    <xf numFmtId="0" fontId="0" fillId="13" borderId="0" xfId="0" applyFill="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0" borderId="0" xfId="3" applyAlignment="1">
      <alignment horizontal="left"/>
    </xf>
    <xf numFmtId="0" fontId="4" fillId="0" borderId="8" xfId="3" applyBorder="1" applyAlignment="1">
      <alignment horizontal="left"/>
    </xf>
    <xf numFmtId="0" fontId="0" fillId="13" borderId="13" xfId="0" applyFill="1" applyBorder="1"/>
    <xf numFmtId="0" fontId="0" fillId="0" borderId="19" xfId="0" applyBorder="1"/>
    <xf numFmtId="0" fontId="0" fillId="13" borderId="15" xfId="0" applyFill="1" applyBorder="1"/>
    <xf numFmtId="0" fontId="0" fillId="0" borderId="20" xfId="0" applyBorder="1" applyAlignment="1">
      <alignment horizontal="center" wrapText="1"/>
    </xf>
    <xf numFmtId="0" fontId="0" fillId="0" borderId="21" xfId="0" applyBorder="1"/>
    <xf numFmtId="0" fontId="0" fillId="0" borderId="22" xfId="0" applyBorder="1"/>
    <xf numFmtId="0" fontId="15" fillId="0" borderId="0" xfId="0" applyFont="1"/>
    <xf numFmtId="0" fontId="0" fillId="6" borderId="0" xfId="0" applyFill="1" applyProtection="1">
      <protection hidden="1"/>
    </xf>
    <xf numFmtId="0" fontId="10" fillId="6" borderId="0" xfId="0" applyFont="1" applyFill="1" applyAlignment="1" applyProtection="1">
      <alignment horizontal="left" vertical="center"/>
      <protection hidden="1"/>
    </xf>
    <xf numFmtId="0" fontId="0" fillId="6" borderId="0" xfId="0" applyFill="1" applyAlignment="1" applyProtection="1">
      <alignment horizontal="right"/>
      <protection hidden="1"/>
    </xf>
    <xf numFmtId="0" fontId="15" fillId="8" borderId="0" xfId="0" applyFont="1" applyFill="1" applyProtection="1">
      <protection hidden="1"/>
    </xf>
    <xf numFmtId="0" fontId="0" fillId="14" borderId="0" xfId="0" applyFill="1" applyProtection="1">
      <protection hidden="1"/>
    </xf>
    <xf numFmtId="0" fontId="0" fillId="8" borderId="0" xfId="0" applyFill="1" applyProtection="1">
      <protection hidden="1"/>
    </xf>
    <xf numFmtId="0" fontId="0" fillId="8" borderId="0" xfId="0" applyFill="1" applyAlignment="1" applyProtection="1">
      <alignment horizontal="right"/>
      <protection hidden="1"/>
    </xf>
    <xf numFmtId="0" fontId="2" fillId="8" borderId="0" xfId="0" applyFont="1" applyFill="1" applyProtection="1">
      <protection hidden="1"/>
    </xf>
    <xf numFmtId="0" fontId="0" fillId="7" borderId="0" xfId="0" applyFill="1" applyProtection="1">
      <protection hidden="1"/>
    </xf>
    <xf numFmtId="0" fontId="2" fillId="8" borderId="0" xfId="0" quotePrefix="1" applyFont="1" applyFill="1" applyProtection="1">
      <protection hidden="1"/>
    </xf>
    <xf numFmtId="0" fontId="2" fillId="8" borderId="0" xfId="0" applyFont="1" applyFill="1" applyAlignment="1" applyProtection="1">
      <alignment horizontal="right"/>
      <protection hidden="1"/>
    </xf>
    <xf numFmtId="0" fontId="0" fillId="8" borderId="1" xfId="0" applyFill="1" applyBorder="1" applyProtection="1">
      <protection hidden="1"/>
    </xf>
    <xf numFmtId="0" fontId="0" fillId="8" borderId="1" xfId="0" applyFill="1" applyBorder="1" applyAlignment="1" applyProtection="1">
      <alignment horizontal="right"/>
      <protection hidden="1"/>
    </xf>
    <xf numFmtId="0" fontId="15" fillId="8" borderId="1" xfId="0" applyFont="1" applyFill="1" applyBorder="1" applyProtection="1">
      <protection hidden="1"/>
    </xf>
    <xf numFmtId="0" fontId="0" fillId="14" borderId="1" xfId="0" applyFill="1" applyBorder="1" applyProtection="1">
      <protection hidden="1"/>
    </xf>
    <xf numFmtId="0" fontId="0" fillId="15" borderId="0" xfId="0" applyFill="1" applyProtection="1">
      <protection hidden="1"/>
    </xf>
    <xf numFmtId="0" fontId="0" fillId="15" borderId="0" xfId="0" applyFill="1" applyAlignment="1" applyProtection="1">
      <alignment horizontal="right"/>
      <protection hidden="1"/>
    </xf>
    <xf numFmtId="49" fontId="0" fillId="15" borderId="0" xfId="0" applyNumberFormat="1" applyFill="1" applyProtection="1">
      <protection hidden="1"/>
    </xf>
    <xf numFmtId="0" fontId="0" fillId="15" borderId="2" xfId="0" applyFill="1" applyBorder="1" applyProtection="1">
      <protection hidden="1"/>
    </xf>
    <xf numFmtId="0" fontId="0" fillId="15" borderId="3" xfId="0" applyFill="1" applyBorder="1" applyProtection="1">
      <protection hidden="1"/>
    </xf>
    <xf numFmtId="0" fontId="13" fillId="15" borderId="3" xfId="3" applyFont="1" applyFill="1" applyBorder="1" applyAlignment="1" applyProtection="1">
      <alignment horizontal="right"/>
      <protection hidden="1"/>
    </xf>
    <xf numFmtId="0" fontId="0" fillId="15" borderId="4" xfId="0" applyFill="1" applyBorder="1" applyProtection="1">
      <protection hidden="1"/>
    </xf>
    <xf numFmtId="0" fontId="0" fillId="15" borderId="5" xfId="0" applyFill="1" applyBorder="1" applyProtection="1">
      <protection hidden="1"/>
    </xf>
    <xf numFmtId="0" fontId="13" fillId="15" borderId="0" xfId="3" applyFont="1" applyFill="1" applyAlignment="1" applyProtection="1">
      <alignment horizontal="right"/>
      <protection hidden="1"/>
    </xf>
    <xf numFmtId="0" fontId="0" fillId="15" borderId="6" xfId="0" applyFill="1" applyBorder="1" applyProtection="1">
      <protection hidden="1"/>
    </xf>
    <xf numFmtId="0" fontId="13" fillId="15" borderId="5" xfId="0" applyFont="1" applyFill="1" applyBorder="1" applyProtection="1">
      <protection hidden="1"/>
    </xf>
    <xf numFmtId="0" fontId="13" fillId="15" borderId="0" xfId="0" applyFont="1" applyFill="1" applyProtection="1">
      <protection hidden="1"/>
    </xf>
    <xf numFmtId="0" fontId="13" fillId="15" borderId="0" xfId="0" applyFont="1" applyFill="1" applyAlignment="1" applyProtection="1">
      <alignment horizontal="right"/>
      <protection hidden="1"/>
    </xf>
    <xf numFmtId="0" fontId="0" fillId="15" borderId="8" xfId="0" applyFill="1" applyBorder="1" applyProtection="1">
      <protection hidden="1"/>
    </xf>
    <xf numFmtId="0" fontId="0" fillId="15" borderId="9" xfId="0" applyFill="1" applyBorder="1" applyProtection="1">
      <protection hidden="1"/>
    </xf>
    <xf numFmtId="0" fontId="16" fillId="15" borderId="0" xfId="0" applyFont="1" applyFill="1" applyProtection="1">
      <protection hidden="1"/>
    </xf>
    <xf numFmtId="0" fontId="13" fillId="15" borderId="3" xfId="0" applyFont="1" applyFill="1" applyBorder="1" applyProtection="1">
      <protection hidden="1"/>
    </xf>
    <xf numFmtId="0" fontId="0" fillId="15" borderId="7" xfId="0" applyFill="1" applyBorder="1" applyProtection="1">
      <protection hidden="1"/>
    </xf>
    <xf numFmtId="0" fontId="13" fillId="15" borderId="8" xfId="3" applyFont="1" applyFill="1" applyBorder="1" applyAlignment="1" applyProtection="1">
      <alignment horizontal="right"/>
      <protection hidden="1"/>
    </xf>
    <xf numFmtId="0" fontId="17" fillId="15" borderId="6" xfId="0" applyFont="1" applyFill="1" applyBorder="1" applyProtection="1">
      <protection hidden="1"/>
    </xf>
    <xf numFmtId="0" fontId="0" fillId="15" borderId="8" xfId="0" applyFill="1" applyBorder="1" applyAlignment="1" applyProtection="1">
      <alignment horizontal="right"/>
      <protection hidden="1"/>
    </xf>
    <xf numFmtId="0" fontId="17" fillId="15" borderId="9" xfId="0" applyFont="1" applyFill="1" applyBorder="1" applyProtection="1">
      <protection hidden="1"/>
    </xf>
    <xf numFmtId="0" fontId="0" fillId="15" borderId="3" xfId="0" applyFill="1" applyBorder="1" applyAlignment="1" applyProtection="1">
      <alignment horizontal="right"/>
      <protection hidden="1"/>
    </xf>
    <xf numFmtId="0" fontId="16" fillId="15" borderId="2" xfId="0" applyFont="1" applyFill="1" applyBorder="1" applyProtection="1">
      <protection hidden="1"/>
    </xf>
    <xf numFmtId="0" fontId="15" fillId="15" borderId="3" xfId="0" applyFont="1" applyFill="1" applyBorder="1" applyAlignment="1" applyProtection="1">
      <alignment horizontal="right"/>
      <protection hidden="1"/>
    </xf>
    <xf numFmtId="0" fontId="16" fillId="15" borderId="5" xfId="0" applyFont="1" applyFill="1" applyBorder="1" applyProtection="1">
      <protection hidden="1"/>
    </xf>
    <xf numFmtId="0" fontId="23" fillId="15" borderId="0" xfId="0" applyFont="1" applyFill="1" applyAlignment="1" applyProtection="1">
      <alignment horizontal="right"/>
      <protection hidden="1"/>
    </xf>
    <xf numFmtId="0" fontId="0" fillId="15" borderId="0" xfId="0" applyFill="1" applyAlignment="1" applyProtection="1">
      <alignment horizontal="center"/>
      <protection hidden="1"/>
    </xf>
    <xf numFmtId="0" fontId="0" fillId="15" borderId="6" xfId="0" applyFill="1" applyBorder="1" applyAlignment="1" applyProtection="1">
      <alignment horizontal="center"/>
      <protection hidden="1"/>
    </xf>
    <xf numFmtId="0" fontId="0" fillId="14" borderId="0" xfId="0" applyFill="1" applyAlignment="1" applyProtection="1">
      <alignment horizontal="right"/>
      <protection hidden="1"/>
    </xf>
    <xf numFmtId="0" fontId="15" fillId="14" borderId="0" xfId="0" applyFont="1" applyFill="1" applyProtection="1">
      <protection hidden="1"/>
    </xf>
    <xf numFmtId="0" fontId="0" fillId="7" borderId="24" xfId="0" applyFill="1" applyBorder="1" applyProtection="1">
      <protection locked="0" hidden="1"/>
    </xf>
    <xf numFmtId="0" fontId="0" fillId="7" borderId="25" xfId="0" applyFill="1" applyBorder="1" applyProtection="1">
      <protection locked="0" hidden="1"/>
    </xf>
    <xf numFmtId="2" fontId="0" fillId="15" borderId="25" xfId="0" applyNumberFormat="1" applyFill="1" applyBorder="1" applyProtection="1">
      <protection hidden="1"/>
    </xf>
    <xf numFmtId="0" fontId="0" fillId="15" borderId="25" xfId="0" applyFill="1" applyBorder="1" applyProtection="1">
      <protection hidden="1"/>
    </xf>
    <xf numFmtId="164" fontId="0" fillId="0" borderId="25" xfId="0" applyNumberFormat="1" applyBorder="1" applyProtection="1">
      <protection hidden="1"/>
    </xf>
    <xf numFmtId="2" fontId="0" fillId="0" borderId="26" xfId="0" applyNumberFormat="1" applyBorder="1" applyProtection="1">
      <protection hidden="1"/>
    </xf>
    <xf numFmtId="2" fontId="0" fillId="15" borderId="26" xfId="0" applyNumberFormat="1" applyFill="1" applyBorder="1" applyProtection="1">
      <protection hidden="1"/>
    </xf>
    <xf numFmtId="0" fontId="0" fillId="7" borderId="26" xfId="0" applyFill="1" applyBorder="1" applyProtection="1">
      <protection locked="0" hidden="1"/>
    </xf>
    <xf numFmtId="2" fontId="0" fillId="0" borderId="25" xfId="0" applyNumberFormat="1" applyBorder="1" applyProtection="1">
      <protection hidden="1"/>
    </xf>
    <xf numFmtId="2" fontId="0" fillId="0" borderId="24" xfId="0" applyNumberFormat="1" applyBorder="1" applyProtection="1">
      <protection hidden="1"/>
    </xf>
    <xf numFmtId="1" fontId="0" fillId="0" borderId="26" xfId="0" applyNumberFormat="1" applyBorder="1" applyProtection="1">
      <protection hidden="1"/>
    </xf>
    <xf numFmtId="0" fontId="0" fillId="7" borderId="24" xfId="0" applyFill="1" applyBorder="1" applyAlignment="1" applyProtection="1">
      <alignment vertical="top"/>
      <protection hidden="1"/>
    </xf>
    <xf numFmtId="0" fontId="0" fillId="0" borderId="25" xfId="0" applyBorder="1" applyAlignment="1" applyProtection="1">
      <alignment vertical="top"/>
      <protection hidden="1"/>
    </xf>
    <xf numFmtId="164" fontId="0" fillId="15" borderId="25" xfId="0" applyNumberFormat="1" applyFill="1" applyBorder="1" applyProtection="1">
      <protection hidden="1"/>
    </xf>
    <xf numFmtId="0" fontId="0" fillId="15" borderId="25" xfId="0" applyFill="1" applyBorder="1" applyAlignment="1" applyProtection="1">
      <alignment horizontal="center"/>
      <protection hidden="1"/>
    </xf>
    <xf numFmtId="1" fontId="0" fillId="15" borderId="7" xfId="0" applyNumberFormat="1" applyFill="1" applyBorder="1" applyProtection="1">
      <protection hidden="1"/>
    </xf>
    <xf numFmtId="0" fontId="0" fillId="7" borderId="23" xfId="0" applyFill="1" applyBorder="1" applyProtection="1">
      <protection locked="0" hidden="1"/>
    </xf>
    <xf numFmtId="0" fontId="0" fillId="7" borderId="0" xfId="0" applyFill="1"/>
    <xf numFmtId="0" fontId="30" fillId="0" borderId="0" xfId="0" applyFont="1"/>
    <xf numFmtId="0" fontId="31" fillId="0" borderId="0" xfId="0" applyFont="1"/>
    <xf numFmtId="0" fontId="0" fillId="0" borderId="0" xfId="0" applyAlignment="1">
      <alignment horizontal="center"/>
    </xf>
    <xf numFmtId="11" fontId="0" fillId="0" borderId="0" xfId="0" applyNumberFormat="1"/>
    <xf numFmtId="168" fontId="0" fillId="9" borderId="0" xfId="0" applyNumberFormat="1" applyFill="1"/>
    <xf numFmtId="0" fontId="3" fillId="0" borderId="8" xfId="3" applyFont="1" applyBorder="1"/>
    <xf numFmtId="0" fontId="23" fillId="15" borderId="24" xfId="0" applyFont="1" applyFill="1" applyBorder="1" applyAlignment="1" applyProtection="1">
      <alignment horizontal="center"/>
      <protection hidden="1"/>
    </xf>
    <xf numFmtId="0" fontId="23" fillId="0" borderId="0" xfId="0" quotePrefix="1" applyFont="1"/>
    <xf numFmtId="0" fontId="37" fillId="14" borderId="0" xfId="0" applyFont="1" applyFill="1" applyProtection="1">
      <protection hidden="1"/>
    </xf>
    <xf numFmtId="0" fontId="0" fillId="15" borderId="0" xfId="0" applyFill="1"/>
    <xf numFmtId="0" fontId="13" fillId="15" borderId="7" xfId="0" applyFont="1" applyFill="1" applyBorder="1" applyProtection="1">
      <protection hidden="1"/>
    </xf>
    <xf numFmtId="0" fontId="13" fillId="15" borderId="8" xfId="0" applyFont="1" applyFill="1" applyBorder="1" applyProtection="1">
      <protection hidden="1"/>
    </xf>
    <xf numFmtId="167" fontId="0" fillId="15" borderId="25" xfId="0" applyNumberFormat="1" applyFill="1" applyBorder="1" applyProtection="1">
      <protection hidden="1"/>
    </xf>
    <xf numFmtId="0" fontId="23" fillId="13" borderId="0" xfId="0" applyFont="1" applyFill="1"/>
    <xf numFmtId="164" fontId="0" fillId="6" borderId="0" xfId="0" applyNumberFormat="1" applyFill="1"/>
    <xf numFmtId="0" fontId="0" fillId="6" borderId="0" xfId="0" applyFill="1"/>
    <xf numFmtId="164" fontId="0" fillId="0" borderId="26" xfId="0" applyNumberFormat="1" applyBorder="1" applyProtection="1">
      <protection hidden="1"/>
    </xf>
    <xf numFmtId="169" fontId="0" fillId="0" borderId="0" xfId="0" applyNumberFormat="1"/>
    <xf numFmtId="0" fontId="17" fillId="15" borderId="10" xfId="0" applyFont="1" applyFill="1" applyBorder="1" applyAlignment="1" applyProtection="1">
      <alignment horizontal="left"/>
      <protection hidden="1"/>
    </xf>
    <xf numFmtId="0" fontId="0" fillId="15" borderId="7" xfId="0" applyFill="1" applyBorder="1" applyAlignment="1" applyProtection="1">
      <alignment horizontal="left"/>
      <protection hidden="1"/>
    </xf>
    <xf numFmtId="0" fontId="32" fillId="15" borderId="0" xfId="0" applyFont="1" applyFill="1" applyProtection="1">
      <protection hidden="1"/>
    </xf>
    <xf numFmtId="0" fontId="33" fillId="15" borderId="0" xfId="0" applyFont="1" applyFill="1" applyProtection="1">
      <protection hidden="1"/>
    </xf>
    <xf numFmtId="0" fontId="33" fillId="15" borderId="0" xfId="0" applyFont="1" applyFill="1" applyAlignment="1" applyProtection="1">
      <alignment horizontal="right"/>
      <protection hidden="1"/>
    </xf>
    <xf numFmtId="0" fontId="37" fillId="15" borderId="0" xfId="0" applyFont="1" applyFill="1" applyProtection="1">
      <protection hidden="1"/>
    </xf>
    <xf numFmtId="0" fontId="34" fillId="15" borderId="0" xfId="0" applyFont="1" applyFill="1" applyAlignment="1" applyProtection="1">
      <alignment horizontal="left"/>
      <protection hidden="1"/>
    </xf>
    <xf numFmtId="0" fontId="35" fillId="15" borderId="0" xfId="3" applyFont="1" applyFill="1" applyAlignment="1" applyProtection="1">
      <alignment horizontal="right"/>
      <protection hidden="1"/>
    </xf>
    <xf numFmtId="0" fontId="0" fillId="0" borderId="23" xfId="0" applyBorder="1"/>
    <xf numFmtId="0" fontId="0" fillId="0" borderId="25" xfId="0" applyBorder="1"/>
    <xf numFmtId="0" fontId="0" fillId="0" borderId="24" xfId="0" applyBorder="1"/>
    <xf numFmtId="0" fontId="0" fillId="0" borderId="26" xfId="0" applyBorder="1"/>
    <xf numFmtId="0" fontId="4" fillId="0" borderId="12" xfId="3" applyBorder="1"/>
    <xf numFmtId="0" fontId="3" fillId="0" borderId="10" xfId="3" applyFont="1" applyBorder="1"/>
    <xf numFmtId="0" fontId="3" fillId="0" borderId="11" xfId="3" applyFont="1" applyBorder="1"/>
    <xf numFmtId="1" fontId="0" fillId="8" borderId="0" xfId="0" applyNumberFormat="1" applyFill="1" applyProtection="1">
      <protection hidden="1"/>
    </xf>
    <xf numFmtId="167" fontId="0" fillId="0" borderId="25" xfId="0" applyNumberFormat="1" applyBorder="1" applyProtection="1">
      <protection hidden="1"/>
    </xf>
    <xf numFmtId="167" fontId="0" fillId="15" borderId="10" xfId="0" applyNumberFormat="1" applyFill="1" applyBorder="1" applyProtection="1">
      <protection hidden="1"/>
    </xf>
    <xf numFmtId="0" fontId="0" fillId="16" borderId="0" xfId="0" applyFill="1"/>
    <xf numFmtId="0" fontId="0" fillId="0" borderId="28" xfId="0" applyBorder="1"/>
    <xf numFmtId="0" fontId="37" fillId="8" borderId="0" xfId="0" applyFont="1" applyFill="1" applyProtection="1">
      <protection hidden="1"/>
    </xf>
    <xf numFmtId="0" fontId="33" fillId="15" borderId="2" xfId="0" applyFont="1" applyFill="1" applyBorder="1" applyProtection="1">
      <protection hidden="1"/>
    </xf>
    <xf numFmtId="0" fontId="33" fillId="15" borderId="3" xfId="0" applyFont="1" applyFill="1" applyBorder="1" applyProtection="1">
      <protection hidden="1"/>
    </xf>
    <xf numFmtId="0" fontId="35" fillId="15" borderId="3" xfId="3" applyFont="1" applyFill="1" applyBorder="1" applyAlignment="1" applyProtection="1">
      <alignment horizontal="right"/>
      <protection hidden="1"/>
    </xf>
    <xf numFmtId="0" fontId="35" fillId="15" borderId="4" xfId="3" applyFont="1" applyFill="1" applyBorder="1" applyProtection="1">
      <protection hidden="1"/>
    </xf>
    <xf numFmtId="0" fontId="34" fillId="15" borderId="5" xfId="0" applyFont="1" applyFill="1" applyBorder="1" applyProtection="1">
      <protection hidden="1"/>
    </xf>
    <xf numFmtId="0" fontId="35" fillId="15" borderId="6" xfId="3" applyFont="1" applyFill="1" applyBorder="1" applyProtection="1">
      <protection hidden="1"/>
    </xf>
    <xf numFmtId="0" fontId="33" fillId="15" borderId="5" xfId="0" applyFont="1" applyFill="1" applyBorder="1" applyProtection="1">
      <protection hidden="1"/>
    </xf>
    <xf numFmtId="0" fontId="33" fillId="15" borderId="7" xfId="0" applyFont="1" applyFill="1" applyBorder="1" applyProtection="1">
      <protection hidden="1"/>
    </xf>
    <xf numFmtId="0" fontId="33" fillId="15" borderId="8" xfId="0" applyFont="1" applyFill="1" applyBorder="1" applyProtection="1">
      <protection hidden="1"/>
    </xf>
    <xf numFmtId="0" fontId="35" fillId="15" borderId="8" xfId="3" applyFont="1" applyFill="1" applyBorder="1" applyAlignment="1" applyProtection="1">
      <alignment horizontal="right"/>
      <protection hidden="1"/>
    </xf>
    <xf numFmtId="0" fontId="35" fillId="15" borderId="9" xfId="3" applyFont="1" applyFill="1" applyBorder="1" applyProtection="1">
      <protection hidden="1"/>
    </xf>
    <xf numFmtId="0" fontId="33" fillId="15" borderId="6" xfId="0" applyFont="1" applyFill="1" applyBorder="1" applyProtection="1">
      <protection hidden="1"/>
    </xf>
    <xf numFmtId="0" fontId="33" fillId="15" borderId="8" xfId="0" applyFont="1" applyFill="1" applyBorder="1" applyAlignment="1" applyProtection="1">
      <alignment horizontal="right"/>
      <protection hidden="1"/>
    </xf>
    <xf numFmtId="0" fontId="33" fillId="15" borderId="9" xfId="0" applyFont="1" applyFill="1" applyBorder="1" applyProtection="1">
      <protection hidden="1"/>
    </xf>
    <xf numFmtId="0" fontId="13" fillId="15" borderId="8" xfId="0" applyFont="1" applyFill="1" applyBorder="1" applyAlignment="1" applyProtection="1">
      <alignment horizontal="right"/>
      <protection hidden="1"/>
    </xf>
    <xf numFmtId="167" fontId="0" fillId="15" borderId="26" xfId="0" applyNumberFormat="1" applyFill="1" applyBorder="1" applyProtection="1">
      <protection hidden="1"/>
    </xf>
    <xf numFmtId="0" fontId="0" fillId="0" borderId="30" xfId="0" applyBorder="1"/>
    <xf numFmtId="0" fontId="33" fillId="7" borderId="24" xfId="0" applyFont="1" applyFill="1" applyBorder="1" applyProtection="1">
      <protection locked="0" hidden="1"/>
    </xf>
    <xf numFmtId="0" fontId="33" fillId="7" borderId="25" xfId="0" applyFont="1" applyFill="1" applyBorder="1" applyProtection="1">
      <protection locked="0" hidden="1"/>
    </xf>
    <xf numFmtId="0" fontId="33" fillId="7" borderId="26" xfId="0" applyFont="1" applyFill="1" applyBorder="1" applyProtection="1">
      <protection locked="0" hidden="1"/>
    </xf>
    <xf numFmtId="2" fontId="0" fillId="7" borderId="25" xfId="0" applyNumberFormat="1" applyFill="1" applyBorder="1" applyProtection="1">
      <protection locked="0" hidden="1"/>
    </xf>
    <xf numFmtId="0" fontId="0" fillId="7" borderId="5" xfId="0" applyFill="1" applyBorder="1" applyAlignment="1" applyProtection="1">
      <alignment horizontal="center"/>
      <protection locked="0" hidden="1"/>
    </xf>
    <xf numFmtId="0" fontId="0" fillId="0" borderId="25" xfId="0" applyBorder="1" applyProtection="1">
      <protection hidden="1"/>
    </xf>
    <xf numFmtId="0" fontId="6" fillId="2" borderId="0" xfId="3" applyFont="1" applyFill="1" applyAlignment="1">
      <alignment horizontal="center"/>
    </xf>
    <xf numFmtId="0" fontId="5" fillId="0" borderId="0" xfId="3" applyFont="1" applyAlignment="1">
      <alignment horizontal="center"/>
    </xf>
    <xf numFmtId="0" fontId="0" fillId="0" borderId="20" xfId="0" applyBorder="1" applyAlignment="1">
      <alignment horizontal="center" wrapText="1"/>
    </xf>
    <xf numFmtId="0" fontId="0" fillId="0" borderId="29"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7" xfId="0" applyBorder="1" applyAlignment="1">
      <alignment horizontal="center"/>
    </xf>
    <xf numFmtId="0" fontId="0" fillId="0" borderId="0" xfId="0" applyAlignment="1">
      <alignment horizontal="center"/>
    </xf>
    <xf numFmtId="0" fontId="23" fillId="0" borderId="10" xfId="0" applyFont="1" applyBorder="1" applyAlignment="1">
      <alignment horizontal="center"/>
    </xf>
    <xf numFmtId="0" fontId="23" fillId="0" borderId="11" xfId="0" applyFont="1" applyBorder="1" applyAlignment="1">
      <alignment horizontal="center"/>
    </xf>
    <xf numFmtId="0" fontId="23" fillId="0" borderId="12" xfId="0" applyFont="1" applyBorder="1" applyAlignment="1">
      <alignment horizontal="center"/>
    </xf>
    <xf numFmtId="0" fontId="4" fillId="0" borderId="0" xfId="3"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23" fillId="0" borderId="2" xfId="0" applyFont="1" applyBorder="1" applyAlignment="1">
      <alignment horizontal="center"/>
    </xf>
    <xf numFmtId="0" fontId="23" fillId="0" borderId="4" xfId="0" applyFont="1" applyBorder="1" applyAlignment="1">
      <alignment horizontal="center"/>
    </xf>
  </cellXfs>
  <cellStyles count="12">
    <cellStyle name="Comma 2" xfId="5" xr:uid="{00000000-0005-0000-0000-000000000000}"/>
    <cellStyle name="Comma 3" xfId="2" xr:uid="{00000000-0005-0000-0000-000001000000}"/>
    <cellStyle name="Comma 3 2" xfId="8" xr:uid="{00000000-0005-0000-0000-000001000000}"/>
    <cellStyle name="Normal" xfId="0" builtinId="0"/>
    <cellStyle name="Normal 2" xfId="3" xr:uid="{00000000-0005-0000-0000-000003000000}"/>
    <cellStyle name="Normal 2 2" xfId="9" xr:uid="{00000000-0005-0000-0000-000003000000}"/>
    <cellStyle name="Normal 3" xfId="4" xr:uid="{00000000-0005-0000-0000-000004000000}"/>
    <cellStyle name="Normal 4" xfId="1" xr:uid="{00000000-0005-0000-0000-000005000000}"/>
    <cellStyle name="Normal 4 2" xfId="7" xr:uid="{00000000-0005-0000-0000-000006000000}"/>
    <cellStyle name="Normal 4 2 2" xfId="11" xr:uid="{00000000-0005-0000-0000-000006000000}"/>
    <cellStyle name="Normal 4 3" xfId="6" xr:uid="{00000000-0005-0000-0000-000007000000}"/>
    <cellStyle name="Normal 4 3 2" xfId="10" xr:uid="{00000000-0005-0000-0000-000007000000}"/>
  </cellStyles>
  <dxfs count="0"/>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baseline="0"/>
              <a:t>Bode Plot</a:t>
            </a:r>
          </a:p>
        </c:rich>
      </c:tx>
      <c:layout>
        <c:manualLayout>
          <c:xMode val="edge"/>
          <c:yMode val="edge"/>
          <c:x val="9.4354157174953393E-2"/>
          <c:y val="3.9916010498687662E-3"/>
        </c:manualLayout>
      </c:layout>
      <c:overlay val="0"/>
    </c:title>
    <c:autoTitleDeleted val="0"/>
    <c:plotArea>
      <c:layout>
        <c:manualLayout>
          <c:layoutTarget val="inner"/>
          <c:xMode val="edge"/>
          <c:yMode val="edge"/>
          <c:x val="9.0594052720499751E-2"/>
          <c:y val="8.9158108013693851E-2"/>
          <c:w val="0.80965876742891785"/>
          <c:h val="0.76159168715027026"/>
        </c:manualLayout>
      </c:layout>
      <c:scatterChart>
        <c:scatterStyle val="smoothMarker"/>
        <c:varyColors val="0"/>
        <c:ser>
          <c:idx val="0"/>
          <c:order val="0"/>
          <c:tx>
            <c:v>Gain (dB)</c:v>
          </c:tx>
          <c:spPr>
            <a:ln w="28575">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Loop_Modeling!$BL$19:$BL$560</c:f>
              <c:numCache>
                <c:formatCode>General</c:formatCode>
                <c:ptCount val="542"/>
                <c:pt idx="0">
                  <c:v>61.884587173242799</c:v>
                </c:pt>
                <c:pt idx="1">
                  <c:v>61.679143251709931</c:v>
                </c:pt>
                <c:pt idx="2">
                  <c:v>61.473450244577002</c:v>
                </c:pt>
                <c:pt idx="3">
                  <c:v>61.267497112573309</c:v>
                </c:pt>
                <c:pt idx="4">
                  <c:v>61.061272360556515</c:v>
                </c:pt>
                <c:pt idx="5">
                  <c:v>60.854764021798296</c:v>
                </c:pt>
                <c:pt idx="6">
                  <c:v>60.647959642024539</c:v>
                </c:pt>
                <c:pt idx="7">
                  <c:v>60.440846263237034</c:v>
                </c:pt>
                <c:pt idx="8">
                  <c:v>60.233410407350128</c:v>
                </c:pt>
                <c:pt idx="9">
                  <c:v>60.025638059677163</c:v>
                </c:pt>
                <c:pt idx="10">
                  <c:v>59.817514652307125</c:v>
                </c:pt>
                <c:pt idx="11">
                  <c:v>59.609025047418662</c:v>
                </c:pt>
                <c:pt idx="12">
                  <c:v>59.400153520580375</c:v>
                </c:pt>
                <c:pt idx="13">
                  <c:v>59.190883744096901</c:v>
                </c:pt>
                <c:pt idx="14">
                  <c:v>58.981198770459585</c:v>
                </c:pt>
                <c:pt idx="15">
                  <c:v>58.771081015974275</c:v>
                </c:pt>
                <c:pt idx="16">
                  <c:v>58.560512244639426</c:v>
                </c:pt>
                <c:pt idx="17">
                  <c:v>58.349473552358255</c:v>
                </c:pt>
                <c:pt idx="18">
                  <c:v>58.137945351573791</c:v>
                </c:pt>
                <c:pt idx="19">
                  <c:v>57.925907356425775</c:v>
                </c:pt>
                <c:pt idx="20">
                  <c:v>57.713338568532748</c:v>
                </c:pt>
                <c:pt idx="21">
                  <c:v>57.500217263514372</c:v>
                </c:pt>
                <c:pt idx="22">
                  <c:v>57.286520978374782</c:v>
                </c:pt>
                <c:pt idx="23">
                  <c:v>57.072226499876805</c:v>
                </c:pt>
                <c:pt idx="24">
                  <c:v>56.857309854046811</c:v>
                </c:pt>
                <c:pt idx="25">
                  <c:v>56.641746296955461</c:v>
                </c:pt>
                <c:pt idx="26">
                  <c:v>56.425510306931947</c:v>
                </c:pt>
                <c:pt idx="27">
                  <c:v>56.2085755783732</c:v>
                </c:pt>
                <c:pt idx="28">
                  <c:v>55.990915017322003</c:v>
                </c:pt>
                <c:pt idx="29">
                  <c:v>55.772500738991923</c:v>
                </c:pt>
                <c:pt idx="30">
                  <c:v>55.55330406742641</c:v>
                </c:pt>
                <c:pt idx="31">
                  <c:v>55.333295537484616</c:v>
                </c:pt>
                <c:pt idx="32">
                  <c:v>55.112444899352255</c:v>
                </c:pt>
                <c:pt idx="33">
                  <c:v>54.890721125781937</c:v>
                </c:pt>
                <c:pt idx="34">
                  <c:v>54.668092422267918</c:v>
                </c:pt>
                <c:pt idx="35">
                  <c:v>54.444526240365718</c:v>
                </c:pt>
                <c:pt idx="36">
                  <c:v>54.219989294364808</c:v>
                </c:pt>
                <c:pt idx="37">
                  <c:v>53.994447581523708</c:v>
                </c:pt>
                <c:pt idx="38">
                  <c:v>53.767866406070802</c:v>
                </c:pt>
                <c:pt idx="39">
                  <c:v>53.540210407172815</c:v>
                </c:pt>
                <c:pt idx="40">
                  <c:v>53.311443591060844</c:v>
                </c:pt>
                <c:pt idx="41">
                  <c:v>53.081529367496003</c:v>
                </c:pt>
                <c:pt idx="42">
                  <c:v>52.850430590744075</c:v>
                </c:pt>
                <c:pt idx="43">
                  <c:v>52.618109605209007</c:v>
                </c:pt>
                <c:pt idx="44">
                  <c:v>52.384528295860918</c:v>
                </c:pt>
                <c:pt idx="45">
                  <c:v>52.149648143566303</c:v>
                </c:pt>
                <c:pt idx="46">
                  <c:v>51.913430285406122</c:v>
                </c:pt>
                <c:pt idx="47">
                  <c:v>51.675835580036548</c:v>
                </c:pt>
                <c:pt idx="48">
                  <c:v>51.436824678113965</c:v>
                </c:pt>
                <c:pt idx="49">
                  <c:v>51.19635809777094</c:v>
                </c:pt>
                <c:pt idx="50">
                  <c:v>50.954396305088792</c:v>
                </c:pt>
                <c:pt idx="51">
                  <c:v>50.710899799472188</c:v>
                </c:pt>
                <c:pt idx="52">
                  <c:v>50.465829203783237</c:v>
                </c:pt>
                <c:pt idx="53">
                  <c:v>50.219145359046493</c:v>
                </c:pt>
                <c:pt idx="54">
                  <c:v>49.970809423486465</c:v>
                </c:pt>
                <c:pt idx="55">
                  <c:v>49.720782975606795</c:v>
                </c:pt>
                <c:pt idx="56">
                  <c:v>49.469028120967842</c:v>
                </c:pt>
                <c:pt idx="57">
                  <c:v>49.215507602268403</c:v>
                </c:pt>
                <c:pt idx="58">
                  <c:v>48.960184912281179</c:v>
                </c:pt>
                <c:pt idx="59">
                  <c:v>48.703024409144902</c:v>
                </c:pt>
                <c:pt idx="60">
                  <c:v>48.443991433462486</c:v>
                </c:pt>
                <c:pt idx="61">
                  <c:v>48.18305242660977</c:v>
                </c:pt>
                <c:pt idx="62">
                  <c:v>47.920175049618202</c:v>
                </c:pt>
                <c:pt idx="63">
                  <c:v>47.655328301952935</c:v>
                </c:pt>
                <c:pt idx="64">
                  <c:v>47.388482639479051</c:v>
                </c:pt>
                <c:pt idx="65">
                  <c:v>47.119610090879924</c:v>
                </c:pt>
                <c:pt idx="66">
                  <c:v>46.848684371774723</c:v>
                </c:pt>
                <c:pt idx="67">
                  <c:v>46.575680995768607</c:v>
                </c:pt>
                <c:pt idx="68">
                  <c:v>46.300577381669363</c:v>
                </c:pt>
                <c:pt idx="69">
                  <c:v>46.023352956109136</c:v>
                </c:pt>
                <c:pt idx="70">
                  <c:v>45.743989250826004</c:v>
                </c:pt>
                <c:pt idx="71">
                  <c:v>45.462469993886756</c:v>
                </c:pt>
                <c:pt idx="72">
                  <c:v>45.178781194166348</c:v>
                </c:pt>
                <c:pt idx="73">
                  <c:v>44.892911218442762</c:v>
                </c:pt>
                <c:pt idx="74">
                  <c:v>44.604850860524543</c:v>
                </c:pt>
                <c:pt idx="75">
                  <c:v>44.314593401882938</c:v>
                </c:pt>
                <c:pt idx="76">
                  <c:v>44.022134663336985</c:v>
                </c:pt>
                <c:pt idx="77">
                  <c:v>43.727473047413604</c:v>
                </c:pt>
                <c:pt idx="78">
                  <c:v>43.430609571086251</c:v>
                </c:pt>
                <c:pt idx="79">
                  <c:v>43.131547888686796</c:v>
                </c:pt>
                <c:pt idx="80">
                  <c:v>42.830294304869902</c:v>
                </c:pt>
                <c:pt idx="81">
                  <c:v>42.526857777608541</c:v>
                </c:pt>
                <c:pt idx="82">
                  <c:v>42.221249911285639</c:v>
                </c:pt>
                <c:pt idx="83">
                  <c:v>41.913484940043936</c:v>
                </c:pt>
                <c:pt idx="84">
                  <c:v>41.60357970164263</c:v>
                </c:pt>
                <c:pt idx="85">
                  <c:v>41.291553602158089</c:v>
                </c:pt>
                <c:pt idx="86">
                  <c:v>40.977428571944017</c:v>
                </c:pt>
                <c:pt idx="87">
                  <c:v>40.661229013344808</c:v>
                </c:pt>
                <c:pt idx="88">
                  <c:v>40.342981740721385</c:v>
                </c:pt>
                <c:pt idx="89">
                  <c:v>40.022715913409641</c:v>
                </c:pt>
                <c:pt idx="90">
                  <c:v>39.700462962281968</c:v>
                </c:pt>
                <c:pt idx="91">
                  <c:v>39.376256510626398</c:v>
                </c:pt>
                <c:pt idx="92">
                  <c:v>39.050132290087006</c:v>
                </c:pt>
                <c:pt idx="93">
                  <c:v>38.722128052434932</c:v>
                </c:pt>
                <c:pt idx="94">
                  <c:v>38.392283477951537</c:v>
                </c:pt>
                <c:pt idx="95">
                  <c:v>38.060640081206458</c:v>
                </c:pt>
                <c:pt idx="96">
                  <c:v>37.727241115013392</c:v>
                </c:pt>
                <c:pt idx="97">
                  <c:v>37.39213147332552</c:v>
                </c:pt>
                <c:pt idx="98">
                  <c:v>37.05535759381597</c:v>
                </c:pt>
                <c:pt idx="99">
                  <c:v>36.716967360857744</c:v>
                </c:pt>
                <c:pt idx="100">
                  <c:v>36.377010009580374</c:v>
                </c:pt>
                <c:pt idx="101">
                  <c:v>36.035536031642621</c:v>
                </c:pt>
                <c:pt idx="102">
                  <c:v>35.692597083311995</c:v>
                </c:pt>
                <c:pt idx="103">
                  <c:v>35.348245896393792</c:v>
                </c:pt>
                <c:pt idx="104">
                  <c:v>35.002536192499662</c:v>
                </c:pt>
                <c:pt idx="105">
                  <c:v>34.655522601090688</c:v>
                </c:pt>
                <c:pt idx="106">
                  <c:v>34.307260581675848</c:v>
                </c:pt>
                <c:pt idx="107">
                  <c:v>33.957806350487488</c:v>
                </c:pt>
                <c:pt idx="108">
                  <c:v>33.607216811904479</c:v>
                </c:pt>
                <c:pt idx="109">
                  <c:v>33.255549494831939</c:v>
                </c:pt>
                <c:pt idx="110">
                  <c:v>32.902862494200569</c:v>
                </c:pt>
                <c:pt idx="111">
                  <c:v>32.54921441768883</c:v>
                </c:pt>
                <c:pt idx="112">
                  <c:v>32.194664337728362</c:v>
                </c:pt>
                <c:pt idx="113">
                  <c:v>31.8392717488017</c:v>
                </c:pt>
                <c:pt idx="114">
                  <c:v>31.483096529998448</c:v>
                </c:pt>
                <c:pt idx="115">
                  <c:v>31.126198912754685</c:v>
                </c:pt>
                <c:pt idx="116">
                  <c:v>30.768639453662633</c:v>
                </c:pt>
                <c:pt idx="117">
                  <c:v>30.410479012199978</c:v>
                </c:pt>
                <c:pt idx="118">
                  <c:v>30.051778733199306</c:v>
                </c:pt>
                <c:pt idx="119">
                  <c:v>29.692600033845409</c:v>
                </c:pt>
                <c:pt idx="120">
                  <c:v>29.333004594965132</c:v>
                </c:pt>
                <c:pt idx="121">
                  <c:v>28.973054356346903</c:v>
                </c:pt>
                <c:pt idx="122">
                  <c:v>28.612811515810836</c:v>
                </c:pt>
                <c:pt idx="123">
                  <c:v>28.252338531726785</c:v>
                </c:pt>
                <c:pt idx="124">
                  <c:v>27.89169812866561</c:v>
                </c:pt>
                <c:pt idx="125">
                  <c:v>27.53095330585278</c:v>
                </c:pt>
                <c:pt idx="126">
                  <c:v>27.170167348080867</c:v>
                </c:pt>
                <c:pt idx="127">
                  <c:v>26.809403838730713</c:v>
                </c:pt>
                <c:pt idx="128">
                  <c:v>26.448726674537888</c:v>
                </c:pt>
                <c:pt idx="129">
                  <c:v>26.088200081737448</c:v>
                </c:pt>
                <c:pt idx="130">
                  <c:v>25.727888633214889</c:v>
                </c:pt>
                <c:pt idx="131">
                  <c:v>25.367857266283792</c:v>
                </c:pt>
                <c:pt idx="132">
                  <c:v>25.008171300714487</c:v>
                </c:pt>
                <c:pt idx="133">
                  <c:v>24.648896456628556</c:v>
                </c:pt>
                <c:pt idx="134">
                  <c:v>24.290098871882584</c:v>
                </c:pt>
                <c:pt idx="135">
                  <c:v>23.931845118560418</c:v>
                </c:pt>
                <c:pt idx="136">
                  <c:v>23.574202218197993</c:v>
                </c:pt>
                <c:pt idx="137">
                  <c:v>23.217237655370752</c:v>
                </c:pt>
                <c:pt idx="138">
                  <c:v>22.861019389276677</c:v>
                </c:pt>
                <c:pt idx="139">
                  <c:v>22.505615862958827</c:v>
                </c:pt>
                <c:pt idx="140">
                  <c:v>22.151096009818112</c:v>
                </c:pt>
                <c:pt idx="141">
                  <c:v>21.79752925708085</c:v>
                </c:pt>
                <c:pt idx="142">
                  <c:v>21.444985525897373</c:v>
                </c:pt>
                <c:pt idx="143">
                  <c:v>21.093535227764924</c:v>
                </c:pt>
                <c:pt idx="144">
                  <c:v>20.743249256985443</c:v>
                </c:pt>
                <c:pt idx="145">
                  <c:v>20.394198978889246</c:v>
                </c:pt>
                <c:pt idx="146">
                  <c:v>20.046456213580836</c:v>
                </c:pt>
                <c:pt idx="147">
                  <c:v>19.700093214984914</c:v>
                </c:pt>
                <c:pt idx="148">
                  <c:v>19.355182645004586</c:v>
                </c:pt>
                <c:pt idx="149">
                  <c:v>19.011797542629278</c:v>
                </c:pt>
                <c:pt idx="150">
                  <c:v>18.670011287869041</c:v>
                </c:pt>
                <c:pt idx="151">
                  <c:v>18.329897560426023</c:v>
                </c:pt>
                <c:pt idx="152">
                  <c:v>17.991530293052531</c:v>
                </c:pt>
                <c:pt idx="153">
                  <c:v>17.654983619589814</c:v>
                </c:pt>
                <c:pt idx="154">
                  <c:v>17.320331817721886</c:v>
                </c:pt>
                <c:pt idx="155">
                  <c:v>16.987649246526018</c:v>
                </c:pt>
                <c:pt idx="156">
                  <c:v>16.65701027894853</c:v>
                </c:pt>
                <c:pt idx="157">
                  <c:v>16.328489229381237</c:v>
                </c:pt>
                <c:pt idx="158">
                  <c:v>16.002160276561614</c:v>
                </c:pt>
                <c:pt idx="159">
                  <c:v>15.67809738206963</c:v>
                </c:pt>
                <c:pt idx="160">
                  <c:v>15.356374204737053</c:v>
                </c:pt>
                <c:pt idx="161">
                  <c:v>15.037064011335241</c:v>
                </c:pt>
                <c:pt idx="162">
                  <c:v>14.720239583944732</c:v>
                </c:pt>
                <c:pt idx="163">
                  <c:v>14.405973124454043</c:v>
                </c:pt>
                <c:pt idx="164">
                  <c:v>14.094336156667325</c:v>
                </c:pt>
                <c:pt idx="165">
                  <c:v>13.785399426533949</c:v>
                </c:pt>
                <c:pt idx="166">
                  <c:v>13.479232801037536</c:v>
                </c:pt>
                <c:pt idx="167">
                  <c:v>13.175905166300241</c:v>
                </c:pt>
                <c:pt idx="168">
                  <c:v>12.87548432547467</c:v>
                </c:pt>
                <c:pt idx="169">
                  <c:v>12.578036896996474</c:v>
                </c:pt>
                <c:pt idx="170">
                  <c:v>12.283628213774037</c:v>
                </c:pt>
                <c:pt idx="171">
                  <c:v>11.9923222238787</c:v>
                </c:pt>
                <c:pt idx="172">
                  <c:v>11.704181393284973</c:v>
                </c:pt>
                <c:pt idx="173">
                  <c:v>11.419266611181483</c:v>
                </c:pt>
                <c:pt idx="174">
                  <c:v>11.137637098347939</c:v>
                </c:pt>
                <c:pt idx="175">
                  <c:v>10.859350319047925</c:v>
                </c:pt>
                <c:pt idx="176">
                  <c:v>10.58446189684771</c:v>
                </c:pt>
                <c:pt idx="177">
                  <c:v>10.313025534718502</c:v>
                </c:pt>
                <c:pt idx="178">
                  <c:v>10.045092939727596</c:v>
                </c:pt>
                <c:pt idx="179">
                  <c:v>9.7807137525636545</c:v>
                </c:pt>
                <c:pt idx="180">
                  <c:v>9.5199354820831967</c:v>
                </c:pt>
                <c:pt idx="181">
                  <c:v>9.2628034450079113</c:v>
                </c:pt>
                <c:pt idx="182">
                  <c:v>9.0093607108372638</c:v>
                </c:pt>
                <c:pt idx="183">
                  <c:v>8.7596480519902737</c:v>
                </c:pt>
                <c:pt idx="184">
                  <c:v>8.513703899130789</c:v>
                </c:pt>
                <c:pt idx="185">
                  <c:v>8.2715643015861335</c:v>
                </c:pt>
                <c:pt idx="186">
                  <c:v>8.0332628927214245</c:v>
                </c:pt>
                <c:pt idx="187">
                  <c:v>7.7988308601007716</c:v>
                </c:pt>
                <c:pt idx="188">
                  <c:v>7.5682969202315249</c:v>
                </c:pt>
                <c:pt idx="189">
                  <c:v>7.3416872976726433</c:v>
                </c:pt>
                <c:pt idx="190">
                  <c:v>7.119025708275033</c:v>
                </c:pt>
                <c:pt idx="191">
                  <c:v>6.9003333463162564</c:v>
                </c:pt>
                <c:pt idx="192">
                  <c:v>6.6856288753029789</c:v>
                </c:pt>
                <c:pt idx="193">
                  <c:v>6.4749284222239272</c:v>
                </c:pt>
                <c:pt idx="194">
                  <c:v>6.2682455750621209</c:v>
                </c:pt>
                <c:pt idx="195">
                  <c:v>6.0655913834019293</c:v>
                </c:pt>
                <c:pt idx="196">
                  <c:v>5.8669743620028916</c:v>
                </c:pt>
                <c:pt idx="197">
                  <c:v>5.6724004972516244</c:v>
                </c:pt>
                <c:pt idx="198">
                  <c:v>5.4818732564460895</c:v>
                </c:pt>
                <c:pt idx="199">
                  <c:v>5.2953935999130506</c:v>
                </c:pt>
                <c:pt idx="200">
                  <c:v>5.1129599960025249</c:v>
                </c:pt>
                <c:pt idx="201">
                  <c:v>4.9345684390507847</c:v>
                </c:pt>
                <c:pt idx="202">
                  <c:v>4.7602124704417523</c:v>
                </c:pt>
                <c:pt idx="203">
                  <c:v>4.5898832029386254</c:v>
                </c:pt>
                <c:pt idx="204">
                  <c:v>4.4235693484841763</c:v>
                </c:pt>
                <c:pt idx="205">
                  <c:v>4.2612572497009307</c:v>
                </c:pt>
                <c:pt idx="206">
                  <c:v>4.1029309153352687</c:v>
                </c:pt>
                <c:pt idx="207">
                  <c:v>3.9485720599028507</c:v>
                </c:pt>
                <c:pt idx="208">
                  <c:v>3.7981601477937126</c:v>
                </c:pt>
                <c:pt idx="209">
                  <c:v>3.6516724420873232</c:v>
                </c:pt>
                <c:pt idx="210">
                  <c:v>3.5090840583127085</c:v>
                </c:pt>
                <c:pt idx="211">
                  <c:v>3.370368023363111</c:v>
                </c:pt>
                <c:pt idx="212">
                  <c:v>3.2354953397417505</c:v>
                </c:pt>
                <c:pt idx="213">
                  <c:v>3.1044350552742301</c:v>
                </c:pt>
                <c:pt idx="214">
                  <c:v>2.9771543383766339</c:v>
                </c:pt>
                <c:pt idx="215">
                  <c:v>2.8536185589140355</c:v>
                </c:pt>
                <c:pt idx="216">
                  <c:v>2.7337913746296651</c:v>
                </c:pt>
                <c:pt idx="217">
                  <c:v>2.6176348230607638</c:v>
                </c:pt>
                <c:pt idx="218">
                  <c:v>2.5051094187992389</c:v>
                </c:pt>
                <c:pt idx="219">
                  <c:v>2.3961742558915291</c:v>
                </c:pt>
                <c:pt idx="220">
                  <c:v>2.290787115107467</c:v>
                </c:pt>
                <c:pt idx="221">
                  <c:v>2.1889045757563657</c:v>
                </c:pt>
                <c:pt idx="222">
                  <c:v>2.0904821316628155</c:v>
                </c:pt>
                <c:pt idx="223">
                  <c:v>1.995474310873679</c:v>
                </c:pt>
                <c:pt idx="224">
                  <c:v>1.9038347986131634</c:v>
                </c:pt>
                <c:pt idx="225">
                  <c:v>1.8155165629691159</c:v>
                </c:pt>
                <c:pt idx="226">
                  <c:v>1.7304719827559971</c:v>
                </c:pt>
                <c:pt idx="227">
                  <c:v>1.6486529769776452</c:v>
                </c:pt>
                <c:pt idx="228">
                  <c:v>1.5700111352901085</c:v>
                </c:pt>
                <c:pt idx="229">
                  <c:v>1.4944978488571778</c:v>
                </c:pt>
                <c:pt idx="230">
                  <c:v>1.4220644409831786</c:v>
                </c:pt>
                <c:pt idx="231">
                  <c:v>1.3526622969115099</c:v>
                </c:pt>
                <c:pt idx="232">
                  <c:v>1.2862429921853591</c:v>
                </c:pt>
                <c:pt idx="233">
                  <c:v>1.222758418984095</c:v>
                </c:pt>
                <c:pt idx="234">
                  <c:v>1.1621609098636225</c:v>
                </c:pt>
                <c:pt idx="235">
                  <c:v>1.1044033583583528</c:v>
                </c:pt>
                <c:pt idx="236">
                  <c:v>1.049439335928309</c:v>
                </c:pt>
                <c:pt idx="237">
                  <c:v>0.99722320476546666</c:v>
                </c:pt>
                <c:pt idx="238">
                  <c:v>0.9477102260102187</c:v>
                </c:pt>
                <c:pt idx="239">
                  <c:v>0.90085666295982891</c:v>
                </c:pt>
                <c:pt idx="240">
                  <c:v>0.85661987888868263</c:v>
                </c:pt>
                <c:pt idx="241">
                  <c:v>0.81495842913935213</c:v>
                </c:pt>
                <c:pt idx="242">
                  <c:v>0.77583214717197035</c:v>
                </c:pt>
                <c:pt idx="243">
                  <c:v>0.73920222430224491</c:v>
                </c:pt>
                <c:pt idx="244">
                  <c:v>0.70503128288503236</c:v>
                </c:pt>
                <c:pt idx="245">
                  <c:v>0.67328344273718044</c:v>
                </c:pt>
                <c:pt idx="246">
                  <c:v>0.64392438061903534</c:v>
                </c:pt>
                <c:pt idx="247">
                  <c:v>0.61692138262236973</c:v>
                </c:pt>
                <c:pt idx="248">
                  <c:v>0.59224338933785192</c:v>
                </c:pt>
                <c:pt idx="249">
                  <c:v>0.56986103369607377</c:v>
                </c:pt>
                <c:pt idx="250">
                  <c:v>0.54974667139629407</c:v>
                </c:pt>
                <c:pt idx="251">
                  <c:v>0.53187440385485185</c:v>
                </c:pt>
                <c:pt idx="252">
                  <c:v>0.51622009361827326</c:v>
                </c:pt>
                <c:pt idx="253">
                  <c:v>0.50276137220278938</c:v>
                </c:pt>
                <c:pt idx="254">
                  <c:v>0.49147764032909041</c:v>
                </c:pt>
                <c:pt idx="255">
                  <c:v>0.48235006053370771</c:v>
                </c:pt>
                <c:pt idx="256">
                  <c:v>0.47536154214817694</c:v>
                </c:pt>
                <c:pt idx="257">
                  <c:v>0.47049671864099518</c:v>
                </c:pt>
                <c:pt idx="258">
                  <c:v>0.46774191733156451</c:v>
                </c:pt>
                <c:pt idx="259">
                  <c:v>0.4670851214880048</c:v>
                </c:pt>
                <c:pt idx="260">
                  <c:v>0.46851592483205889</c:v>
                </c:pt>
                <c:pt idx="261">
                  <c:v>0.47202547848434151</c:v>
                </c:pt>
                <c:pt idx="262">
                  <c:v>0.47760643039180495</c:v>
                </c:pt>
                <c:pt idx="263">
                  <c:v>0.48525285729527917</c:v>
                </c:pt>
                <c:pt idx="264">
                  <c:v>0.49496018930634234</c:v>
                </c:pt>
                <c:pt idx="265">
                  <c:v>0.5067251271829486</c:v>
                </c:pt>
                <c:pt idx="266">
                  <c:v>0.52054555241074318</c:v>
                </c:pt>
                <c:pt idx="267">
                  <c:v>0.53642043022156627</c:v>
                </c:pt>
                <c:pt idx="268">
                  <c:v>0.55434970570447883</c:v>
                </c:pt>
                <c:pt idx="269">
                  <c:v>0.57433419319396373</c:v>
                </c:pt>
                <c:pt idx="270">
                  <c:v>0.59637545915330903</c:v>
                </c:pt>
                <c:pt idx="271">
                  <c:v>0.62047569880180853</c:v>
                </c:pt>
                <c:pt idx="272">
                  <c:v>0.64663760677714865</c:v>
                </c:pt>
                <c:pt idx="273">
                  <c:v>0.67486424215791785</c:v>
                </c:pt>
                <c:pt idx="274">
                  <c:v>0.7051588882202241</c:v>
                </c:pt>
                <c:pt idx="275">
                  <c:v>0.73752490734004916</c:v>
                </c:pt>
                <c:pt idx="276">
                  <c:v>0.7719655915019521</c:v>
                </c:pt>
                <c:pt idx="277">
                  <c:v>0.80848400891653061</c:v>
                </c:pt>
                <c:pt idx="278">
                  <c:v>0.84708284730072425</c:v>
                </c:pt>
                <c:pt idx="279">
                  <c:v>0.88776425441078677</c:v>
                </c:pt>
                <c:pt idx="280">
                  <c:v>0.93052967646799256</c:v>
                </c:pt>
                <c:pt idx="281">
                  <c:v>0.97537969515425438</c:v>
                </c:pt>
                <c:pt idx="282">
                  <c:v>1.0223138638906846</c:v>
                </c:pt>
                <c:pt idx="283">
                  <c:v>1.0713305441469543</c:v>
                </c:pt>
                <c:pt idx="284">
                  <c:v>1.1224267425551053</c:v>
                </c:pt>
                <c:pt idx="285">
                  <c:v>1.1755979496228075</c:v>
                </c:pt>
                <c:pt idx="286">
                  <c:v>1.230837980855604</c:v>
                </c:pt>
                <c:pt idx="287">
                  <c:v>1.2881388211072577</c:v>
                </c:pt>
                <c:pt idx="288">
                  <c:v>1.3474904729696082</c:v>
                </c:pt>
                <c:pt idx="289">
                  <c:v>1.4088808100140331</c:v>
                </c:pt>
                <c:pt idx="290">
                  <c:v>1.4722954356699047</c:v>
                </c:pt>
                <c:pt idx="291">
                  <c:v>1.5377175485008643</c:v>
                </c:pt>
                <c:pt idx="292">
                  <c:v>1.6051278146097467</c:v>
                </c:pt>
                <c:pt idx="293">
                  <c:v>1.6745042478483061</c:v>
                </c:pt>
                <c:pt idx="294">
                  <c:v>1.7458220984670183</c:v>
                </c:pt>
                <c:pt idx="295">
                  <c:v>1.8190537507702784</c:v>
                </c:pt>
                <c:pt idx="296">
                  <c:v>1.8941686302851803</c:v>
                </c:pt>
                <c:pt idx="297">
                  <c:v>1.9711331208712997</c:v>
                </c:pt>
                <c:pt idx="298">
                  <c:v>2.0499104921303419</c:v>
                </c:pt>
                <c:pt idx="299">
                  <c:v>2.1304608373877763</c:v>
                </c:pt>
                <c:pt idx="300">
                  <c:v>2.212741022440496</c:v>
                </c:pt>
                <c:pt idx="301">
                  <c:v>2.2967046451799367</c:v>
                </c:pt>
                <c:pt idx="302">
                  <c:v>2.3823020061189446</c:v>
                </c:pt>
                <c:pt idx="303">
                  <c:v>2.4694800897706495</c:v>
                </c:pt>
                <c:pt idx="304">
                  <c:v>2.5581825567491916</c:v>
                </c:pt>
                <c:pt idx="305">
                  <c:v>2.6483497463944845</c:v>
                </c:pt>
                <c:pt idx="306">
                  <c:v>2.7399186896544787</c:v>
                </c:pt>
                <c:pt idx="307">
                  <c:v>2.8328231319007271</c:v>
                </c:pt>
                <c:pt idx="308">
                  <c:v>2.9269935653029759</c:v>
                </c:pt>
                <c:pt idx="309">
                  <c:v>3.0223572703473192</c:v>
                </c:pt>
                <c:pt idx="310">
                  <c:v>3.1188383660492125</c:v>
                </c:pt>
                <c:pt idx="311">
                  <c:v>3.2163578683890526</c:v>
                </c:pt>
                <c:pt idx="312">
                  <c:v>3.3148337564882624</c:v>
                </c:pt>
                <c:pt idx="313">
                  <c:v>3.4141810460356319</c:v>
                </c:pt>
                <c:pt idx="314">
                  <c:v>3.5143118694857263</c:v>
                </c:pt>
                <c:pt idx="315">
                  <c:v>3.6151355625592441</c:v>
                </c:pt>
                <c:pt idx="316">
                  <c:v>3.716558756606005</c:v>
                </c:pt>
                <c:pt idx="317">
                  <c:v>3.8184854764146876</c:v>
                </c:pt>
                <c:pt idx="318">
                  <c:v>3.9208172430988069</c:v>
                </c:pt>
                <c:pt idx="319">
                  <c:v>4.0234531817225276</c:v>
                </c:pt>
                <c:pt idx="320">
                  <c:v>4.1262901333858402</c:v>
                </c:pt>
                <c:pt idx="321">
                  <c:v>4.2292227715334532</c:v>
                </c:pt>
                <c:pt idx="322">
                  <c:v>4.3321437223053598</c:v>
                </c:pt>
                <c:pt idx="323">
                  <c:v>4.4349436888013392</c:v>
                </c:pt>
                <c:pt idx="324">
                  <c:v>4.537511579184434</c:v>
                </c:pt>
                <c:pt idx="325">
                  <c:v>4.6397346385954128</c:v>
                </c:pt>
                <c:pt idx="326">
                  <c:v>4.7414985848991709</c:v>
                </c:pt>
                <c:pt idx="327">
                  <c:v>4.8426877483315716</c:v>
                </c:pt>
                <c:pt idx="328">
                  <c:v>4.9431852151422397</c:v>
                </c:pt>
                <c:pt idx="329">
                  <c:v>5.0428729753703561</c:v>
                </c:pt>
                <c:pt idx="330">
                  <c:v>5.1416320749066049</c:v>
                </c:pt>
                <c:pt idx="331">
                  <c:v>5.2393427720125949</c:v>
                </c:pt>
                <c:pt idx="332">
                  <c:v>5.3358846984751782</c:v>
                </c:pt>
                <c:pt idx="333">
                  <c:v>5.4311370255696776</c:v>
                </c:pt>
                <c:pt idx="334">
                  <c:v>5.5249786349924692</c:v>
                </c:pt>
                <c:pt idx="335">
                  <c:v>5.6172882948992893</c:v>
                </c:pt>
                <c:pt idx="336">
                  <c:v>5.7079448411556797</c:v>
                </c:pt>
                <c:pt idx="337">
                  <c:v>5.7968273638571288</c:v>
                </c:pt>
                <c:pt idx="338">
                  <c:v>5.8838153991280029</c:v>
                </c:pt>
                <c:pt idx="339">
                  <c:v>5.9687891261402157</c:v>
                </c:pt>
                <c:pt idx="340">
                  <c:v>6.0516295692247768</c:v>
                </c:pt>
                <c:pt idx="341">
                  <c:v>6.1322188048672981</c:v>
                </c:pt>
                <c:pt idx="342">
                  <c:v>6.210440173290273</c:v>
                </c:pt>
                <c:pt idx="343">
                  <c:v>6.2861784942331598</c:v>
                </c:pt>
                <c:pt idx="344">
                  <c:v>6.359320286442447</c:v>
                </c:pt>
                <c:pt idx="345">
                  <c:v>6.4297539902824994</c:v>
                </c:pt>
                <c:pt idx="346">
                  <c:v>6.49737019277614</c:v>
                </c:pt>
                <c:pt idx="347">
                  <c:v>6.5620618542777054</c:v>
                </c:pt>
                <c:pt idx="348">
                  <c:v>6.6237245358871562</c:v>
                </c:pt>
                <c:pt idx="349">
                  <c:v>6.6822566266089911</c:v>
                </c:pt>
                <c:pt idx="350">
                  <c:v>6.737559569176276</c:v>
                </c:pt>
                <c:pt idx="351">
                  <c:v>6.7895380833716414</c:v>
                </c:pt>
                <c:pt idx="352">
                  <c:v>6.8381003856079676</c:v>
                </c:pt>
                <c:pt idx="353">
                  <c:v>6.883158403468947</c:v>
                </c:pt>
                <c:pt idx="354">
                  <c:v>6.9246279838612415</c:v>
                </c:pt>
                <c:pt idx="355">
                  <c:v>6.9624290933988355</c:v>
                </c:pt>
                <c:pt idx="356">
                  <c:v>6.9964860096246371</c:v>
                </c:pt>
                <c:pt idx="357">
                  <c:v>7.0267275016737187</c:v>
                </c:pt>
                <c:pt idx="358">
                  <c:v>7.0530869990056821</c:v>
                </c:pt>
                <c:pt idx="359">
                  <c:v>7.0755027468713152</c:v>
                </c:pt>
                <c:pt idx="360">
                  <c:v>7.0939179472368084</c:v>
                </c:pt>
                <c:pt idx="361">
                  <c:v>7.1082808839668141</c:v>
                </c:pt>
                <c:pt idx="362">
                  <c:v>7.1185450311630918</c:v>
                </c:pt>
                <c:pt idx="363">
                  <c:v>7.124669143667596</c:v>
                </c:pt>
                <c:pt idx="364">
                  <c:v>7.1266173288688783</c:v>
                </c:pt>
                <c:pt idx="365">
                  <c:v>7.1243590990924579</c:v>
                </c:pt>
                <c:pt idx="366">
                  <c:v>7.1178694040125681</c:v>
                </c:pt>
                <c:pt idx="367">
                  <c:v>7.1071286426855851</c:v>
                </c:pt>
                <c:pt idx="368">
                  <c:v>7.0921226549818286</c:v>
                </c:pt>
                <c:pt idx="369">
                  <c:v>7.0728426923650218</c:v>
                </c:pt>
                <c:pt idx="370">
                  <c:v>7.049285368151831</c:v>
                </c:pt>
                <c:pt idx="371">
                  <c:v>7.0214525875602627</c:v>
                </c:pt>
                <c:pt idx="372">
                  <c:v>6.9893514580304839</c:v>
                </c:pt>
                <c:pt idx="373">
                  <c:v>6.952994180469001</c:v>
                </c:pt>
                <c:pt idx="374">
                  <c:v>6.9123979222274299</c:v>
                </c:pt>
                <c:pt idx="375">
                  <c:v>6.8675846727744538</c:v>
                </c:pt>
                <c:pt idx="376">
                  <c:v>6.8185810831504101</c:v>
                </c:pt>
                <c:pt idx="377">
                  <c:v>6.7654182904180873</c:v>
                </c:pt>
                <c:pt idx="378">
                  <c:v>6.7081317284216375</c:v>
                </c:pt>
                <c:pt idx="379">
                  <c:v>6.6467609262487368</c:v>
                </c:pt>
                <c:pt idx="380">
                  <c:v>6.5813492958607469</c:v>
                </c:pt>
                <c:pt idx="381">
                  <c:v>6.5119439104004515</c:v>
                </c:pt>
                <c:pt idx="382">
                  <c:v>6.4385952747116368</c:v>
                </c:pt>
                <c:pt idx="383">
                  <c:v>6.361357089622933</c:v>
                </c:pt>
                <c:pt idx="384">
                  <c:v>6.2802860115281192</c:v>
                </c:pt>
                <c:pt idx="385">
                  <c:v>6.1954414087826244</c:v>
                </c:pt>
                <c:pt idx="386">
                  <c:v>6.1068851163863167</c:v>
                </c:pt>
                <c:pt idx="387">
                  <c:v>6.0146811903709461</c:v>
                </c:pt>
                <c:pt idx="388">
                  <c:v>5.9188956632455909</c:v>
                </c:pt>
                <c:pt idx="389">
                  <c:v>5.8195963017716448</c:v>
                </c:pt>
                <c:pt idx="390">
                  <c:v>5.7168523682539965</c:v>
                </c:pt>
                <c:pt idx="391">
                  <c:v>5.6107343864407779</c:v>
                </c:pt>
                <c:pt idx="392">
                  <c:v>5.5013139130219848</c:v>
                </c:pt>
                <c:pt idx="393">
                  <c:v>5.388663315617058</c:v>
                </c:pt>
                <c:pt idx="394">
                  <c:v>5.2728555580322602</c:v>
                </c:pt>
                <c:pt idx="395">
                  <c:v>5.153963993464501</c:v>
                </c:pt>
                <c:pt idx="396">
                  <c:v>5.0320621662218334</c:v>
                </c:pt>
                <c:pt idx="397">
                  <c:v>4.9072236224294183</c:v>
                </c:pt>
                <c:pt idx="398">
                  <c:v>4.7795217300857278</c:v>
                </c:pt>
                <c:pt idx="399">
                  <c:v>4.6490295087430544</c:v>
                </c:pt>
                <c:pt idx="400">
                  <c:v>4.5158194689912134</c:v>
                </c:pt>
                <c:pt idx="401">
                  <c:v>4.379963461841835</c:v>
                </c:pt>
                <c:pt idx="402">
                  <c:v>4.2415325380304196</c:v>
                </c:pt>
                <c:pt idx="403">
                  <c:v>4.1005968171785323</c:v>
                </c:pt>
                <c:pt idx="404">
                  <c:v>3.9572253667003188</c:v>
                </c:pt>
                <c:pt idx="405">
                  <c:v>3.8114860902701828</c:v>
                </c:pt>
                <c:pt idx="406">
                  <c:v>3.6634456256233379</c:v>
                </c:pt>
                <c:pt idx="407">
                  <c:v>3.5131692514147761</c:v>
                </c:pt>
                <c:pt idx="408">
                  <c:v>3.3607208028197757</c:v>
                </c:pt>
                <c:pt idx="409">
                  <c:v>3.2061625955356483</c:v>
                </c:pt>
                <c:pt idx="410">
                  <c:v>3.0495553578083188</c:v>
                </c:pt>
                <c:pt idx="411">
                  <c:v>2.8909581700967175</c:v>
                </c:pt>
                <c:pt idx="412">
                  <c:v>2.7304284119660216</c:v>
                </c:pt>
                <c:pt idx="413">
                  <c:v>2.5680217157952789</c:v>
                </c:pt>
                <c:pt idx="414">
                  <c:v>2.4037919268761905</c:v>
                </c:pt>
                <c:pt idx="415">
                  <c:v>2.2377910694827832</c:v>
                </c:pt>
                <c:pt idx="416">
                  <c:v>2.0700693184865009</c:v>
                </c:pt>
                <c:pt idx="417">
                  <c:v>1.9006749761069006</c:v>
                </c:pt>
                <c:pt idx="418">
                  <c:v>1.7296544533866847</c:v>
                </c:pt>
                <c:pt idx="419">
                  <c:v>1.5570522559955537</c:v>
                </c:pt>
                <c:pt idx="420">
                  <c:v>1.3829109739814152</c:v>
                </c:pt>
                <c:pt idx="421">
                  <c:v>1.2072712750981194</c:v>
                </c:pt>
                <c:pt idx="422">
                  <c:v>1.030171901357799</c:v>
                </c:pt>
                <c:pt idx="423">
                  <c:v>0.85164966847400425</c:v>
                </c:pt>
                <c:pt idx="424">
                  <c:v>0.67173946787625161</c:v>
                </c:pt>
                <c:pt idx="425">
                  <c:v>0.49047427100300467</c:v>
                </c:pt>
                <c:pt idx="426">
                  <c:v>0.30788513559048236</c:v>
                </c:pt>
                <c:pt idx="427">
                  <c:v>0.12400121370404452</c:v>
                </c:pt>
                <c:pt idx="428">
                  <c:v>-6.1150238727554165E-2</c:v>
                </c:pt>
                <c:pt idx="429">
                  <c:v>-0.2475438510897057</c:v>
                </c:pt>
                <c:pt idx="430">
                  <c:v>-0.43515612616793292</c:v>
                </c:pt>
                <c:pt idx="431">
                  <c:v>-0.62396542731807447</c:v>
                </c:pt>
                <c:pt idx="432">
                  <c:v>-0.81395196487451615</c:v>
                </c:pt>
                <c:pt idx="433">
                  <c:v>-1.0050977819317413</c:v>
                </c:pt>
                <c:pt idx="434">
                  <c:v>-1.1973867396150117</c:v>
                </c:pt>
                <c:pt idx="435">
                  <c:v>-1.3908045019341495</c:v>
                </c:pt>
                <c:pt idx="436">
                  <c:v>-1.5853385202970611</c:v>
                </c:pt>
                <c:pt idx="437">
                  <c:v>-1.780978017740011</c:v>
                </c:pt>
                <c:pt idx="438">
                  <c:v>-1.9777139729127748</c:v>
                </c:pt>
                <c:pt idx="439">
                  <c:v>-2.1755391038393674</c:v>
                </c:pt>
                <c:pt idx="440">
                  <c:v>-2.3744478514554253</c:v>
                </c:pt>
                <c:pt idx="441">
                  <c:v>-2.5744363629082665</c:v>
                </c:pt>
                <c:pt idx="442">
                  <c:v>-2.7755024745866925</c:v>
                </c:pt>
                <c:pt idx="443">
                  <c:v>-2.9776456948306604</c:v>
                </c:pt>
                <c:pt idx="444">
                  <c:v>-3.1808671862568945</c:v>
                </c:pt>
                <c:pt idx="445">
                  <c:v>-3.3851697476186815</c:v>
                </c:pt>
                <c:pt idx="446">
                  <c:v>-3.5905577951023568</c:v>
                </c:pt>
                <c:pt idx="447">
                  <c:v>-3.797037342951481</c:v>
                </c:pt>
                <c:pt idx="448">
                  <c:v>-4.0046159832914547</c:v>
                </c:pt>
                <c:pt idx="449">
                  <c:v>-4.2133028650172886</c:v>
                </c:pt>
                <c:pt idx="450">
                  <c:v>-4.42310867159149</c:v>
                </c:pt>
                <c:pt idx="451">
                  <c:v>-4.6340455975906423</c:v>
                </c:pt>
                <c:pt idx="452">
                  <c:v>-4.8461273238250469</c:v>
                </c:pt>
                <c:pt idx="453">
                  <c:v>-5.059368990847962</c:v>
                </c:pt>
                <c:pt idx="454">
                  <c:v>-5.2737871706619472</c:v>
                </c:pt>
                <c:pt idx="455">
                  <c:v>-5.4893998364220007</c:v>
                </c:pt>
                <c:pt idx="456">
                  <c:v>-5.7062263299299438</c:v>
                </c:pt>
                <c:pt idx="457">
                  <c:v>-5.9242873267106724</c:v>
                </c:pt>
                <c:pt idx="458">
                  <c:v>-6.1436047984575115</c:v>
                </c:pt>
                <c:pt idx="459">
                  <c:v>-6.3642019726357848</c:v>
                </c:pt>
                <c:pt idx="460">
                  <c:v>-6.586103289033062</c:v>
                </c:pt>
                <c:pt idx="461">
                  <c:v>-6.8093343530512831</c:v>
                </c:pt>
                <c:pt idx="462">
                  <c:v>-7.0339218855430721</c:v>
                </c:pt>
                <c:pt idx="463">
                  <c:v>-7.259893669002274</c:v>
                </c:pt>
                <c:pt idx="464">
                  <c:v>-7.4872784899344333</c:v>
                </c:pt>
                <c:pt idx="465">
                  <c:v>-7.7161060772474972</c:v>
                </c:pt>
                <c:pt idx="466">
                  <c:v>-7.946407036523051</c:v>
                </c:pt>
                <c:pt idx="467">
                  <c:v>-8.1782127800500533</c:v>
                </c:pt>
                <c:pt idx="468">
                  <c:v>-8.4115554525326282</c:v>
                </c:pt>
                <c:pt idx="469">
                  <c:v>-8.646467852407655</c:v>
                </c:pt>
                <c:pt idx="470">
                  <c:v>-8.8829833487484979</c:v>
                </c:pt>
                <c:pt idx="471">
                  <c:v>-9.1211357937608248</c:v>
                </c:pt>
                <c:pt idx="472">
                  <c:v>-9.3609594309211612</c:v>
                </c:pt>
                <c:pt idx="473">
                  <c:v>-9.6024887988520753</c:v>
                </c:pt>
                <c:pt idx="474">
                  <c:v>-9.8457586310704865</c:v>
                </c:pt>
                <c:pt idx="475">
                  <c:v>-10.090803751796578</c:v>
                </c:pt>
                <c:pt idx="476">
                  <c:v>-10.337658968063019</c:v>
                </c:pt>
                <c:pt idx="477">
                  <c:v>-10.586358958411495</c:v>
                </c:pt>
                <c:pt idx="478">
                  <c:v>-10.83693815852078</c:v>
                </c:pt>
                <c:pt idx="479">
                  <c:v>-11.08943064416259</c:v>
                </c:pt>
                <c:pt idx="480">
                  <c:v>-11.343870011934252</c:v>
                </c:pt>
                <c:pt idx="481">
                  <c:v>-11.600289258267416</c:v>
                </c:pt>
                <c:pt idx="482">
                  <c:v>-11.858720657265007</c:v>
                </c:pt>
                <c:pt idx="483">
                  <c:v>-12.119195637960903</c:v>
                </c:pt>
                <c:pt idx="484">
                  <c:v>-12.38174466164371</c:v>
                </c:pt>
                <c:pt idx="485">
                  <c:v>-12.646397099920206</c:v>
                </c:pt>
                <c:pt idx="486">
                  <c:v>-12.913181114227356</c:v>
                </c:pt>
                <c:pt idx="487">
                  <c:v>-13.182123537529753</c:v>
                </c:pt>
                <c:pt idx="488">
                  <c:v>-13.453249758952403</c:v>
                </c:pt>
                <c:pt idx="489">
                  <c:v>-13.726583612115146</c:v>
                </c:pt>
                <c:pt idx="490">
                  <c:v>-14.002147267930969</c:v>
                </c:pt>
                <c:pt idx="491">
                  <c:v>-14.279961132627239</c:v>
                </c:pt>
                <c:pt idx="492">
                  <c:v>-14.560043751728335</c:v>
                </c:pt>
                <c:pt idx="493">
                  <c:v>-14.842411720714727</c:v>
                </c:pt>
                <c:pt idx="494">
                  <c:v>-15.127079603035295</c:v>
                </c:pt>
                <c:pt idx="495">
                  <c:v>-15.414059856104629</c:v>
                </c:pt>
                <c:pt idx="496">
                  <c:v>-15.703362765863208</c:v>
                </c:pt>
                <c:pt idx="497">
                  <c:v>-15.994996390414913</c:v>
                </c:pt>
                <c:pt idx="498">
                  <c:v>-16.288966513184874</c:v>
                </c:pt>
                <c:pt idx="499">
                  <c:v>-16.585276605965351</c:v>
                </c:pt>
                <c:pt idx="500">
                  <c:v>-16.88392780213438</c:v>
                </c:pt>
                <c:pt idx="501">
                  <c:v>-17.184918880240222</c:v>
                </c:pt>
                <c:pt idx="502">
                  <c:v>-17.48824625806148</c:v>
                </c:pt>
                <c:pt idx="503">
                  <c:v>-17.793903997153826</c:v>
                </c:pt>
                <c:pt idx="504">
                  <c:v>-18.101883817806609</c:v>
                </c:pt>
                <c:pt idx="505">
                  <c:v>-18.412175124236853</c:v>
                </c:pt>
                <c:pt idx="506">
                  <c:v>-18.72476503976366</c:v>
                </c:pt>
                <c:pt idx="507">
                  <c:v>-19.039638451617453</c:v>
                </c:pt>
                <c:pt idx="508">
                  <c:v>-19.356778064960341</c:v>
                </c:pt>
                <c:pt idx="509">
                  <c:v>-19.676164465619284</c:v>
                </c:pt>
                <c:pt idx="510">
                  <c:v>-19.997776190967159</c:v>
                </c:pt>
                <c:pt idx="511">
                  <c:v>-20.321589808331101</c:v>
                </c:pt>
                <c:pt idx="512">
                  <c:v>-20.647580000251281</c:v>
                </c:pt>
                <c:pt idx="513">
                  <c:v>-20.975719655881445</c:v>
                </c:pt>
                <c:pt idx="514">
                  <c:v>-21.305979967784477</c:v>
                </c:pt>
                <c:pt idx="515">
                  <c:v>-21.638330533357653</c:v>
                </c:pt>
                <c:pt idx="516">
                  <c:v>-21.972739460111057</c:v>
                </c:pt>
                <c:pt idx="517">
                  <c:v>-22.30917347401768</c:v>
                </c:pt>
                <c:pt idx="518">
                  <c:v>-22.64759803016462</c:v>
                </c:pt>
                <c:pt idx="519">
                  <c:v>-22.987977424940063</c:v>
                </c:pt>
                <c:pt idx="520">
                  <c:v>-23.330274909026244</c:v>
                </c:pt>
                <c:pt idx="521">
                  <c:v>-23.674452800484676</c:v>
                </c:pt>
                <c:pt idx="522">
                  <c:v>-24.020472597263588</c:v>
                </c:pt>
                <c:pt idx="523">
                  <c:v>-24.368295088494513</c:v>
                </c:pt>
                <c:pt idx="524">
                  <c:v>-24.717880463990937</c:v>
                </c:pt>
                <c:pt idx="525">
                  <c:v>-25.0691884214074</c:v>
                </c:pt>
                <c:pt idx="526">
                  <c:v>-25.422178270573845</c:v>
                </c:pt>
                <c:pt idx="527">
                  <c:v>-25.776809034563726</c:v>
                </c:pt>
                <c:pt idx="528">
                  <c:v>-26.133039547115477</c:v>
                </c:pt>
                <c:pt idx="529">
                  <c:v>-26.490828546076756</c:v>
                </c:pt>
                <c:pt idx="530">
                  <c:v>-26.850134762590091</c:v>
                </c:pt>
                <c:pt idx="531">
                  <c:v>-27.21091700579731</c:v>
                </c:pt>
                <c:pt idx="532">
                  <c:v>-27.573134242882197</c:v>
                </c:pt>
                <c:pt idx="533">
                  <c:v>-27.9367456743222</c:v>
                </c:pt>
                <c:pt idx="534">
                  <c:v>-28.301710804262878</c:v>
                </c:pt>
                <c:pt idx="535">
                  <c:v>-28.667989505972468</c:v>
                </c:pt>
                <c:pt idx="536">
                  <c:v>-29.035542082368121</c:v>
                </c:pt>
                <c:pt idx="537">
                  <c:v>-29.404329321645548</c:v>
                </c:pt>
                <c:pt idx="538">
                  <c:v>-29.774312548072409</c:v>
                </c:pt>
                <c:pt idx="539">
                  <c:v>-30.145453668034033</c:v>
                </c:pt>
                <c:pt idx="540">
                  <c:v>-30.517715211446536</c:v>
                </c:pt>
                <c:pt idx="541">
                  <c:v>-30.891060368673351</c:v>
                </c:pt>
              </c:numCache>
            </c:numRef>
          </c:yVal>
          <c:smooth val="1"/>
          <c:extLst>
            <c:ext xmlns:c16="http://schemas.microsoft.com/office/drawing/2014/chart" uri="{C3380CC4-5D6E-409C-BE32-E72D297353CC}">
              <c16:uniqueId val="{00000000-ECAC-4E20-B866-0DB1B3DE6FE8}"/>
            </c:ext>
          </c:extLst>
        </c:ser>
        <c:ser>
          <c:idx val="2"/>
          <c:order val="2"/>
          <c:tx>
            <c:v>f_LP</c:v>
          </c:tx>
          <c:spPr>
            <a:ln w="38100" cmpd="sng"/>
          </c:spPr>
          <c:marker>
            <c:symbol val="x"/>
            <c:size val="7"/>
            <c:spPr>
              <a:noFill/>
            </c:spPr>
          </c:marker>
          <c:dPt>
            <c:idx val="0"/>
            <c:marker>
              <c:spPr>
                <a:noFill/>
                <a:ln w="19050">
                  <a:solidFill>
                    <a:schemeClr val="tx1"/>
                  </a:solidFill>
                </a:ln>
              </c:spPr>
            </c:marker>
            <c:bubble3D val="0"/>
            <c:extLst>
              <c:ext xmlns:c16="http://schemas.microsoft.com/office/drawing/2014/chart" uri="{C3380CC4-5D6E-409C-BE32-E72D297353CC}">
                <c16:uniqueId val="{00000001-ECAC-4E20-B866-0DB1B3DE6FE8}"/>
              </c:ext>
            </c:extLst>
          </c:dPt>
          <c:dLbls>
            <c:dLbl>
              <c:idx val="0"/>
              <c:tx>
                <c:rich>
                  <a:bodyPr/>
                  <a:lstStyle/>
                  <a:p>
                    <a:r>
                      <a:rPr lang="en-US" sz="1100" b="1"/>
                      <a:t>f</a:t>
                    </a:r>
                    <a:r>
                      <a:rPr lang="en-US" sz="1100" b="1" baseline="-25000"/>
                      <a:t>LP</a:t>
                    </a:r>
                    <a:endParaRPr lang="en-US" b="1" baseline="-25000"/>
                  </a:p>
                </c:rich>
              </c:tx>
              <c:dLblPos val="b"/>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CAC-4E20-B866-0DB1B3DE6FE8}"/>
                </c:ext>
              </c:extLst>
            </c:dLbl>
            <c:spPr>
              <a:noFill/>
              <a:ln>
                <a:noFill/>
              </a:ln>
              <a:effectLst/>
            </c:sp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Loop_Modeling!$O$11</c:f>
              <c:numCache>
                <c:formatCode>0</c:formatCode>
                <c:ptCount val="1"/>
                <c:pt idx="0">
                  <c:v>61.509845308024218</c:v>
                </c:pt>
              </c:numCache>
            </c:numRef>
          </c:xVal>
          <c:yVal>
            <c:numRef>
              <c:f>Loop_Modeling!$BL$11</c:f>
              <c:numCache>
                <c:formatCode>General</c:formatCode>
                <c:ptCount val="1"/>
                <c:pt idx="0">
                  <c:v>43.462043348054578</c:v>
                </c:pt>
              </c:numCache>
            </c:numRef>
          </c:yVal>
          <c:smooth val="0"/>
          <c:extLst>
            <c:ext xmlns:c16="http://schemas.microsoft.com/office/drawing/2014/chart" uri="{C3380CC4-5D6E-409C-BE32-E72D297353CC}">
              <c16:uniqueId val="{00000002-ECAC-4E20-B866-0DB1B3DE6FE8}"/>
            </c:ext>
          </c:extLst>
        </c:ser>
        <c:ser>
          <c:idx val="3"/>
          <c:order val="3"/>
          <c:tx>
            <c:v>fz_rhp</c:v>
          </c:tx>
          <c:spPr>
            <a:ln>
              <a:solidFill>
                <a:schemeClr val="tx1"/>
              </a:solidFill>
            </a:ln>
          </c:spPr>
          <c:marker>
            <c:symbol val="circle"/>
            <c:size val="7"/>
            <c:spPr>
              <a:noFill/>
              <a:ln w="19050">
                <a:solidFill>
                  <a:schemeClr val="tx1"/>
                </a:solidFill>
              </a:ln>
            </c:spPr>
          </c:marker>
          <c:dLbls>
            <c:dLbl>
              <c:idx val="0"/>
              <c:layout>
                <c:manualLayout>
                  <c:x val="8.0501209561423519E-3"/>
                  <c:y val="-1.549366727850418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ECAC-4E20-B866-0DB1B3DE6FE8}"/>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Loop_Modeling!$O$9</c:f>
              <c:numCache>
                <c:formatCode>0</c:formatCode>
                <c:ptCount val="1"/>
                <c:pt idx="0">
                  <c:v>636.61977236758139</c:v>
                </c:pt>
              </c:numCache>
            </c:numRef>
          </c:xVal>
          <c:yVal>
            <c:numRef>
              <c:f>Loop_Modeling!$BL$9</c:f>
              <c:numCache>
                <c:formatCode>General</c:formatCode>
                <c:ptCount val="1"/>
                <c:pt idx="0">
                  <c:v>9.6790985037344939</c:v>
                </c:pt>
              </c:numCache>
            </c:numRef>
          </c:yVal>
          <c:smooth val="1"/>
          <c:extLst>
            <c:ext xmlns:c16="http://schemas.microsoft.com/office/drawing/2014/chart" uri="{C3380CC4-5D6E-409C-BE32-E72D297353CC}">
              <c16:uniqueId val="{00000004-ECAC-4E20-B866-0DB1B3DE6FE8}"/>
            </c:ext>
          </c:extLst>
        </c:ser>
        <c:ser>
          <c:idx val="4"/>
          <c:order val="4"/>
          <c:tx>
            <c:v>f_esr</c:v>
          </c:tx>
          <c:spPr>
            <a:ln>
              <a:noFill/>
            </a:ln>
          </c:spPr>
          <c:marker>
            <c:symbol val="circle"/>
            <c:size val="5"/>
            <c:spPr>
              <a:noFill/>
              <a:ln w="19050">
                <a:solidFill>
                  <a:schemeClr val="tx1"/>
                </a:solidFill>
              </a:ln>
            </c:spPr>
          </c:marker>
          <c:dPt>
            <c:idx val="0"/>
            <c:marker>
              <c:symbol val="circle"/>
              <c:size val="7"/>
            </c:marker>
            <c:bubble3D val="0"/>
            <c:extLst>
              <c:ext xmlns:c16="http://schemas.microsoft.com/office/drawing/2014/chart" uri="{C3380CC4-5D6E-409C-BE32-E72D297353CC}">
                <c16:uniqueId val="{00000005-ECAC-4E20-B866-0DB1B3DE6FE8}"/>
              </c:ext>
            </c:extLst>
          </c:dPt>
          <c:dLbls>
            <c:dLbl>
              <c:idx val="0"/>
              <c:layout>
                <c:manualLayout>
                  <c:x val="-5.990474489899654E-2"/>
                  <c:y val="-1.2457193490087108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ECAC-4E20-B866-0DB1B3DE6FE8}"/>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Loop_Modeling!$O$10</c:f>
              <c:numCache>
                <c:formatCode>0</c:formatCode>
                <c:ptCount val="1"/>
                <c:pt idx="0">
                  <c:v>9675.072528382696</c:v>
                </c:pt>
              </c:numCache>
            </c:numRef>
          </c:xVal>
          <c:yVal>
            <c:numRef>
              <c:f>Loop_Modeling!$BL$10</c:f>
              <c:numCache>
                <c:formatCode>General</c:formatCode>
                <c:ptCount val="1"/>
                <c:pt idx="0">
                  <c:v>2.015455407712587</c:v>
                </c:pt>
              </c:numCache>
            </c:numRef>
          </c:yVal>
          <c:smooth val="1"/>
          <c:extLst>
            <c:ext xmlns:c16="http://schemas.microsoft.com/office/drawing/2014/chart" uri="{C3380CC4-5D6E-409C-BE32-E72D297353CC}">
              <c16:uniqueId val="{00000006-ECAC-4E20-B866-0DB1B3DE6FE8}"/>
            </c:ext>
          </c:extLst>
        </c:ser>
        <c:ser>
          <c:idx val="5"/>
          <c:order val="5"/>
          <c:tx>
            <c:v>fz_ea</c:v>
          </c:tx>
          <c:marker>
            <c:symbol val="circle"/>
            <c:size val="8"/>
            <c:spPr>
              <a:noFill/>
              <a:ln w="25400">
                <a:solidFill>
                  <a:srgbClr val="00B0F0"/>
                </a:solidFill>
              </a:ln>
            </c:spPr>
          </c:marker>
          <c:dLbls>
            <c:dLbl>
              <c:idx val="0"/>
              <c:spPr/>
              <c:txPr>
                <a:bodyPr/>
                <a:lstStyle/>
                <a:p>
                  <a:pPr>
                    <a:defRPr b="1"/>
                  </a:pPr>
                  <a:endParaRPr lang="en-US"/>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ECAC-4E20-B866-0DB1B3DE6FE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Loop_Modeling!$O$12</c:f>
              <c:numCache>
                <c:formatCode>General</c:formatCode>
                <c:ptCount val="1"/>
                <c:pt idx="0">
                  <c:v>1354.7407481434739</c:v>
                </c:pt>
              </c:numCache>
            </c:numRef>
          </c:xVal>
          <c:yVal>
            <c:numRef>
              <c:f>Loop_Modeling!$BL$12</c:f>
              <c:numCache>
                <c:formatCode>General</c:formatCode>
                <c:ptCount val="1"/>
                <c:pt idx="0">
                  <c:v>3.2108808164866542</c:v>
                </c:pt>
              </c:numCache>
            </c:numRef>
          </c:yVal>
          <c:smooth val="1"/>
          <c:extLst>
            <c:ext xmlns:c16="http://schemas.microsoft.com/office/drawing/2014/chart" uri="{C3380CC4-5D6E-409C-BE32-E72D297353CC}">
              <c16:uniqueId val="{00000008-ECAC-4E20-B866-0DB1B3DE6FE8}"/>
            </c:ext>
          </c:extLst>
        </c:ser>
        <c:ser>
          <c:idx val="6"/>
          <c:order val="6"/>
          <c:tx>
            <c:v>fp_ea</c:v>
          </c:tx>
          <c:marker>
            <c:symbol val="x"/>
            <c:size val="7"/>
            <c:spPr>
              <a:noFill/>
              <a:ln w="25400">
                <a:solidFill>
                  <a:srgbClr val="00B0F0"/>
                </a:solidFill>
              </a:ln>
            </c:spPr>
          </c:marker>
          <c:dLbls>
            <c:dLbl>
              <c:idx val="0"/>
              <c:layout>
                <c:manualLayout>
                  <c:x val="-5.3995739911983948E-2"/>
                  <c:y val="3.3712510009006609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ECAC-4E20-B866-0DB1B3DE6FE8}"/>
                </c:ext>
              </c:extLst>
            </c:dLbl>
            <c:spPr>
              <a:noFill/>
              <a:ln>
                <a:noFill/>
              </a:ln>
              <a:effectLst/>
            </c:spPr>
            <c:txPr>
              <a:bodyPr/>
              <a:lstStyle/>
              <a:p>
                <a:pPr>
                  <a:defRPr b="1"/>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Loop_Modeling!$O$13</c:f>
              <c:numCache>
                <c:formatCode>General</c:formatCode>
                <c:ptCount val="1"/>
                <c:pt idx="0">
                  <c:v>46061.185436878121</c:v>
                </c:pt>
              </c:numCache>
            </c:numRef>
          </c:xVal>
          <c:yVal>
            <c:numRef>
              <c:f>Loop_Modeling!$BL$13</c:f>
              <c:numCache>
                <c:formatCode>General</c:formatCode>
                <c:ptCount val="1"/>
                <c:pt idx="0">
                  <c:v>7.1226660824584815</c:v>
                </c:pt>
              </c:numCache>
            </c:numRef>
          </c:yVal>
          <c:smooth val="1"/>
          <c:extLst>
            <c:ext xmlns:c16="http://schemas.microsoft.com/office/drawing/2014/chart" uri="{C3380CC4-5D6E-409C-BE32-E72D297353CC}">
              <c16:uniqueId val="{0000000A-ECAC-4E20-B866-0DB1B3DE6FE8}"/>
            </c:ext>
          </c:extLst>
        </c:ser>
        <c:dLbls>
          <c:showLegendKey val="0"/>
          <c:showVal val="0"/>
          <c:showCatName val="0"/>
          <c:showSerName val="0"/>
          <c:showPercent val="0"/>
          <c:showBubbleSize val="0"/>
        </c:dLbls>
        <c:axId val="357835904"/>
        <c:axId val="364477056"/>
      </c:scatterChart>
      <c:scatterChart>
        <c:scatterStyle val="smoothMarker"/>
        <c:varyColors val="0"/>
        <c:ser>
          <c:idx val="1"/>
          <c:order val="1"/>
          <c:tx>
            <c:v>Phase (deg)</c:v>
          </c:tx>
          <c:spPr>
            <a:ln w="28575">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Loop_Modeling!$BM$19:$BM$560</c:f>
              <c:numCache>
                <c:formatCode>General</c:formatCode>
                <c:ptCount val="542"/>
                <c:pt idx="0">
                  <c:v>80.101500372439006</c:v>
                </c:pt>
                <c:pt idx="1">
                  <c:v>79.875039046378276</c:v>
                </c:pt>
                <c:pt idx="2">
                  <c:v>79.643589451156501</c:v>
                </c:pt>
                <c:pt idx="3">
                  <c:v>79.407055085451162</c:v>
                </c:pt>
                <c:pt idx="4">
                  <c:v>79.16533851280721</c:v>
                </c:pt>
                <c:pt idx="5">
                  <c:v>78.918341422699598</c:v>
                </c:pt>
                <c:pt idx="6">
                  <c:v>78.665964697701156</c:v>
                </c:pt>
                <c:pt idx="7">
                  <c:v>78.40810848709657</c:v>
                </c:pt>
                <c:pt idx="8">
                  <c:v>78.144672287295464</c:v>
                </c:pt>
                <c:pt idx="9">
                  <c:v>77.875555029402292</c:v>
                </c:pt>
                <c:pt idx="10">
                  <c:v>77.60065517430705</c:v>
                </c:pt>
                <c:pt idx="11">
                  <c:v>77.319870815668438</c:v>
                </c:pt>
                <c:pt idx="12">
                  <c:v>77.033099791161888</c:v>
                </c:pt>
                <c:pt idx="13">
                  <c:v>76.740239802366901</c:v>
                </c:pt>
                <c:pt idx="14">
                  <c:v>76.441188543668204</c:v>
                </c:pt>
                <c:pt idx="15">
                  <c:v>76.135843840539465</c:v>
                </c:pt>
                <c:pt idx="16">
                  <c:v>75.824103797576285</c:v>
                </c:pt>
                <c:pt idx="17">
                  <c:v>75.5058669566303</c:v>
                </c:pt>
                <c:pt idx="18">
                  <c:v>75.181032465388924</c:v>
                </c:pt>
                <c:pt idx="19">
                  <c:v>74.849500256723658</c:v>
                </c:pt>
                <c:pt idx="20">
                  <c:v>74.511171239111192</c:v>
                </c:pt>
                <c:pt idx="21">
                  <c:v>74.16594749840597</c:v>
                </c:pt>
                <c:pt idx="22">
                  <c:v>73.813732511209736</c:v>
                </c:pt>
                <c:pt idx="23">
                  <c:v>73.454431370046265</c:v>
                </c:pt>
                <c:pt idx="24">
                  <c:v>73.087951020513131</c:v>
                </c:pt>
                <c:pt idx="25">
                  <c:v>72.714200510520882</c:v>
                </c:pt>
                <c:pt idx="26">
                  <c:v>72.333091251688089</c:v>
                </c:pt>
                <c:pt idx="27">
                  <c:v>71.94453729288432</c:v>
                </c:pt>
                <c:pt idx="28">
                  <c:v>71.548455605851188</c:v>
                </c:pt>
                <c:pt idx="29">
                  <c:v>71.144766382746369</c:v>
                </c:pt>
                <c:pt idx="30">
                  <c:v>70.733393345374211</c:v>
                </c:pt>
                <c:pt idx="31">
                  <c:v>70.314264065760725</c:v>
                </c:pt>
                <c:pt idx="32">
                  <c:v>69.887310297640525</c:v>
                </c:pt>
                <c:pt idx="33">
                  <c:v>69.452468318294606</c:v>
                </c:pt>
                <c:pt idx="34">
                  <c:v>69.009679280069832</c:v>
                </c:pt>
                <c:pt idx="35">
                  <c:v>68.558889570770305</c:v>
                </c:pt>
                <c:pt idx="36">
                  <c:v>68.100051181981343</c:v>
                </c:pt>
                <c:pt idx="37">
                  <c:v>67.633122084236192</c:v>
                </c:pt>
                <c:pt idx="38">
                  <c:v>67.158066607783582</c:v>
                </c:pt>
                <c:pt idx="39">
                  <c:v>66.674855827562212</c:v>
                </c:pt>
                <c:pt idx="40">
                  <c:v>66.183467950817828</c:v>
                </c:pt>
                <c:pt idx="41">
                  <c:v>65.683888705637656</c:v>
                </c:pt>
                <c:pt idx="42">
                  <c:v>65.176111728509312</c:v>
                </c:pt>
                <c:pt idx="43">
                  <c:v>64.660138948841876</c:v>
                </c:pt>
                <c:pt idx="44">
                  <c:v>64.135980968222839</c:v>
                </c:pt>
                <c:pt idx="45">
                  <c:v>63.603657432023759</c:v>
                </c:pt>
                <c:pt idx="46">
                  <c:v>63.06319739081453</c:v>
                </c:pt>
                <c:pt idx="47">
                  <c:v>62.514639648899291</c:v>
                </c:pt>
                <c:pt idx="48">
                  <c:v>61.95803309716247</c:v>
                </c:pt>
                <c:pt idx="49">
                  <c:v>61.393437027289188</c:v>
                </c:pt>
                <c:pt idx="50">
                  <c:v>60.820921424336653</c:v>
                </c:pt>
                <c:pt idx="51">
                  <c:v>60.240567234557979</c:v>
                </c:pt>
                <c:pt idx="52">
                  <c:v>59.652466605326424</c:v>
                </c:pt>
                <c:pt idx="53">
                  <c:v>59.0567230939984</c:v>
                </c:pt>
                <c:pt idx="54">
                  <c:v>58.453451842561883</c:v>
                </c:pt>
                <c:pt idx="55">
                  <c:v>57.842779714968032</c:v>
                </c:pt>
                <c:pt idx="56">
                  <c:v>57.224845394128437</c:v>
                </c:pt>
                <c:pt idx="57">
                  <c:v>56.599799435692674</c:v>
                </c:pt>
                <c:pt idx="58">
                  <c:v>55.967804275881861</c:v>
                </c:pt>
                <c:pt idx="59">
                  <c:v>55.329034190875682</c:v>
                </c:pt>
                <c:pt idx="60">
                  <c:v>54.683675205493245</c:v>
                </c:pt>
                <c:pt idx="61">
                  <c:v>54.031924949220162</c:v>
                </c:pt>
                <c:pt idx="62">
                  <c:v>53.373992457964597</c:v>
                </c:pt>
                <c:pt idx="63">
                  <c:v>52.710097920310353</c:v>
                </c:pt>
                <c:pt idx="64">
                  <c:v>52.040472367455152</c:v>
                </c:pt>
                <c:pt idx="65">
                  <c:v>51.365357306472369</c:v>
                </c:pt>
                <c:pt idx="66">
                  <c:v>50.685004297016</c:v>
                </c:pt>
                <c:pt idx="67">
                  <c:v>49.999674472094384</c:v>
                </c:pt>
                <c:pt idx="68">
                  <c:v>49.309638004065199</c:v>
                </c:pt>
                <c:pt idx="69">
                  <c:v>48.615173517529684</c:v>
                </c:pt>
                <c:pt idx="70">
                  <c:v>47.916567451345919</c:v>
                </c:pt>
                <c:pt idx="71">
                  <c:v>47.214113372512763</c:v>
                </c:pt>
                <c:pt idx="72">
                  <c:v>46.508111245189056</c:v>
                </c:pt>
                <c:pt idx="73">
                  <c:v>45.79886665861217</c:v>
                </c:pt>
                <c:pt idx="74">
                  <c:v>45.086690018145347</c:v>
                </c:pt>
                <c:pt idx="75">
                  <c:v>44.371895704110173</c:v>
                </c:pt>
                <c:pt idx="76">
                  <c:v>43.654801203440094</c:v>
                </c:pt>
                <c:pt idx="77">
                  <c:v>42.935726219521889</c:v>
                </c:pt>
                <c:pt idx="78">
                  <c:v>42.214991765866593</c:v>
                </c:pt>
                <c:pt idx="79">
                  <c:v>41.492919249447247</c:v>
                </c:pt>
                <c:pt idx="80">
                  <c:v>40.769829549687039</c:v>
                </c:pt>
                <c:pt idx="81">
                  <c:v>40.046042099155024</c:v>
                </c:pt>
                <c:pt idx="82">
                  <c:v>39.321873972010501</c:v>
                </c:pt>
                <c:pt idx="83">
                  <c:v>38.59763898617576</c:v>
                </c:pt>
                <c:pt idx="84">
                  <c:v>37.87364682507031</c:v>
                </c:pt>
                <c:pt idx="85">
                  <c:v>37.150202184526393</c:v>
                </c:pt>
                <c:pt idx="86">
                  <c:v>36.427603950235621</c:v>
                </c:pt>
                <c:pt idx="87">
                  <c:v>35.706144410749438</c:v>
                </c:pt>
                <c:pt idx="88">
                  <c:v>34.986108510666071</c:v>
                </c:pt>
                <c:pt idx="89">
                  <c:v>34.267773148225025</c:v>
                </c:pt>
                <c:pt idx="90">
                  <c:v>33.551406521048122</c:v>
                </c:pt>
                <c:pt idx="91">
                  <c:v>32.837267523299872</c:v>
                </c:pt>
                <c:pt idx="92">
                  <c:v>32.125605197007154</c:v>
                </c:pt>
                <c:pt idx="93">
                  <c:v>31.416658239771593</c:v>
                </c:pt>
                <c:pt idx="94">
                  <c:v>30.710654570575628</c:v>
                </c:pt>
                <c:pt idx="95">
                  <c:v>30.007810954862055</c:v>
                </c:pt>
                <c:pt idx="96">
                  <c:v>29.308332689564615</c:v>
                </c:pt>
                <c:pt idx="97">
                  <c:v>28.612413348267832</c:v>
                </c:pt>
                <c:pt idx="98">
                  <c:v>27.920234586215599</c:v>
                </c:pt>
                <c:pt idx="99">
                  <c:v>27.231966004456456</c:v>
                </c:pt>
                <c:pt idx="100">
                  <c:v>26.547765071999198</c:v>
                </c:pt>
                <c:pt idx="101">
                  <c:v>25.867777104510466</c:v>
                </c:pt>
                <c:pt idx="102">
                  <c:v>25.192135297745033</c:v>
                </c:pt>
                <c:pt idx="103">
                  <c:v>24.52096081363274</c:v>
                </c:pt>
                <c:pt idx="104">
                  <c:v>23.85436291670548</c:v>
                </c:pt>
                <c:pt idx="105">
                  <c:v>23.192439158350254</c:v>
                </c:pt>
                <c:pt idx="106">
                  <c:v>22.535275606232094</c:v>
                </c:pt>
                <c:pt idx="107">
                  <c:v>21.882947116108621</c:v>
                </c:pt>
                <c:pt idx="108">
                  <c:v>21.235517643198051</c:v>
                </c:pt>
                <c:pt idx="109">
                  <c:v>20.593040590214553</c:v>
                </c:pt>
                <c:pt idx="110">
                  <c:v>19.955559189194386</c:v>
                </c:pt>
                <c:pt idx="111">
                  <c:v>19.32310691425425</c:v>
                </c:pt>
                <c:pt idx="112">
                  <c:v>18.695707922485798</c:v>
                </c:pt>
                <c:pt idx="113">
                  <c:v>18.073377520261978</c:v>
                </c:pt>
                <c:pt idx="114">
                  <c:v>17.456122652332805</c:v>
                </c:pt>
                <c:pt idx="115">
                  <c:v>16.843942411199457</c:v>
                </c:pt>
                <c:pt idx="116">
                  <c:v>16.236828564384567</c:v>
                </c:pt>
                <c:pt idx="117">
                  <c:v>15.634766097346821</c:v>
                </c:pt>
                <c:pt idx="118">
                  <c:v>15.037733769934619</c:v>
                </c:pt>
                <c:pt idx="119">
                  <c:v>14.445704684416571</c:v>
                </c:pt>
                <c:pt idx="120">
                  <c:v>13.85864686326541</c:v>
                </c:pt>
                <c:pt idx="121">
                  <c:v>13.276523835019233</c:v>
                </c:pt>
                <c:pt idx="122">
                  <c:v>12.699295226679213</c:v>
                </c:pt>
                <c:pt idx="123">
                  <c:v>12.126917361222519</c:v>
                </c:pt>
                <c:pt idx="124">
                  <c:v>11.55934385894375</c:v>
                </c:pt>
                <c:pt idx="125">
                  <c:v>10.996526241430026</c:v>
                </c:pt>
                <c:pt idx="126">
                  <c:v>10.438414537079094</c:v>
                </c:pt>
                <c:pt idx="127">
                  <c:v>9.8849578871519217</c:v>
                </c:pt>
                <c:pt idx="128">
                  <c:v>9.3361051514105995</c:v>
                </c:pt>
                <c:pt idx="129">
                  <c:v>8.7918055124467323</c:v>
                </c:pt>
                <c:pt idx="130">
                  <c:v>8.2520090778436224</c:v>
                </c:pt>
                <c:pt idx="131">
                  <c:v>7.7166674793225338</c:v>
                </c:pt>
                <c:pt idx="132">
                  <c:v>7.1857344680328685</c:v>
                </c:pt>
                <c:pt idx="133">
                  <c:v>6.6591665051204556</c:v>
                </c:pt>
                <c:pt idx="134">
                  <c:v>6.136923346682245</c:v>
                </c:pt>
                <c:pt idx="135">
                  <c:v>5.6189686221536288</c:v>
                </c:pt>
                <c:pt idx="136">
                  <c:v>5.1052704051159434</c:v>
                </c:pt>
                <c:pt idx="137">
                  <c:v>4.5958017754223341</c:v>
                </c:pt>
                <c:pt idx="138">
                  <c:v>4.0905413714463315</c:v>
                </c:pt>
                <c:pt idx="139">
                  <c:v>3.5894739311396293</c:v>
                </c:pt>
                <c:pt idx="140">
                  <c:v>3.0925908204693635</c:v>
                </c:pt>
                <c:pt idx="141">
                  <c:v>2.5998905476618579</c:v>
                </c:pt>
                <c:pt idx="142">
                  <c:v>2.1113792615456481</c:v>
                </c:pt>
                <c:pt idx="143">
                  <c:v>1.6270712321268335</c:v>
                </c:pt>
                <c:pt idx="144">
                  <c:v>1.1469893113826617</c:v>
                </c:pt>
                <c:pt idx="145">
                  <c:v>0.67116537209876659</c:v>
                </c:pt>
                <c:pt idx="146">
                  <c:v>0.19964072242202813</c:v>
                </c:pt>
                <c:pt idx="147">
                  <c:v>-0.26753350635235384</c:v>
                </c:pt>
                <c:pt idx="148">
                  <c:v>-0.73029600138181494</c:v>
                </c:pt>
                <c:pt idx="149">
                  <c:v>-1.1885749420242278</c:v>
                </c:pt>
                <c:pt idx="150">
                  <c:v>-1.6422877086064669</c:v>
                </c:pt>
                <c:pt idx="151">
                  <c:v>-2.0913406291906687</c:v>
                </c:pt>
                <c:pt idx="152">
                  <c:v>-2.5356287673882378</c:v>
                </c:pt>
                <c:pt idx="153">
                  <c:v>-2.9750357543302304</c:v>
                </c:pt>
                <c:pt idx="154">
                  <c:v>-3.4094336679125257</c:v>
                </c:pt>
                <c:pt idx="155">
                  <c:v>-3.8386829624351515</c:v>
                </c:pt>
                <c:pt idx="156">
                  <c:v>-4.2626324516892105</c:v>
                </c:pt>
                <c:pt idx="157">
                  <c:v>-4.6811193484654199</c:v>
                </c:pt>
                <c:pt idx="158">
                  <c:v>-5.093969363312981</c:v>
                </c:pt>
                <c:pt idx="159">
                  <c:v>-5.5009968651981431</c:v>
                </c:pt>
                <c:pt idx="160">
                  <c:v>-5.9020051064809014</c:v>
                </c:pt>
                <c:pt idx="161">
                  <c:v>-6.2967865143419672</c:v>
                </c:pt>
                <c:pt idx="162">
                  <c:v>-6.6851230504621295</c:v>
                </c:pt>
                <c:pt idx="163">
                  <c:v>-7.0667866403756294</c:v>
                </c:pt>
                <c:pt idx="164">
                  <c:v>-7.4415396734748613</c:v>
                </c:pt>
                <c:pt idx="165">
                  <c:v>-7.8091355741799608</c:v>
                </c:pt>
                <c:pt idx="166">
                  <c:v>-8.1693194442455646</c:v>
                </c:pt>
                <c:pt idx="167">
                  <c:v>-8.5218287756274851</c:v>
                </c:pt>
                <c:pt idx="168">
                  <c:v>-8.8663942327163578</c:v>
                </c:pt>
                <c:pt idx="169">
                  <c:v>-9.2027405021307551</c:v>
                </c:pt>
                <c:pt idx="170">
                  <c:v>-9.530587207602391</c:v>
                </c:pt>
                <c:pt idx="171">
                  <c:v>-9.8496498868197335</c:v>
                </c:pt>
                <c:pt idx="172">
                  <c:v>-10.159641026431903</c:v>
                </c:pt>
                <c:pt idx="173">
                  <c:v>-10.460271150737629</c:v>
                </c:pt>
                <c:pt idx="174">
                  <c:v>-10.751249958933881</c:v>
                </c:pt>
                <c:pt idx="175">
                  <c:v>-11.032287505163808</c:v>
                </c:pt>
                <c:pt idx="176">
                  <c:v>-11.303095414998195</c:v>
                </c:pt>
                <c:pt idx="177">
                  <c:v>-11.563388131429877</c:v>
                </c:pt>
                <c:pt idx="178">
                  <c:v>-11.81288418295029</c:v>
                </c:pt>
                <c:pt idx="179">
                  <c:v>-12.051307465821107</c:v>
                </c:pt>
                <c:pt idx="180">
                  <c:v>-12.278388532283286</c:v>
                </c:pt>
                <c:pt idx="181">
                  <c:v>-12.493865876125177</c:v>
                </c:pt>
                <c:pt idx="182">
                  <c:v>-12.697487206820991</c:v>
                </c:pt>
                <c:pt idx="183">
                  <c:v>-12.889010703292058</c:v>
                </c:pt>
                <c:pt idx="184">
                  <c:v>-13.068206238309921</c:v>
                </c:pt>
                <c:pt idx="185">
                  <c:v>-13.234856564587758</c:v>
                </c:pt>
                <c:pt idx="186">
                  <c:v>-13.388758453754043</c:v>
                </c:pt>
                <c:pt idx="187">
                  <c:v>-13.529723779614537</c:v>
                </c:pt>
                <c:pt idx="188">
                  <c:v>-13.657580537450416</c:v>
                </c:pt>
                <c:pt idx="189">
                  <c:v>-13.772173791479451</c:v>
                </c:pt>
                <c:pt idx="190">
                  <c:v>-13.873366543133193</c:v>
                </c:pt>
                <c:pt idx="191">
                  <c:v>-13.961040513348385</c:v>
                </c:pt>
                <c:pt idx="192">
                  <c:v>-14.03509683273783</c:v>
                </c:pt>
                <c:pt idx="193">
                  <c:v>-14.095456634208183</c:v>
                </c:pt>
                <c:pt idx="194">
                  <c:v>-14.142061543372501</c:v>
                </c:pt>
                <c:pt idx="195">
                  <c:v>-14.174874062930481</c:v>
                </c:pt>
                <c:pt idx="196">
                  <c:v>-14.193877848052926</c:v>
                </c:pt>
                <c:pt idx="197">
                  <c:v>-14.199077870703849</c:v>
                </c:pt>
                <c:pt idx="198">
                  <c:v>-14.190500471768793</c:v>
                </c:pt>
                <c:pt idx="199">
                  <c:v>-14.168193300778977</c:v>
                </c:pt>
                <c:pt idx="200">
                  <c:v>-14.132225143969201</c:v>
                </c:pt>
                <c:pt idx="201">
                  <c:v>-14.082685642333683</c:v>
                </c:pt>
                <c:pt idx="202">
                  <c:v>-14.019684902265393</c:v>
                </c:pt>
                <c:pt idx="203">
                  <c:v>-13.943353002243686</c:v>
                </c:pt>
                <c:pt idx="204">
                  <c:v>-13.853839399894873</c:v>
                </c:pt>
                <c:pt idx="205">
                  <c:v>-13.751312244548018</c:v>
                </c:pt>
                <c:pt idx="206">
                  <c:v>-13.635957601169661</c:v>
                </c:pt>
                <c:pt idx="207">
                  <c:v>-13.507978592239727</c:v>
                </c:pt>
                <c:pt idx="208">
                  <c:v>-13.367594464755225</c:v>
                </c:pt>
                <c:pt idx="209">
                  <c:v>-13.21503959009241</c:v>
                </c:pt>
                <c:pt idx="210">
                  <c:v>-13.050562404916459</c:v>
                </c:pt>
                <c:pt idx="211">
                  <c:v>-12.874424301699898</c:v>
                </c:pt>
                <c:pt idx="212">
                  <c:v>-12.686898477699186</c:v>
                </c:pt>
                <c:pt idx="213">
                  <c:v>-12.48826875142859</c:v>
                </c:pt>
                <c:pt idx="214">
                  <c:v>-12.278828355765583</c:v>
                </c:pt>
                <c:pt idx="215">
                  <c:v>-12.058878716835942</c:v>
                </c:pt>
                <c:pt idx="216">
                  <c:v>-11.828728227728535</c:v>
                </c:pt>
                <c:pt idx="217">
                  <c:v>-11.588691025927728</c:v>
                </c:pt>
                <c:pt idx="218">
                  <c:v>-11.339085783085606</c:v>
                </c:pt>
                <c:pt idx="219">
                  <c:v>-11.080234515421511</c:v>
                </c:pt>
                <c:pt idx="220">
                  <c:v>-10.812461422629696</c:v>
                </c:pt>
                <c:pt idx="221">
                  <c:v>-10.5360917626949</c:v>
                </c:pt>
                <c:pt idx="222">
                  <c:v>-10.251450769501528</c:v>
                </c:pt>
                <c:pt idx="223">
                  <c:v>-9.9588626195192678</c:v>
                </c:pt>
                <c:pt idx="224">
                  <c:v>-9.6586494532661966</c:v>
                </c:pt>
                <c:pt idx="225">
                  <c:v>-9.3511304565680256</c:v>
                </c:pt>
                <c:pt idx="226">
                  <c:v>-9.0366210060039478</c:v>
                </c:pt>
                <c:pt idx="227">
                  <c:v>-8.715431882234066</c:v>
                </c:pt>
                <c:pt idx="228">
                  <c:v>-8.3878685542363094</c:v>
                </c:pt>
                <c:pt idx="229">
                  <c:v>-8.0542305368231784</c:v>
                </c:pt>
                <c:pt idx="230">
                  <c:v>-7.7148108231447248</c:v>
                </c:pt>
                <c:pt idx="231">
                  <c:v>-7.369895393276729</c:v>
                </c:pt>
                <c:pt idx="232">
                  <c:v>-7.0197627993833516</c:v>
                </c:pt>
                <c:pt idx="233">
                  <c:v>-6.6646838273861926</c:v>
                </c:pt>
                <c:pt idx="234">
                  <c:v>-6.3049212345602248</c:v>
                </c:pt>
                <c:pt idx="235">
                  <c:v>-5.9407295619844724</c:v>
                </c:pt>
                <c:pt idx="236">
                  <c:v>-5.5723550203544088</c:v>
                </c:pt>
                <c:pt idx="237">
                  <c:v>-5.2000354472708041</c:v>
                </c:pt>
                <c:pt idx="238">
                  <c:v>-4.8240003337822861</c:v>
                </c:pt>
                <c:pt idx="239">
                  <c:v>-4.4444709176692934</c:v>
                </c:pt>
                <c:pt idx="240">
                  <c:v>-4.0616603407075367</c:v>
                </c:pt>
                <c:pt idx="241">
                  <c:v>-3.675773866941018</c:v>
                </c:pt>
                <c:pt idx="242">
                  <c:v>-3.2870091588455854</c:v>
                </c:pt>
                <c:pt idx="243">
                  <c:v>-2.895556608123095</c:v>
                </c:pt>
                <c:pt idx="244">
                  <c:v>-2.5015997177864167</c:v>
                </c:pt>
                <c:pt idx="245">
                  <c:v>-2.1053155321320816</c:v>
                </c:pt>
                <c:pt idx="246">
                  <c:v>-1.7068751111623022</c:v>
                </c:pt>
                <c:pt idx="247">
                  <c:v>-1.3064440460109064</c:v>
                </c:pt>
                <c:pt idx="248">
                  <c:v>-0.90418301192923212</c:v>
                </c:pt>
                <c:pt idx="249">
                  <c:v>-0.50024835541735557</c:v>
                </c:pt>
                <c:pt idx="250">
                  <c:v>-9.4792712112090949E-2</c:v>
                </c:pt>
                <c:pt idx="251">
                  <c:v>0.31203434791821577</c:v>
                </c:pt>
                <c:pt idx="252">
                  <c:v>0.72008565077090447</c:v>
                </c:pt>
                <c:pt idx="253">
                  <c:v>1.1292157284671731</c:v>
                </c:pt>
                <c:pt idx="254">
                  <c:v>1.5392801110881471</c:v>
                </c:pt>
                <c:pt idx="255">
                  <c:v>1.950134604477014</c:v>
                </c:pt>
                <c:pt idx="256">
                  <c:v>2.361634556664268</c:v>
                </c:pt>
                <c:pt idx="257">
                  <c:v>2.7736341161515656</c:v>
                </c:pt>
                <c:pt idx="258">
                  <c:v>3.1859854851781511</c:v>
                </c:pt>
                <c:pt idx="259">
                  <c:v>3.5985381710935629</c:v>
                </c:pt>
                <c:pt idx="260">
                  <c:v>4.0111382389669084</c:v>
                </c:pt>
                <c:pt idx="261">
                  <c:v>4.4236275685778512</c:v>
                </c:pt>
                <c:pt idx="262">
                  <c:v>4.8358431189685458</c:v>
                </c:pt>
                <c:pt idx="263">
                  <c:v>5.2476162037579064</c:v>
                </c:pt>
                <c:pt idx="264">
                  <c:v>5.6587717804712723</c:v>
                </c:pt>
                <c:pt idx="265">
                  <c:v>6.0691277571721542</c:v>
                </c:pt>
                <c:pt idx="266">
                  <c:v>6.4784943197332527</c:v>
                </c:pt>
                <c:pt idx="267">
                  <c:v>6.8866732831226338</c:v>
                </c:pt>
                <c:pt idx="268">
                  <c:v>7.2934574701252428</c:v>
                </c:pt>
                <c:pt idx="269">
                  <c:v>7.6986301209444203</c:v>
                </c:pt>
                <c:pt idx="270">
                  <c:v>8.1019643371492869</c:v>
                </c:pt>
                <c:pt idx="271">
                  <c:v>8.5032225634468031</c:v>
                </c:pt>
                <c:pt idx="272">
                  <c:v>8.9021561107226841</c:v>
                </c:pt>
                <c:pt idx="273">
                  <c:v>9.2985047237866834</c:v>
                </c:pt>
                <c:pt idx="274">
                  <c:v>9.6919961971687965</c:v>
                </c:pt>
                <c:pt idx="275">
                  <c:v>10.08234604224363</c:v>
                </c:pt>
                <c:pt idx="276">
                  <c:v>10.469257208822249</c:v>
                </c:pt>
                <c:pt idx="277">
                  <c:v>10.852419864204043</c:v>
                </c:pt>
                <c:pt idx="278">
                  <c:v>11.231511232481454</c:v>
                </c:pt>
                <c:pt idx="279">
                  <c:v>11.606195496661691</c:v>
                </c:pt>
                <c:pt idx="280">
                  <c:v>11.976123765899919</c:v>
                </c:pt>
                <c:pt idx="281">
                  <c:v>12.340934109833437</c:v>
                </c:pt>
                <c:pt idx="282">
                  <c:v>12.700251661652727</c:v>
                </c:pt>
                <c:pt idx="283">
                  <c:v>13.053688791174876</c:v>
                </c:pt>
                <c:pt idx="284">
                  <c:v>13.400845348763291</c:v>
                </c:pt>
                <c:pt idx="285">
                  <c:v>13.741308980498159</c:v>
                </c:pt>
                <c:pt idx="286">
                  <c:v>14.074655514533157</c:v>
                </c:pt>
                <c:pt idx="287">
                  <c:v>14.400449418086493</c:v>
                </c:pt>
                <c:pt idx="288">
                  <c:v>14.718244324017759</c:v>
                </c:pt>
                <c:pt idx="289">
                  <c:v>15.027583625424592</c:v>
                </c:pt>
                <c:pt idx="290">
                  <c:v>15.328001136204541</c:v>
                </c:pt>
                <c:pt idx="291">
                  <c:v>15.619021815012085</c:v>
                </c:pt>
                <c:pt idx="292">
                  <c:v>15.900162549574269</c:v>
                </c:pt>
                <c:pt idx="293">
                  <c:v>16.170932997867446</c:v>
                </c:pt>
                <c:pt idx="294">
                  <c:v>16.430836482230799</c:v>
                </c:pt>
                <c:pt idx="295">
                  <c:v>16.679370932124606</c:v>
                </c:pt>
                <c:pt idx="296">
                  <c:v>16.916029870881509</c:v>
                </c:pt>
                <c:pt idx="297">
                  <c:v>17.140303441544553</c:v>
                </c:pt>
                <c:pt idx="298">
                  <c:v>17.351679466638558</c:v>
                </c:pt>
                <c:pt idx="299">
                  <c:v>17.54964453657751</c:v>
                </c:pt>
                <c:pt idx="300">
                  <c:v>17.733685121302209</c:v>
                </c:pt>
                <c:pt idx="301">
                  <c:v>17.903288699722623</c:v>
                </c:pt>
                <c:pt idx="302">
                  <c:v>18.057944901579432</c:v>
                </c:pt>
                <c:pt idx="303">
                  <c:v>18.197146656427467</c:v>
                </c:pt>
                <c:pt idx="304">
                  <c:v>18.3203913446408</c:v>
                </c:pt>
                <c:pt idx="305">
                  <c:v>18.427181945538223</c:v>
                </c:pt>
                <c:pt idx="306">
                  <c:v>18.517028178027239</c:v>
                </c:pt>
                <c:pt idx="307">
                  <c:v>18.589447629484734</c:v>
                </c:pt>
                <c:pt idx="308">
                  <c:v>18.643966868973575</c:v>
                </c:pt>
                <c:pt idx="309">
                  <c:v>18.680122541280031</c:v>
                </c:pt>
                <c:pt idx="310">
                  <c:v>18.697462438699425</c:v>
                </c:pt>
                <c:pt idx="311">
                  <c:v>18.695546547925016</c:v>
                </c:pt>
                <c:pt idx="312">
                  <c:v>18.673948069852703</c:v>
                </c:pt>
                <c:pt idx="313">
                  <c:v>18.632254410538614</c:v>
                </c:pt>
                <c:pt idx="314">
                  <c:v>18.570068141999219</c:v>
                </c:pt>
                <c:pt idx="315">
                  <c:v>18.487007931920644</c:v>
                </c:pt>
                <c:pt idx="316">
                  <c:v>18.382709441755075</c:v>
                </c:pt>
                <c:pt idx="317">
                  <c:v>18.256826192985784</c:v>
                </c:pt>
                <c:pt idx="318">
                  <c:v>18.109030401673305</c:v>
                </c:pt>
                <c:pt idx="319">
                  <c:v>17.939013781617096</c:v>
                </c:pt>
                <c:pt idx="320">
                  <c:v>17.746488316679486</c:v>
                </c:pt>
                <c:pt idx="321">
                  <c:v>17.53118700294619</c:v>
                </c:pt>
                <c:pt idx="322">
                  <c:v>17.292864561482045</c:v>
                </c:pt>
                <c:pt idx="323">
                  <c:v>17.031298122460843</c:v>
                </c:pt>
                <c:pt idx="324">
                  <c:v>16.746287881409987</c:v>
                </c:pt>
                <c:pt idx="325">
                  <c:v>16.437657728206709</c:v>
                </c:pt>
                <c:pt idx="326">
                  <c:v>16.10525584931186</c:v>
                </c:pt>
                <c:pt idx="327">
                  <c:v>15.748955303529744</c:v>
                </c:pt>
                <c:pt idx="328">
                  <c:v>15.36865457130564</c:v>
                </c:pt>
                <c:pt idx="329">
                  <c:v>14.964278077294866</c:v>
                </c:pt>
                <c:pt idx="330">
                  <c:v>14.535776685589395</c:v>
                </c:pt>
                <c:pt idx="331">
                  <c:v>14.083128166618648</c:v>
                </c:pt>
                <c:pt idx="332">
                  <c:v>13.606337634361166</c:v>
                </c:pt>
                <c:pt idx="333">
                  <c:v>13.105437952076569</c:v>
                </c:pt>
                <c:pt idx="334">
                  <c:v>12.580490104378748</c:v>
                </c:pt>
                <c:pt idx="335">
                  <c:v>12.031583533029796</c:v>
                </c:pt>
                <c:pt idx="336">
                  <c:v>11.458836433457929</c:v>
                </c:pt>
                <c:pt idx="337">
                  <c:v>10.862396008591629</c:v>
                </c:pt>
                <c:pt idx="338">
                  <c:v>10.242438676277834</c:v>
                </c:pt>
                <c:pt idx="339">
                  <c:v>9.5991702262057981</c:v>
                </c:pt>
                <c:pt idx="340">
                  <c:v>8.9328259220169208</c:v>
                </c:pt>
                <c:pt idx="341">
                  <c:v>8.2436705440422831</c:v>
                </c:pt>
                <c:pt idx="342">
                  <c:v>7.5319983679819238</c:v>
                </c:pt>
                <c:pt idx="343">
                  <c:v>6.7981330747505018</c:v>
                </c:pt>
                <c:pt idx="344">
                  <c:v>6.0424275867202191</c:v>
                </c:pt>
                <c:pt idx="345">
                  <c:v>5.2652638256748494</c:v>
                </c:pt>
                <c:pt idx="346">
                  <c:v>4.4670523879696127</c:v>
                </c:pt>
                <c:pt idx="347">
                  <c:v>3.6482321326543596</c:v>
                </c:pt>
                <c:pt idx="348">
                  <c:v>2.8092696786755811</c:v>
                </c:pt>
                <c:pt idx="349">
                  <c:v>1.950658807739851</c:v>
                </c:pt>
                <c:pt idx="350">
                  <c:v>1.0729197699572632</c:v>
                </c:pt>
                <c:pt idx="351">
                  <c:v>0.17659849002949468</c:v>
                </c:pt>
                <c:pt idx="352">
                  <c:v>-0.73773432753802859</c:v>
                </c:pt>
                <c:pt idx="353">
                  <c:v>-1.6694841949109624</c:v>
                </c:pt>
                <c:pt idx="354">
                  <c:v>-2.6180339389542473</c:v>
                </c:pt>
                <c:pt idx="355">
                  <c:v>-3.5827448997264195</c:v>
                </c:pt>
                <c:pt idx="356">
                  <c:v>-4.5629582274203946</c:v>
                </c:pt>
                <c:pt idx="357">
                  <c:v>-5.5579962747065084</c:v>
                </c:pt>
                <c:pt idx="358">
                  <c:v>-6.5671640804399223</c:v>
                </c:pt>
                <c:pt idx="359">
                  <c:v>-7.5897509396744667</c:v>
                </c:pt>
                <c:pt idx="360">
                  <c:v>-8.6250320539415917</c:v>
                </c:pt>
                <c:pt idx="361">
                  <c:v>-9.6722702547879749</c:v>
                </c:pt>
                <c:pt idx="362">
                  <c:v>-10.730717792673357</c:v>
                </c:pt>
                <c:pt idx="363">
                  <c:v>-11.799618182487219</c:v>
                </c:pt>
                <c:pt idx="364">
                  <c:v>-12.878208096197419</c:v>
                </c:pt>
                <c:pt idx="365">
                  <c:v>-13.965719292495383</c:v>
                </c:pt>
                <c:pt idx="366">
                  <c:v>-15.061380572765019</c:v>
                </c:pt>
                <c:pt idx="367">
                  <c:v>-16.164419752280498</c:v>
                </c:pt>
                <c:pt idx="368">
                  <c:v>-17.274065635264773</c:v>
                </c:pt>
                <c:pt idx="369">
                  <c:v>-18.389549982281824</c:v>
                </c:pt>
                <c:pt idx="370">
                  <c:v>-19.510109458437057</c:v>
                </c:pt>
                <c:pt idx="371">
                  <c:v>-20.634987550981418</c:v>
                </c:pt>
                <c:pt idx="372">
                  <c:v>-21.763436445200881</c:v>
                </c:pt>
                <c:pt idx="373">
                  <c:v>-22.894718847856616</c:v>
                </c:pt>
                <c:pt idx="374">
                  <c:v>-24.028109747987315</c:v>
                </c:pt>
                <c:pt idx="375">
                  <c:v>-25.162898105515321</c:v>
                </c:pt>
                <c:pt idx="376">
                  <c:v>-26.298388458860188</c:v>
                </c:pt>
                <c:pt idx="377">
                  <c:v>-27.433902443582198</c:v>
                </c:pt>
                <c:pt idx="378">
                  <c:v>-28.568780215009991</c:v>
                </c:pt>
                <c:pt idx="379">
                  <c:v>-29.702381768765488</c:v>
                </c:pt>
                <c:pt idx="380">
                  <c:v>-30.834088154120835</c:v>
                </c:pt>
                <c:pt idx="381">
                  <c:v>-31.96330257615449</c:v>
                </c:pt>
                <c:pt idx="382">
                  <c:v>-33.089451383738563</c:v>
                </c:pt>
                <c:pt idx="383">
                  <c:v>-34.211984941411764</c:v>
                </c:pt>
                <c:pt idx="384">
                  <c:v>-35.330378384237115</c:v>
                </c:pt>
                <c:pt idx="385">
                  <c:v>-36.444132255711331</c:v>
                </c:pt>
                <c:pt idx="386">
                  <c:v>-37.55277302975324</c:v>
                </c:pt>
                <c:pt idx="387">
                  <c:v>-38.655853518653103</c:v>
                </c:pt>
                <c:pt idx="388">
                  <c:v>-39.752953169712697</c:v>
                </c:pt>
                <c:pt idx="389">
                  <c:v>-40.843678254013476</c:v>
                </c:pt>
                <c:pt idx="390">
                  <c:v>-41.927661951432334</c:v>
                </c:pt>
                <c:pt idx="391">
                  <c:v>-43.004564336590654</c:v>
                </c:pt>
                <c:pt idx="392">
                  <c:v>-44.074072270912374</c:v>
                </c:pt>
                <c:pt idx="393">
                  <c:v>-45.135899206375626</c:v>
                </c:pt>
                <c:pt idx="394">
                  <c:v>-46.189784906852523</c:v>
                </c:pt>
                <c:pt idx="395">
                  <c:v>-47.235495093175764</c:v>
                </c:pt>
                <c:pt idx="396">
                  <c:v>-48.272821018225017</c:v>
                </c:pt>
                <c:pt idx="397">
                  <c:v>-49.301578978397309</c:v>
                </c:pt>
                <c:pt idx="398">
                  <c:v>-50.321609767857375</c:v>
                </c:pt>
                <c:pt idx="399">
                  <c:v>-51.332778081886048</c:v>
                </c:pt>
                <c:pt idx="400">
                  <c:v>-52.334971875561642</c:v>
                </c:pt>
                <c:pt idx="401">
                  <c:v>-53.328101683824215</c:v>
                </c:pt>
                <c:pt idx="402">
                  <c:v>-54.312099908783658</c:v>
                </c:pt>
                <c:pt idx="403">
                  <c:v>-55.286920079877525</c:v>
                </c:pt>
                <c:pt idx="404">
                  <c:v>-56.252536092223572</c:v>
                </c:pt>
                <c:pt idx="405">
                  <c:v>-57.208941428191238</c:v>
                </c:pt>
                <c:pt idx="406">
                  <c:v>-58.156148366915907</c:v>
                </c:pt>
                <c:pt idx="407">
                  <c:v>-59.094187186136459</c:v>
                </c:pt>
                <c:pt idx="408">
                  <c:v>-60.023105360391078</c:v>
                </c:pt>
                <c:pt idx="409">
                  <c:v>-60.942966759272416</c:v>
                </c:pt>
                <c:pt idx="410">
                  <c:v>-61.853850849076373</c:v>
                </c:pt>
                <c:pt idx="411">
                  <c:v>-62.755851900856285</c:v>
                </c:pt>
                <c:pt idx="412">
                  <c:v>-63.649078207539759</c:v>
                </c:pt>
                <c:pt idx="413">
                  <c:v>-64.533651312450289</c:v>
                </c:pt>
                <c:pt idx="414">
                  <c:v>-65.409705251248781</c:v>
                </c:pt>
                <c:pt idx="415">
                  <c:v>-66.277385809019762</c:v>
                </c:pt>
                <c:pt idx="416">
                  <c:v>-67.136849793922579</c:v>
                </c:pt>
                <c:pt idx="417">
                  <c:v>-67.988264328575539</c:v>
                </c:pt>
                <c:pt idx="418">
                  <c:v>-68.83180616006193</c:v>
                </c:pt>
                <c:pt idx="419">
                  <c:v>-69.667660989231265</c:v>
                </c:pt>
                <c:pt idx="420">
                  <c:v>-70.49602281972993</c:v>
                </c:pt>
                <c:pt idx="421">
                  <c:v>-71.317093326998787</c:v>
                </c:pt>
                <c:pt idx="422">
                  <c:v>-72.131081247284229</c:v>
                </c:pt>
                <c:pt idx="423">
                  <c:v>-72.938201786546614</c:v>
                </c:pt>
                <c:pt idx="424">
                  <c:v>-73.738676048978419</c:v>
                </c:pt>
                <c:pt idx="425">
                  <c:v>-74.532730484723928</c:v>
                </c:pt>
                <c:pt idx="426">
                  <c:v>-75.320596356257695</c:v>
                </c:pt>
                <c:pt idx="427">
                  <c:v>-76.102509222764525</c:v>
                </c:pt>
                <c:pt idx="428">
                  <c:v>-76.878708441780518</c:v>
                </c:pt>
                <c:pt idx="429">
                  <c:v>-77.649436687263815</c:v>
                </c:pt>
                <c:pt idx="430">
                  <c:v>-78.414939483183929</c:v>
                </c:pt>
                <c:pt idx="431">
                  <c:v>-79.175464751676373</c:v>
                </c:pt>
                <c:pt idx="432">
                  <c:v>-79.931262374743923</c:v>
                </c:pt>
                <c:pt idx="433">
                  <c:v>-80.682583768457249</c:v>
                </c:pt>
                <c:pt idx="434">
                  <c:v>-81.429681468570436</c:v>
                </c:pt>
                <c:pt idx="435">
                  <c:v>-82.172808726451962</c:v>
                </c:pt>
                <c:pt idx="436">
                  <c:v>-82.912219114220477</c:v>
                </c:pt>
                <c:pt idx="437">
                  <c:v>-83.648166137963855</c:v>
                </c:pt>
                <c:pt idx="438">
                  <c:v>-84.380902857935297</c:v>
                </c:pt>
                <c:pt idx="439">
                  <c:v>-85.110681514624588</c:v>
                </c:pt>
                <c:pt idx="440">
                  <c:v>-85.837753159622821</c:v>
                </c:pt>
                <c:pt idx="441">
                  <c:v>-86.562367290234803</c:v>
                </c:pt>
                <c:pt idx="442">
                  <c:v>-87.284771486813142</c:v>
                </c:pt>
                <c:pt idx="443">
                  <c:v>-88.00521105184356</c:v>
                </c:pt>
                <c:pt idx="444">
                  <c:v>-88.72392864985197</c:v>
                </c:pt>
                <c:pt idx="445">
                  <c:v>-89.441163947263746</c:v>
                </c:pt>
                <c:pt idx="446">
                  <c:v>-90.157153251406498</c:v>
                </c:pt>
                <c:pt idx="447">
                  <c:v>-90.87212914792363</c:v>
                </c:pt>
                <c:pt idx="448">
                  <c:v>-91.586320135940255</c:v>
                </c:pt>
                <c:pt idx="449">
                  <c:v>-92.299950260413894</c:v>
                </c:pt>
                <c:pt idx="450">
                  <c:v>-93.013238741197355</c:v>
                </c:pt>
                <c:pt idx="451">
                  <c:v>-93.726399598441816</c:v>
                </c:pt>
                <c:pt idx="452">
                  <c:v>-94.439641274082391</c:v>
                </c:pt>
                <c:pt idx="453">
                  <c:v>-95.153166249271052</c:v>
                </c:pt>
                <c:pt idx="454">
                  <c:v>-95.867170657742648</c:v>
                </c:pt>
                <c:pt idx="455">
                  <c:v>-96.581843895246408</c:v>
                </c:pt>
                <c:pt idx="456">
                  <c:v>-97.297368225311132</c:v>
                </c:pt>
                <c:pt idx="457">
                  <c:v>-98.013918381773451</c:v>
                </c:pt>
                <c:pt idx="458">
                  <c:v>-98.731661168650632</c:v>
                </c:pt>
                <c:pt idx="459">
                  <c:v>-99.450755058112676</c:v>
                </c:pt>
                <c:pt idx="460">
                  <c:v>-100.17134978747792</c:v>
                </c:pt>
                <c:pt idx="461">
                  <c:v>-100.89358595633263</c:v>
                </c:pt>
                <c:pt idx="462">
                  <c:v>-101.61759462506291</c:v>
                </c:pt>
                <c:pt idx="463">
                  <c:v>-102.3434969162623</c:v>
                </c:pt>
                <c:pt idx="464">
                  <c:v>-103.07140362067263</c:v>
                </c:pt>
                <c:pt idx="465">
                  <c:v>-103.80141480948865</c:v>
                </c:pt>
                <c:pt idx="466">
                  <c:v>-104.53361945505</c:v>
                </c:pt>
                <c:pt idx="467">
                  <c:v>-105.2680950621054</c:v>
                </c:pt>
                <c:pt idx="468">
                  <c:v>-106.00490731201195</c:v>
                </c:pt>
                <c:pt idx="469">
                  <c:v>-106.7441097223797</c:v>
                </c:pt>
                <c:pt idx="470">
                  <c:v>-107.48574332481918</c:v>
                </c:pt>
                <c:pt idx="471">
                  <c:v>-108.22983636357301</c:v>
                </c:pt>
                <c:pt idx="472">
                  <c:v>-108.97640401790912</c:v>
                </c:pt>
                <c:pt idx="473">
                  <c:v>-109.72544815124876</c:v>
                </c:pt>
                <c:pt idx="474">
                  <c:v>-110.47695709004361</c:v>
                </c:pt>
                <c:pt idx="475">
                  <c:v>-111.23090543544346</c:v>
                </c:pt>
                <c:pt idx="476">
                  <c:v>-111.98725391078862</c:v>
                </c:pt>
                <c:pt idx="477">
                  <c:v>-112.74594924791164</c:v>
                </c:pt>
                <c:pt idx="478">
                  <c:v>-113.50692411515405</c:v>
                </c:pt>
                <c:pt idx="479">
                  <c:v>-114.2700970898693</c:v>
                </c:pt>
                <c:pt idx="480">
                  <c:v>-115.03537267802498</c:v>
                </c:pt>
                <c:pt idx="481">
                  <c:v>-115.80264138330087</c:v>
                </c:pt>
                <c:pt idx="482">
                  <c:v>-116.57177982782527</c:v>
                </c:pt>
                <c:pt idx="483">
                  <c:v>-117.3426509263922</c:v>
                </c:pt>
                <c:pt idx="484">
                  <c:v>-118.11510411566803</c:v>
                </c:pt>
                <c:pt idx="485">
                  <c:v>-118.88897563950337</c:v>
                </c:pt>
                <c:pt idx="486">
                  <c:v>-119.66408889105821</c:v>
                </c:pt>
                <c:pt idx="487">
                  <c:v>-120.4402548119992</c:v>
                </c:pt>
                <c:pt idx="488">
                  <c:v>-121.21727234852838</c:v>
                </c:pt>
                <c:pt idx="489">
                  <c:v>-121.99492896353064</c:v>
                </c:pt>
                <c:pt idx="490">
                  <c:v>-122.77300120358153</c:v>
                </c:pt>
                <c:pt idx="491">
                  <c:v>-123.55125531904133</c:v>
                </c:pt>
                <c:pt idx="492">
                  <c:v>-124.32944793493171</c:v>
                </c:pt>
                <c:pt idx="493">
                  <c:v>-125.10732676976262</c:v>
                </c:pt>
                <c:pt idx="494">
                  <c:v>-125.88463139897078</c:v>
                </c:pt>
                <c:pt idx="495">
                  <c:v>-126.66109405914939</c:v>
                </c:pt>
                <c:pt idx="496">
                  <c:v>-127.43644048878669</c:v>
                </c:pt>
                <c:pt idx="497">
                  <c:v>-128.21039080082599</c:v>
                </c:pt>
                <c:pt idx="498">
                  <c:v>-128.98266038198804</c:v>
                </c:pt>
                <c:pt idx="499">
                  <c:v>-129.75296081348031</c:v>
                </c:pt>
                <c:pt idx="500">
                  <c:v>-130.52100080747337</c:v>
                </c:pt>
                <c:pt idx="501">
                  <c:v>-131.28648715352685</c:v>
                </c:pt>
                <c:pt idx="502">
                  <c:v>-132.04912566902956</c:v>
                </c:pt>
                <c:pt idx="503">
                  <c:v>-132.80862214767217</c:v>
                </c:pt>
                <c:pt idx="504">
                  <c:v>-133.56468329998478</c:v>
                </c:pt>
                <c:pt idx="505">
                  <c:v>-134.3170176800711</c:v>
                </c:pt>
                <c:pt idx="506">
                  <c:v>-135.06533659282778</c:v>
                </c:pt>
                <c:pt idx="507">
                  <c:v>-135.80935497616673</c:v>
                </c:pt>
                <c:pt idx="508">
                  <c:v>-136.54879225305498</c:v>
                </c:pt>
                <c:pt idx="509">
                  <c:v>-137.28337314851979</c:v>
                </c:pt>
                <c:pt idx="510">
                  <c:v>-138.01282846717814</c:v>
                </c:pt>
                <c:pt idx="511">
                  <c:v>-138.73689582728232</c:v>
                </c:pt>
                <c:pt idx="512">
                  <c:v>-139.45532034774953</c:v>
                </c:pt>
                <c:pt idx="513">
                  <c:v>-140.16785528514885</c:v>
                </c:pt>
                <c:pt idx="514">
                  <c:v>-140.87426261813712</c:v>
                </c:pt>
                <c:pt idx="515">
                  <c:v>-141.57431357737065</c:v>
                </c:pt>
                <c:pt idx="516">
                  <c:v>-142.26778911945104</c:v>
                </c:pt>
                <c:pt idx="517">
                  <c:v>-142.95448034399084</c:v>
                </c:pt>
                <c:pt idx="518">
                  <c:v>-143.63418885340624</c:v>
                </c:pt>
                <c:pt idx="519">
                  <c:v>-144.30672705552738</c:v>
                </c:pt>
                <c:pt idx="520">
                  <c:v>-144.97191840960002</c:v>
                </c:pt>
                <c:pt idx="521">
                  <c:v>-145.62959761668009</c:v>
                </c:pt>
                <c:pt idx="522">
                  <c:v>-146.27961075583053</c:v>
                </c:pt>
                <c:pt idx="523">
                  <c:v>-146.92181536789451</c:v>
                </c:pt>
                <c:pt idx="524">
                  <c:v>-147.55608048894183</c:v>
                </c:pt>
                <c:pt idx="525">
                  <c:v>-148.18228663576485</c:v>
                </c:pt>
                <c:pt idx="526">
                  <c:v>-148.80032574603823</c:v>
                </c:pt>
                <c:pt idx="527">
                  <c:v>-149.41010107595571</c:v>
                </c:pt>
                <c:pt idx="528">
                  <c:v>-150.01152705829747</c:v>
                </c:pt>
                <c:pt idx="529">
                  <c:v>-150.60452912400967</c:v>
                </c:pt>
                <c:pt idx="530">
                  <c:v>-151.18904349042438</c:v>
                </c:pt>
                <c:pt idx="531">
                  <c:v>-151.76501691931153</c:v>
                </c:pt>
                <c:pt idx="532">
                  <c:v>-152.33240644792809</c:v>
                </c:pt>
                <c:pt idx="533">
                  <c:v>-152.89117909621788</c:v>
                </c:pt>
                <c:pt idx="534">
                  <c:v>-153.44131155324578</c:v>
                </c:pt>
                <c:pt idx="535">
                  <c:v>-153.9827898458756</c:v>
                </c:pt>
                <c:pt idx="536">
                  <c:v>-154.51560899258408</c:v>
                </c:pt>
                <c:pt idx="537">
                  <c:v>-155.03977264520051</c:v>
                </c:pt>
                <c:pt idx="538">
                  <c:v>-155.5552927212041</c:v>
                </c:pt>
                <c:pt idx="539">
                  <c:v>-156.06218902907409</c:v>
                </c:pt>
                <c:pt idx="540">
                  <c:v>-156.56048888903322</c:v>
                </c:pt>
                <c:pt idx="541">
                  <c:v>-157.05022675135112</c:v>
                </c:pt>
              </c:numCache>
            </c:numRef>
          </c:yVal>
          <c:smooth val="1"/>
          <c:extLst>
            <c:ext xmlns:c16="http://schemas.microsoft.com/office/drawing/2014/chart" uri="{C3380CC4-5D6E-409C-BE32-E72D297353CC}">
              <c16:uniqueId val="{0000000B-ECAC-4E20-B866-0DB1B3DE6FE8}"/>
            </c:ext>
          </c:extLst>
        </c:ser>
        <c:dLbls>
          <c:showLegendKey val="0"/>
          <c:showVal val="0"/>
          <c:showCatName val="0"/>
          <c:showSerName val="0"/>
          <c:showPercent val="0"/>
          <c:showBubbleSize val="0"/>
        </c:dLbls>
        <c:axId val="387647744"/>
        <c:axId val="364517248"/>
      </c:scatterChart>
      <c:valAx>
        <c:axId val="357835904"/>
        <c:scaling>
          <c:logBase val="10"/>
          <c:orientation val="minMax"/>
          <c:max val="20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txPr>
          <a:bodyPr/>
          <a:lstStyle/>
          <a:p>
            <a:pPr>
              <a:defRPr b="1"/>
            </a:pPr>
            <a:endParaRPr lang="en-US"/>
          </a:p>
        </c:txPr>
        <c:crossAx val="364477056"/>
        <c:crosses val="autoZero"/>
        <c:crossBetween val="midCat"/>
      </c:valAx>
      <c:valAx>
        <c:axId val="364477056"/>
        <c:scaling>
          <c:orientation val="minMax"/>
          <c:max val="40"/>
          <c:min val="-4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b="1">
                <a:solidFill>
                  <a:srgbClr val="FF0000"/>
                </a:solidFill>
              </a:defRPr>
            </a:pPr>
            <a:endParaRPr lang="en-US"/>
          </a:p>
        </c:txPr>
        <c:crossAx val="357835904"/>
        <c:crosses val="autoZero"/>
        <c:crossBetween val="midCat"/>
        <c:majorUnit val="20"/>
        <c:minorUnit val="10"/>
      </c:valAx>
      <c:valAx>
        <c:axId val="364517248"/>
        <c:scaling>
          <c:orientation val="minMax"/>
          <c:max val="180"/>
          <c:min val="-180"/>
        </c:scaling>
        <c:delete val="0"/>
        <c:axPos val="r"/>
        <c:title>
          <c:tx>
            <c:rich>
              <a:bodyPr rot="-5400000" vert="horz"/>
              <a:lstStyle/>
              <a:p>
                <a:pPr>
                  <a:defRPr/>
                </a:pPr>
                <a:r>
                  <a:rPr lang="en-US"/>
                  <a:t>Phase (deg)</a:t>
                </a:r>
              </a:p>
            </c:rich>
          </c:tx>
          <c:overlay val="0"/>
        </c:title>
        <c:numFmt formatCode="General" sourceLinked="1"/>
        <c:majorTickMark val="out"/>
        <c:minorTickMark val="none"/>
        <c:tickLblPos val="nextTo"/>
        <c:txPr>
          <a:bodyPr/>
          <a:lstStyle/>
          <a:p>
            <a:pPr>
              <a:defRPr b="1">
                <a:solidFill>
                  <a:schemeClr val="tx1">
                    <a:lumMod val="95000"/>
                    <a:lumOff val="5000"/>
                  </a:schemeClr>
                </a:solidFill>
              </a:defRPr>
            </a:pPr>
            <a:endParaRPr lang="en-US"/>
          </a:p>
        </c:txPr>
        <c:crossAx val="387647744"/>
        <c:crosses val="max"/>
        <c:crossBetween val="midCat"/>
        <c:majorUnit val="90"/>
        <c:minorUnit val="45"/>
      </c:valAx>
      <c:valAx>
        <c:axId val="387647744"/>
        <c:scaling>
          <c:logBase val="10"/>
          <c:orientation val="minMax"/>
        </c:scaling>
        <c:delete val="1"/>
        <c:axPos val="b"/>
        <c:numFmt formatCode="0.00" sourceLinked="1"/>
        <c:majorTickMark val="out"/>
        <c:minorTickMark val="none"/>
        <c:tickLblPos val="nextTo"/>
        <c:crossAx val="364517248"/>
        <c:crosses val="autoZero"/>
        <c:crossBetween val="midCat"/>
      </c:valAx>
    </c:plotArea>
    <c:legend>
      <c:legendPos val="r"/>
      <c:legendEntry>
        <c:idx val="1"/>
        <c:delete val="1"/>
      </c:legendEntry>
      <c:legendEntry>
        <c:idx val="2"/>
        <c:delete val="1"/>
      </c:legendEntry>
      <c:legendEntry>
        <c:idx val="3"/>
        <c:delete val="1"/>
      </c:legendEntry>
      <c:legendEntry>
        <c:idx val="4"/>
        <c:delete val="1"/>
      </c:legendEntry>
      <c:legendEntry>
        <c:idx val="5"/>
        <c:delete val="1"/>
      </c:legendEntry>
      <c:layout>
        <c:manualLayout>
          <c:xMode val="edge"/>
          <c:yMode val="edge"/>
          <c:x val="0.61392536510371165"/>
          <c:y val="7.0381012799940294E-3"/>
          <c:w val="0.28497500584606611"/>
          <c:h val="7.9643865606846526E-2"/>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Eff_vs_IOUT!$AW$7:$AW$157</c:f>
              <c:numCache>
                <c:formatCode>General</c:formatCode>
                <c:ptCount val="151"/>
                <c:pt idx="0">
                  <c:v>0</c:v>
                </c:pt>
                <c:pt idx="1">
                  <c:v>62.104873237283996</c:v>
                </c:pt>
                <c:pt idx="2">
                  <c:v>73.846034483469126</c:v>
                </c:pt>
                <c:pt idx="3">
                  <c:v>78.451995931071281</c:v>
                </c:pt>
                <c:pt idx="4">
                  <c:v>80.691527498938953</c:v>
                </c:pt>
                <c:pt idx="5">
                  <c:v>81.862482261035197</c:v>
                </c:pt>
                <c:pt idx="6">
                  <c:v>82.463381103358842</c:v>
                </c:pt>
                <c:pt idx="7">
                  <c:v>82.726590305513469</c:v>
                </c:pt>
                <c:pt idx="8">
                  <c:v>82.774961277951775</c:v>
                </c:pt>
                <c:pt idx="9">
                  <c:v>82.679498129763587</c:v>
                </c:pt>
                <c:pt idx="10">
                  <c:v>82.484059636822394</c:v>
                </c:pt>
                <c:pt idx="11">
                  <c:v>82.217168608537179</c:v>
                </c:pt>
                <c:pt idx="12">
                  <c:v>81.898150824935314</c:v>
                </c:pt>
                <c:pt idx="13">
                  <c:v>81.540544643059349</c:v>
                </c:pt>
                <c:pt idx="14">
                  <c:v>81.154099248831287</c:v>
                </c:pt>
                <c:pt idx="15">
                  <c:v>80.745999109126657</c:v>
                </c:pt>
                <c:pt idx="16">
                  <c:v>80.321642986239752</c:v>
                </c:pt>
                <c:pt idx="17">
                  <c:v>79.885155734005082</c:v>
                </c:pt>
                <c:pt idx="18">
                  <c:v>79.439734010210927</c:v>
                </c:pt>
                <c:pt idx="19">
                  <c:v>78.987885540137171</c:v>
                </c:pt>
                <c:pt idx="20">
                  <c:v>78.531598289231766</c:v>
                </c:pt>
                <c:pt idx="21">
                  <c:v>78.072462371728037</c:v>
                </c:pt>
                <c:pt idx="22">
                  <c:v>77.61175940424549</c:v>
                </c:pt>
                <c:pt idx="23">
                  <c:v>77.150529005123786</c:v>
                </c:pt>
                <c:pt idx="24">
                  <c:v>76.689618972032804</c:v>
                </c:pt>
                <c:pt idx="25">
                  <c:v>76.229723620567398</c:v>
                </c:pt>
                <c:pt idx="26">
                  <c:v>75.771413412981261</c:v>
                </c:pt>
                <c:pt idx="27">
                  <c:v>75.315158095709705</c:v>
                </c:pt>
                <c:pt idx="28">
                  <c:v>74.861344941400716</c:v>
                </c:pt>
                <c:pt idx="29">
                  <c:v>74.410293258316713</c:v>
                </c:pt>
                <c:pt idx="30">
                  <c:v>73.962266024863084</c:v>
                </c:pt>
                <c:pt idx="31">
                  <c:v>73.517479289079731</c:v>
                </c:pt>
                <c:pt idx="32">
                  <c:v>73.076109815368909</c:v>
                </c:pt>
                <c:pt idx="33">
                  <c:v>72.638301345508467</c:v>
                </c:pt>
                <c:pt idx="34">
                  <c:v>72.204169755839004</c:v>
                </c:pt>
                <c:pt idx="35">
                  <c:v>71.773807328947711</c:v>
                </c:pt>
                <c:pt idx="36">
                  <c:v>71.347286310283366</c:v>
                </c:pt>
                <c:pt idx="37">
                  <c:v>70.924661883744179</c:v>
                </c:pt>
                <c:pt idx="38">
                  <c:v>70.505974672398665</c:v>
                </c:pt>
                <c:pt idx="39">
                  <c:v>70.091252848971237</c:v>
                </c:pt>
                <c:pt idx="40">
                  <c:v>69.680513923983085</c:v>
                </c:pt>
                <c:pt idx="41">
                  <c:v>69.273766266329559</c:v>
                </c:pt>
                <c:pt idx="42">
                  <c:v>68.871010400742563</c:v>
                </c:pt>
                <c:pt idx="43">
                  <c:v>68.472240118394581</c:v>
                </c:pt>
                <c:pt idx="44">
                  <c:v>68.077443430364823</c:v>
                </c:pt>
                <c:pt idx="45">
                  <c:v>67.686603388447423</c:v>
                </c:pt>
                <c:pt idx="46">
                  <c:v>67.299698793555251</c:v>
                </c:pt>
                <c:pt idx="47">
                  <c:v>66.916704808548388</c:v>
                </c:pt>
                <c:pt idx="48">
                  <c:v>66.53759348952849</c:v>
                </c:pt>
                <c:pt idx="49">
                  <c:v>66.162334247358785</c:v>
                </c:pt>
                <c:pt idx="50">
                  <c:v>65.790894249296613</c:v>
                </c:pt>
                <c:pt idx="51">
                  <c:v>65.423238769079489</c:v>
                </c:pt>
                <c:pt idx="52">
                  <c:v>65.059331492525402</c:v>
                </c:pt>
                <c:pt idx="53">
                  <c:v>64.699134784644016</c:v>
                </c:pt>
                <c:pt idx="54">
                  <c:v>64.342609923367178</c:v>
                </c:pt>
                <c:pt idx="55">
                  <c:v>63.989717304263358</c:v>
                </c:pt>
                <c:pt idx="56">
                  <c:v>63.640416619976023</c:v>
                </c:pt>
                <c:pt idx="57">
                  <c:v>63.294667017598904</c:v>
                </c:pt>
                <c:pt idx="58">
                  <c:v>62.952427236756094</c:v>
                </c:pt>
                <c:pt idx="59">
                  <c:v>62.613655730776898</c:v>
                </c:pt>
                <c:pt idx="60">
                  <c:v>62.278310773034342</c:v>
                </c:pt>
                <c:pt idx="61">
                  <c:v>61.946350550242165</c:v>
                </c:pt>
                <c:pt idx="62">
                  <c:v>61.617733244270866</c:v>
                </c:pt>
                <c:pt idx="63">
                  <c:v>61.292417103842311</c:v>
                </c:pt>
                <c:pt idx="64">
                  <c:v>60.970360507290323</c:v>
                </c:pt>
                <c:pt idx="65">
                  <c:v>60.651522017425187</c:v>
                </c:pt>
                <c:pt idx="66">
                  <c:v>60.335860429412179</c:v>
                </c:pt>
                <c:pt idx="67">
                  <c:v>60.023334812463055</c:v>
                </c:pt>
                <c:pt idx="68">
                  <c:v>59.713904546042386</c:v>
                </c:pt>
                <c:pt idx="69">
                  <c:v>59.40752935120819</c:v>
                </c:pt>
                <c:pt idx="70">
                  <c:v>59.104169317631637</c:v>
                </c:pt>
                <c:pt idx="71">
                  <c:v>58.803784926779009</c:v>
                </c:pt>
                <c:pt idx="72">
                  <c:v>58.506337071681273</c:v>
                </c:pt>
                <c:pt idx="73">
                  <c:v>58.211787073670173</c:v>
                </c:pt>
                <c:pt idx="74">
                  <c:v>57.920096696415136</c:v>
                </c:pt>
                <c:pt idx="75">
                  <c:v>57.631228157559008</c:v>
                </c:pt>
                <c:pt idx="76">
                  <c:v>57.345144138217272</c:v>
                </c:pt>
                <c:pt idx="77">
                  <c:v>57.061807790575735</c:v>
                </c:pt>
                <c:pt idx="78">
                  <c:v>56.781182743797252</c:v>
                </c:pt>
                <c:pt idx="79">
                  <c:v>56.503233108423942</c:v>
                </c:pt>
                <c:pt idx="80">
                  <c:v>56.227923479442296</c:v>
                </c:pt>
                <c:pt idx="81">
                  <c:v>55.955218938160286</c:v>
                </c:pt>
                <c:pt idx="82">
                  <c:v>55.685085053029894</c:v>
                </c:pt>
                <c:pt idx="83">
                  <c:v>55.417487879534512</c:v>
                </c:pt>
                <c:pt idx="84">
                  <c:v>55.152393959247945</c:v>
                </c:pt>
                <c:pt idx="85">
                  <c:v>54.889770318161048</c:v>
                </c:pt>
                <c:pt idx="86">
                  <c:v>54.629584464361393</c:v>
                </c:pt>
                <c:pt idx="87">
                  <c:v>54.371804385143619</c:v>
                </c:pt>
                <c:pt idx="88">
                  <c:v>54.116398543618907</c:v>
                </c:pt>
                <c:pt idx="89">
                  <c:v>53.863335874885777</c:v>
                </c:pt>
                <c:pt idx="90">
                  <c:v>53.612585781818268</c:v>
                </c:pt>
                <c:pt idx="91">
                  <c:v>53.364118130520843</c:v>
                </c:pt>
                <c:pt idx="92">
                  <c:v>53.117903245495434</c:v>
                </c:pt>
                <c:pt idx="93">
                  <c:v>52.873911904560757</c:v>
                </c:pt>
                <c:pt idx="94">
                  <c:v>52.632115333560016</c:v>
                </c:pt>
                <c:pt idx="95">
                  <c:v>52.392485200890015</c:v>
                </c:pt>
                <c:pt idx="96">
                  <c:v>52.154993611880208</c:v>
                </c:pt>
                <c:pt idx="97">
                  <c:v>51.919613103048476</c:v>
                </c:pt>
                <c:pt idx="98">
                  <c:v>51.686316636257082</c:v>
                </c:pt>
                <c:pt idx="99">
                  <c:v>51.455077592789763</c:v>
                </c:pt>
                <c:pt idx="100">
                  <c:v>51.225869767368962</c:v>
                </c:pt>
                <c:pt idx="101">
                  <c:v>50.99866736213032</c:v>
                </c:pt>
                <c:pt idx="102">
                  <c:v>50.773444980569529</c:v>
                </c:pt>
                <c:pt idx="103">
                  <c:v>50.550177621475001</c:v>
                </c:pt>
                <c:pt idx="104">
                  <c:v>50.328840672858789</c:v>
                </c:pt>
                <c:pt idx="105">
                  <c:v>50.109409905896243</c:v>
                </c:pt>
                <c:pt idx="106">
                  <c:v>49.891861468884294</c:v>
                </c:pt>
                <c:pt idx="107">
                  <c:v>49.676171881226942</c:v>
                </c:pt>
                <c:pt idx="108">
                  <c:v>49.46231802745524</c:v>
                </c:pt>
                <c:pt idx="109">
                  <c:v>49.250277151288977</c:v>
                </c:pt>
                <c:pt idx="110">
                  <c:v>49.04002684974553</c:v>
                </c:pt>
                <c:pt idx="111">
                  <c:v>48.831545067301398</c:v>
                </c:pt>
                <c:pt idx="112">
                  <c:v>48.624810090110891</c:v>
                </c:pt>
                <c:pt idx="113">
                  <c:v>48.419800540285976</c:v>
                </c:pt>
                <c:pt idx="114">
                  <c:v>48.216495370240573</c:v>
                </c:pt>
                <c:pt idx="115">
                  <c:v>48.014873857102685</c:v>
                </c:pt>
                <c:pt idx="116">
                  <c:v>47.814915597196283</c:v>
                </c:pt>
                <c:pt idx="117">
                  <c:v>47.61660050059573</c:v>
                </c:pt>
                <c:pt idx="118">
                  <c:v>47.419908785754004</c:v>
                </c:pt>
                <c:pt idx="119">
                  <c:v>47.224820974206651</c:v>
                </c:pt>
                <c:pt idx="120">
                  <c:v>47.031317885352223</c:v>
                </c:pt>
                <c:pt idx="121">
                  <c:v>46.839380631310448</c:v>
                </c:pt>
                <c:pt idx="122">
                  <c:v>46.648990611858693</c:v>
                </c:pt>
                <c:pt idx="123">
                  <c:v>46.460129509447157</c:v>
                </c:pt>
                <c:pt idx="124">
                  <c:v>46.272779284293222</c:v>
                </c:pt>
                <c:pt idx="125">
                  <c:v>46.086922169554882</c:v>
                </c:pt>
                <c:pt idx="126">
                  <c:v>45.902540666583512</c:v>
                </c:pt>
                <c:pt idx="127">
                  <c:v>45.719617540255406</c:v>
                </c:pt>
                <c:pt idx="128">
                  <c:v>45.538135814382201</c:v>
                </c:pt>
                <c:pt idx="129">
                  <c:v>45.358078767199522</c:v>
                </c:pt>
                <c:pt idx="130">
                  <c:v>45.179429926933409</c:v>
                </c:pt>
                <c:pt idx="131">
                  <c:v>45.002173067444062</c:v>
                </c:pt>
                <c:pt idx="132">
                  <c:v>44.826292203946025</c:v>
                </c:pt>
                <c:pt idx="133">
                  <c:v>44.651771588804294</c:v>
                </c:pt>
                <c:pt idx="134">
                  <c:v>44.478595707405447</c:v>
                </c:pt>
                <c:pt idx="135">
                  <c:v>44.306749274102962</c:v>
                </c:pt>
                <c:pt idx="136">
                  <c:v>44.136217228235978</c:v>
                </c:pt>
                <c:pt idx="137">
                  <c:v>43.966984730220283</c:v>
                </c:pt>
                <c:pt idx="138">
                  <c:v>43.799037157710941</c:v>
                </c:pt>
                <c:pt idx="139">
                  <c:v>43.632360101835317</c:v>
                </c:pt>
                <c:pt idx="140">
                  <c:v>43.466939363495626</c:v>
                </c:pt>
                <c:pt idx="141">
                  <c:v>43.302760949739863</c:v>
                </c:pt>
                <c:pt idx="142">
                  <c:v>43.139811070200217</c:v>
                </c:pt>
                <c:pt idx="143">
                  <c:v>42.978076133597902</c:v>
                </c:pt>
                <c:pt idx="144">
                  <c:v>42.81754274431313</c:v>
                </c:pt>
                <c:pt idx="145">
                  <c:v>42.658197699019567</c:v>
                </c:pt>
                <c:pt idx="146">
                  <c:v>42.500027983381734</c:v>
                </c:pt>
                <c:pt idx="147">
                  <c:v>42.343020768814746</c:v>
                </c:pt>
                <c:pt idx="148">
                  <c:v>42.187163409304887</c:v>
                </c:pt>
                <c:pt idx="149">
                  <c:v>42.032443438290308</c:v>
                </c:pt>
                <c:pt idx="150">
                  <c:v>41.87884856560057</c:v>
                </c:pt>
              </c:numCache>
            </c:numRef>
          </c:yVal>
          <c:smooth val="0"/>
          <c:extLst>
            <c:ext xmlns:c16="http://schemas.microsoft.com/office/drawing/2014/chart" uri="{C3380CC4-5D6E-409C-BE32-E72D297353CC}">
              <c16:uniqueId val="{00000000-7DAF-432D-B540-E0424C156B7E}"/>
            </c:ext>
          </c:extLst>
        </c:ser>
        <c:dLbls>
          <c:showLegendKey val="0"/>
          <c:showVal val="0"/>
          <c:showCatName val="0"/>
          <c:showSerName val="0"/>
          <c:showPercent val="0"/>
          <c:showBubbleSize val="0"/>
        </c:dLbls>
        <c:axId val="522488064"/>
        <c:axId val="522489856"/>
      </c:scatterChart>
      <c:scatterChart>
        <c:scatterStyle val="smoothMarker"/>
        <c:varyColors val="0"/>
        <c:ser>
          <c:idx val="1"/>
          <c:order val="1"/>
          <c:tx>
            <c:v>LS MOSFET</c:v>
          </c:tx>
          <c:spPr>
            <a:ln>
              <a:solidFill>
                <a:schemeClr val="tx2">
                  <a:lumMod val="75000"/>
                </a:schemeClr>
              </a:solidFill>
              <a:prstDash val="dashDot"/>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Eff_vs_IOUT!$AI$7:$AI$157</c:f>
              <c:numCache>
                <c:formatCode>General</c:formatCode>
                <c:ptCount val="151"/>
                <c:pt idx="0">
                  <c:v>0</c:v>
                </c:pt>
                <c:pt idx="1">
                  <c:v>0.11428413288330619</c:v>
                </c:pt>
                <c:pt idx="2">
                  <c:v>0.24485529812198431</c:v>
                </c:pt>
                <c:pt idx="3">
                  <c:v>0.39291046336066238</c:v>
                </c:pt>
                <c:pt idx="4">
                  <c:v>0.55844962859934055</c:v>
                </c:pt>
                <c:pt idx="5">
                  <c:v>0.74147279383801856</c:v>
                </c:pt>
                <c:pt idx="6">
                  <c:v>0.94197995907669663</c:v>
                </c:pt>
                <c:pt idx="7">
                  <c:v>1.1599711243153745</c:v>
                </c:pt>
                <c:pt idx="8">
                  <c:v>1.3954462895540529</c:v>
                </c:pt>
                <c:pt idx="9">
                  <c:v>1.6484054547927312</c:v>
                </c:pt>
                <c:pt idx="10">
                  <c:v>1.9188486200314092</c:v>
                </c:pt>
                <c:pt idx="11">
                  <c:v>2.2067757852700862</c:v>
                </c:pt>
                <c:pt idx="12">
                  <c:v>2.5121869505087653</c:v>
                </c:pt>
                <c:pt idx="13">
                  <c:v>2.8350821157474435</c:v>
                </c:pt>
                <c:pt idx="14">
                  <c:v>3.1754612809861218</c:v>
                </c:pt>
                <c:pt idx="15">
                  <c:v>3.5333244462247979</c:v>
                </c:pt>
                <c:pt idx="16">
                  <c:v>3.9086716114634776</c:v>
                </c:pt>
                <c:pt idx="17">
                  <c:v>4.3015027767021561</c:v>
                </c:pt>
                <c:pt idx="18">
                  <c:v>4.7118179419408346</c:v>
                </c:pt>
                <c:pt idx="19">
                  <c:v>5.1396171071795109</c:v>
                </c:pt>
                <c:pt idx="20">
                  <c:v>5.5849002724181904</c:v>
                </c:pt>
                <c:pt idx="21">
                  <c:v>6.0476674376568678</c:v>
                </c:pt>
                <c:pt idx="22">
                  <c:v>6.5279186028955429</c:v>
                </c:pt>
                <c:pt idx="23">
                  <c:v>7.0256537681342239</c:v>
                </c:pt>
                <c:pt idx="24">
                  <c:v>7.540872933372901</c:v>
                </c:pt>
                <c:pt idx="25">
                  <c:v>8.0735760986115803</c:v>
                </c:pt>
                <c:pt idx="26">
                  <c:v>8.6237632638502593</c:v>
                </c:pt>
                <c:pt idx="27">
                  <c:v>9.191434429088936</c:v>
                </c:pt>
                <c:pt idx="28">
                  <c:v>9.7765895943276142</c:v>
                </c:pt>
                <c:pt idx="29">
                  <c:v>10.379228759566294</c:v>
                </c:pt>
                <c:pt idx="30">
                  <c:v>10.999351924804969</c:v>
                </c:pt>
                <c:pt idx="31">
                  <c:v>11.636959090043648</c:v>
                </c:pt>
                <c:pt idx="32">
                  <c:v>12.29205025528233</c:v>
                </c:pt>
                <c:pt idx="33">
                  <c:v>12.964625420521006</c:v>
                </c:pt>
                <c:pt idx="34">
                  <c:v>13.654684585759684</c:v>
                </c:pt>
                <c:pt idx="35">
                  <c:v>14.362227750998363</c:v>
                </c:pt>
                <c:pt idx="36">
                  <c:v>15.087254916237042</c:v>
                </c:pt>
                <c:pt idx="37">
                  <c:v>15.829766081475711</c:v>
                </c:pt>
                <c:pt idx="38">
                  <c:v>16.589761246714389</c:v>
                </c:pt>
                <c:pt idx="39">
                  <c:v>17.36724041195308</c:v>
                </c:pt>
                <c:pt idx="40">
                  <c:v>18.162203577191754</c:v>
                </c:pt>
                <c:pt idx="41">
                  <c:v>18.97465074243043</c:v>
                </c:pt>
                <c:pt idx="42">
                  <c:v>19.804581907669107</c:v>
                </c:pt>
                <c:pt idx="43">
                  <c:v>20.65199707290779</c:v>
                </c:pt>
                <c:pt idx="44">
                  <c:v>21.516896238146458</c:v>
                </c:pt>
                <c:pt idx="45">
                  <c:v>22.399279403385144</c:v>
                </c:pt>
                <c:pt idx="46">
                  <c:v>23.299146568623819</c:v>
                </c:pt>
                <c:pt idx="47">
                  <c:v>24.2164977338625</c:v>
                </c:pt>
                <c:pt idx="48">
                  <c:v>25.151332899101178</c:v>
                </c:pt>
                <c:pt idx="49">
                  <c:v>26.103652064339858</c:v>
                </c:pt>
                <c:pt idx="50">
                  <c:v>27.073455229578528</c:v>
                </c:pt>
                <c:pt idx="51">
                  <c:v>28.060742394817215</c:v>
                </c:pt>
                <c:pt idx="52">
                  <c:v>29.065513560055891</c:v>
                </c:pt>
                <c:pt idx="53">
                  <c:v>30.08776872529457</c:v>
                </c:pt>
                <c:pt idx="54">
                  <c:v>31.127507890533245</c:v>
                </c:pt>
                <c:pt idx="55">
                  <c:v>32.18473105577192</c:v>
                </c:pt>
                <c:pt idx="56">
                  <c:v>33.259438221010612</c:v>
                </c:pt>
                <c:pt idx="57">
                  <c:v>34.351629386249279</c:v>
                </c:pt>
                <c:pt idx="58">
                  <c:v>35.461304551487963</c:v>
                </c:pt>
                <c:pt idx="59">
                  <c:v>36.588463716726636</c:v>
                </c:pt>
                <c:pt idx="60">
                  <c:v>37.733106881965305</c:v>
                </c:pt>
                <c:pt idx="61">
                  <c:v>38.895234047203985</c:v>
                </c:pt>
                <c:pt idx="62">
                  <c:v>40.074845212442668</c:v>
                </c:pt>
                <c:pt idx="63">
                  <c:v>41.271940377681354</c:v>
                </c:pt>
                <c:pt idx="64">
                  <c:v>42.486519542920036</c:v>
                </c:pt>
                <c:pt idx="65">
                  <c:v>43.718582708158699</c:v>
                </c:pt>
                <c:pt idx="66">
                  <c:v>44.968129873397388</c:v>
                </c:pt>
                <c:pt idx="67">
                  <c:v>46.235161038636029</c:v>
                </c:pt>
                <c:pt idx="68">
                  <c:v>47.519676203874752</c:v>
                </c:pt>
                <c:pt idx="69">
                  <c:v>48.821675369113393</c:v>
                </c:pt>
                <c:pt idx="70">
                  <c:v>50.141158534352094</c:v>
                </c:pt>
                <c:pt idx="71">
                  <c:v>51.478125699590777</c:v>
                </c:pt>
                <c:pt idx="72">
                  <c:v>52.832576864829456</c:v>
                </c:pt>
                <c:pt idx="73">
                  <c:v>54.204512030068138</c:v>
                </c:pt>
                <c:pt idx="74">
                  <c:v>55.593931195306801</c:v>
                </c:pt>
                <c:pt idx="75">
                  <c:v>57.000834360545497</c:v>
                </c:pt>
                <c:pt idx="76">
                  <c:v>58.425221525784139</c:v>
                </c:pt>
                <c:pt idx="77">
                  <c:v>59.867092691022847</c:v>
                </c:pt>
                <c:pt idx="78">
                  <c:v>61.326447856261517</c:v>
                </c:pt>
                <c:pt idx="79">
                  <c:v>62.803287021500211</c:v>
                </c:pt>
                <c:pt idx="80">
                  <c:v>64.297610186738879</c:v>
                </c:pt>
                <c:pt idx="81">
                  <c:v>65.809417351977515</c:v>
                </c:pt>
                <c:pt idx="82">
                  <c:v>67.338708517216233</c:v>
                </c:pt>
                <c:pt idx="83">
                  <c:v>68.885483682454904</c:v>
                </c:pt>
                <c:pt idx="84">
                  <c:v>70.449742847693599</c:v>
                </c:pt>
                <c:pt idx="85">
                  <c:v>72.031486012932234</c:v>
                </c:pt>
                <c:pt idx="86">
                  <c:v>73.63071317817095</c:v>
                </c:pt>
                <c:pt idx="87">
                  <c:v>75.247424343409648</c:v>
                </c:pt>
                <c:pt idx="88">
                  <c:v>76.881619508648285</c:v>
                </c:pt>
                <c:pt idx="89">
                  <c:v>78.533298673886975</c:v>
                </c:pt>
                <c:pt idx="90">
                  <c:v>80.202461839125647</c:v>
                </c:pt>
                <c:pt idx="91">
                  <c:v>81.889109004364329</c:v>
                </c:pt>
                <c:pt idx="92">
                  <c:v>83.593240169603007</c:v>
                </c:pt>
                <c:pt idx="93">
                  <c:v>85.314855334841681</c:v>
                </c:pt>
                <c:pt idx="94">
                  <c:v>87.053954500080366</c:v>
                </c:pt>
                <c:pt idx="95">
                  <c:v>88.810537665319046</c:v>
                </c:pt>
                <c:pt idx="96">
                  <c:v>90.584604830557709</c:v>
                </c:pt>
                <c:pt idx="97">
                  <c:v>92.376155995796381</c:v>
                </c:pt>
                <c:pt idx="98">
                  <c:v>94.185191161035107</c:v>
                </c:pt>
                <c:pt idx="99">
                  <c:v>96.011710326273757</c:v>
                </c:pt>
                <c:pt idx="100">
                  <c:v>97.855713491512418</c:v>
                </c:pt>
                <c:pt idx="101">
                  <c:v>99.717200656751089</c:v>
                </c:pt>
                <c:pt idx="102">
                  <c:v>101.59617182198977</c:v>
                </c:pt>
                <c:pt idx="103">
                  <c:v>103.4926269872285</c:v>
                </c:pt>
                <c:pt idx="104">
                  <c:v>105.40656615246715</c:v>
                </c:pt>
                <c:pt idx="105">
                  <c:v>107.33798931770585</c:v>
                </c:pt>
                <c:pt idx="106">
                  <c:v>109.28689648294451</c:v>
                </c:pt>
                <c:pt idx="107">
                  <c:v>111.25328764818319</c:v>
                </c:pt>
                <c:pt idx="108">
                  <c:v>113.23716281342188</c:v>
                </c:pt>
                <c:pt idx="109">
                  <c:v>115.23852197866054</c:v>
                </c:pt>
                <c:pt idx="110">
                  <c:v>117.25736514389918</c:v>
                </c:pt>
                <c:pt idx="111">
                  <c:v>119.29369230913787</c:v>
                </c:pt>
                <c:pt idx="112">
                  <c:v>121.34750347437657</c:v>
                </c:pt>
                <c:pt idx="113">
                  <c:v>123.4187986396152</c:v>
                </c:pt>
                <c:pt idx="114">
                  <c:v>125.50757780485391</c:v>
                </c:pt>
                <c:pt idx="115">
                  <c:v>127.61384097009261</c:v>
                </c:pt>
                <c:pt idx="116">
                  <c:v>129.73758813533132</c:v>
                </c:pt>
                <c:pt idx="117">
                  <c:v>131.87881930056997</c:v>
                </c:pt>
                <c:pt idx="118">
                  <c:v>134.03753446580865</c:v>
                </c:pt>
                <c:pt idx="119">
                  <c:v>136.21373363104729</c:v>
                </c:pt>
                <c:pt idx="120">
                  <c:v>138.40741679628593</c:v>
                </c:pt>
                <c:pt idx="121">
                  <c:v>140.61858396152468</c:v>
                </c:pt>
                <c:pt idx="122">
                  <c:v>142.84723512676334</c:v>
                </c:pt>
                <c:pt idx="123">
                  <c:v>145.09337029200205</c:v>
                </c:pt>
                <c:pt idx="124">
                  <c:v>147.3569894572407</c:v>
                </c:pt>
                <c:pt idx="125">
                  <c:v>149.63809262247943</c:v>
                </c:pt>
                <c:pt idx="126">
                  <c:v>151.93667978771808</c:v>
                </c:pt>
                <c:pt idx="127">
                  <c:v>154.25275095295675</c:v>
                </c:pt>
                <c:pt idx="128">
                  <c:v>156.58630611819547</c:v>
                </c:pt>
                <c:pt idx="129">
                  <c:v>158.93734528343407</c:v>
                </c:pt>
                <c:pt idx="130">
                  <c:v>161.30586844867278</c:v>
                </c:pt>
                <c:pt idx="131">
                  <c:v>163.69187561391146</c:v>
                </c:pt>
                <c:pt idx="132">
                  <c:v>166.09536677915017</c:v>
                </c:pt>
                <c:pt idx="133">
                  <c:v>168.51634194438881</c:v>
                </c:pt>
                <c:pt idx="134">
                  <c:v>170.95480110962745</c:v>
                </c:pt>
                <c:pt idx="135">
                  <c:v>173.41074427486623</c:v>
                </c:pt>
                <c:pt idx="136">
                  <c:v>175.88417144010486</c:v>
                </c:pt>
                <c:pt idx="137">
                  <c:v>178.37508260534349</c:v>
                </c:pt>
                <c:pt idx="138">
                  <c:v>180.8834777705822</c:v>
                </c:pt>
                <c:pt idx="139">
                  <c:v>183.40935693582094</c:v>
                </c:pt>
                <c:pt idx="140">
                  <c:v>185.95272010105958</c:v>
                </c:pt>
                <c:pt idx="141">
                  <c:v>188.51356726629817</c:v>
                </c:pt>
                <c:pt idx="142">
                  <c:v>191.091898431537</c:v>
                </c:pt>
                <c:pt idx="143">
                  <c:v>193.68771359677558</c:v>
                </c:pt>
                <c:pt idx="144">
                  <c:v>196.30101276201432</c:v>
                </c:pt>
                <c:pt idx="145">
                  <c:v>198.93179592725298</c:v>
                </c:pt>
                <c:pt idx="146">
                  <c:v>201.58006309249168</c:v>
                </c:pt>
                <c:pt idx="147">
                  <c:v>204.24581425773033</c:v>
                </c:pt>
                <c:pt idx="148">
                  <c:v>206.92904942296894</c:v>
                </c:pt>
                <c:pt idx="149">
                  <c:v>209.62976858820767</c:v>
                </c:pt>
                <c:pt idx="150">
                  <c:v>212.34797175344639</c:v>
                </c:pt>
              </c:numCache>
            </c:numRef>
          </c:yVal>
          <c:smooth val="1"/>
          <c:extLst>
            <c:ext xmlns:c16="http://schemas.microsoft.com/office/drawing/2014/chart" uri="{C3380CC4-5D6E-409C-BE32-E72D297353CC}">
              <c16:uniqueId val="{00000001-7DAF-432D-B540-E0424C156B7E}"/>
            </c:ext>
          </c:extLst>
        </c:ser>
        <c:ser>
          <c:idx val="2"/>
          <c:order val="2"/>
          <c:tx>
            <c:v>HS MOSFET</c:v>
          </c:tx>
          <c:spPr>
            <a:ln>
              <a:solidFill>
                <a:schemeClr val="bg2">
                  <a:lumMod val="50000"/>
                </a:schemeClr>
              </a:solidFill>
              <a:prstDash val="sysDash"/>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Eff_vs_IOUT!$AO$7:$AO$157</c:f>
              <c:numCache>
                <c:formatCode>General</c:formatCode>
                <c:ptCount val="151"/>
                <c:pt idx="0">
                  <c:v>0</c:v>
                </c:pt>
                <c:pt idx="1">
                  <c:v>0.74354207363636371</c:v>
                </c:pt>
                <c:pt idx="2">
                  <c:v>0.74745807363636363</c:v>
                </c:pt>
                <c:pt idx="3">
                  <c:v>0.7516380736363637</c:v>
                </c:pt>
                <c:pt idx="4">
                  <c:v>0.75608207363636371</c:v>
                </c:pt>
                <c:pt idx="5">
                  <c:v>0.76079007363636364</c:v>
                </c:pt>
                <c:pt idx="6">
                  <c:v>0.76576207363636362</c:v>
                </c:pt>
                <c:pt idx="7">
                  <c:v>0.77099807363636375</c:v>
                </c:pt>
                <c:pt idx="8">
                  <c:v>0.77649807363636369</c:v>
                </c:pt>
                <c:pt idx="9">
                  <c:v>0.78226207363636369</c:v>
                </c:pt>
                <c:pt idx="10">
                  <c:v>0.78829007363636372</c:v>
                </c:pt>
                <c:pt idx="11">
                  <c:v>0.79458207363636368</c:v>
                </c:pt>
                <c:pt idx="12">
                  <c:v>0.80113807363636369</c:v>
                </c:pt>
                <c:pt idx="13">
                  <c:v>0.80795807363636363</c:v>
                </c:pt>
                <c:pt idx="14">
                  <c:v>0.81504207363636372</c:v>
                </c:pt>
                <c:pt idx="15">
                  <c:v>0.82239007363636374</c:v>
                </c:pt>
                <c:pt idx="16">
                  <c:v>0.83000207363636369</c:v>
                </c:pt>
                <c:pt idx="17">
                  <c:v>0.8378780736363638</c:v>
                </c:pt>
                <c:pt idx="18">
                  <c:v>0.84601807363636372</c:v>
                </c:pt>
                <c:pt idx="19">
                  <c:v>0.85442207363636369</c:v>
                </c:pt>
                <c:pt idx="20">
                  <c:v>0.86309007363636381</c:v>
                </c:pt>
                <c:pt idx="21">
                  <c:v>0.87202207363636375</c:v>
                </c:pt>
                <c:pt idx="22">
                  <c:v>0.88121807363636373</c:v>
                </c:pt>
                <c:pt idx="23">
                  <c:v>0.89067807363636375</c:v>
                </c:pt>
                <c:pt idx="24">
                  <c:v>0.90040207363636382</c:v>
                </c:pt>
                <c:pt idx="25">
                  <c:v>0.91039007363636382</c:v>
                </c:pt>
                <c:pt idx="26">
                  <c:v>0.92064207363636374</c:v>
                </c:pt>
                <c:pt idx="27">
                  <c:v>0.93115807363636383</c:v>
                </c:pt>
                <c:pt idx="28">
                  <c:v>0.94193807363636384</c:v>
                </c:pt>
                <c:pt idx="29">
                  <c:v>0.95298207363636378</c:v>
                </c:pt>
                <c:pt idx="30">
                  <c:v>0.96429007363636376</c:v>
                </c:pt>
                <c:pt idx="31">
                  <c:v>0.97586207363636379</c:v>
                </c:pt>
                <c:pt idx="32">
                  <c:v>0.98769807363636386</c:v>
                </c:pt>
                <c:pt idx="33">
                  <c:v>0.99979807363636375</c:v>
                </c:pt>
                <c:pt idx="34">
                  <c:v>1.0121620736363639</c:v>
                </c:pt>
                <c:pt idx="35">
                  <c:v>1.024790073636364</c:v>
                </c:pt>
                <c:pt idx="36">
                  <c:v>1.0376820736363639</c:v>
                </c:pt>
                <c:pt idx="37">
                  <c:v>1.0508380736363638</c:v>
                </c:pt>
                <c:pt idx="38">
                  <c:v>1.0642580736363638</c:v>
                </c:pt>
                <c:pt idx="39">
                  <c:v>1.0779420736363639</c:v>
                </c:pt>
                <c:pt idx="40">
                  <c:v>1.0918900736363639</c:v>
                </c:pt>
                <c:pt idx="41">
                  <c:v>1.1061020736363638</c:v>
                </c:pt>
                <c:pt idx="42">
                  <c:v>1.1205780736363637</c:v>
                </c:pt>
                <c:pt idx="43">
                  <c:v>1.1353180736363639</c:v>
                </c:pt>
                <c:pt idx="44">
                  <c:v>1.150322073636364</c:v>
                </c:pt>
                <c:pt idx="45">
                  <c:v>1.165590073636364</c:v>
                </c:pt>
                <c:pt idx="46">
                  <c:v>1.1811220736363641</c:v>
                </c:pt>
                <c:pt idx="47">
                  <c:v>1.196918073636364</c:v>
                </c:pt>
                <c:pt idx="48">
                  <c:v>1.212978073636364</c:v>
                </c:pt>
                <c:pt idx="49">
                  <c:v>1.229302073636364</c:v>
                </c:pt>
                <c:pt idx="50">
                  <c:v>1.2458900736363641</c:v>
                </c:pt>
                <c:pt idx="51">
                  <c:v>1.2627420736363639</c:v>
                </c:pt>
                <c:pt idx="52">
                  <c:v>1.2798580736363641</c:v>
                </c:pt>
                <c:pt idx="53">
                  <c:v>1.2972380736363642</c:v>
                </c:pt>
                <c:pt idx="54">
                  <c:v>1.314882073636364</c:v>
                </c:pt>
                <c:pt idx="55">
                  <c:v>1.3327900736363643</c:v>
                </c:pt>
                <c:pt idx="56">
                  <c:v>1.3509620736363641</c:v>
                </c:pt>
                <c:pt idx="57">
                  <c:v>1.369398073636364</c:v>
                </c:pt>
                <c:pt idx="58">
                  <c:v>1.3880980736363639</c:v>
                </c:pt>
                <c:pt idx="59">
                  <c:v>1.4070620736363639</c:v>
                </c:pt>
                <c:pt idx="60">
                  <c:v>1.426290073636364</c:v>
                </c:pt>
                <c:pt idx="61">
                  <c:v>1.445782073636364</c:v>
                </c:pt>
                <c:pt idx="62">
                  <c:v>1.4655380736363643</c:v>
                </c:pt>
                <c:pt idx="63">
                  <c:v>1.4855580736363641</c:v>
                </c:pt>
                <c:pt idx="64">
                  <c:v>1.5058420736363642</c:v>
                </c:pt>
                <c:pt idx="65">
                  <c:v>1.526390073636364</c:v>
                </c:pt>
                <c:pt idx="66">
                  <c:v>1.5472020736363641</c:v>
                </c:pt>
                <c:pt idx="67">
                  <c:v>1.568278073636364</c:v>
                </c:pt>
                <c:pt idx="68">
                  <c:v>1.5896180736363643</c:v>
                </c:pt>
                <c:pt idx="69">
                  <c:v>1.611222073636364</c:v>
                </c:pt>
                <c:pt idx="70">
                  <c:v>1.6330900736363643</c:v>
                </c:pt>
                <c:pt idx="71">
                  <c:v>1.6552220736363643</c:v>
                </c:pt>
                <c:pt idx="72">
                  <c:v>1.6776180736363639</c:v>
                </c:pt>
                <c:pt idx="73">
                  <c:v>1.7002780736363641</c:v>
                </c:pt>
                <c:pt idx="74">
                  <c:v>1.7232020736363642</c:v>
                </c:pt>
                <c:pt idx="75">
                  <c:v>1.7463900736363642</c:v>
                </c:pt>
                <c:pt idx="76">
                  <c:v>1.769842073636364</c:v>
                </c:pt>
                <c:pt idx="77">
                  <c:v>1.7935580736363645</c:v>
                </c:pt>
                <c:pt idx="78">
                  <c:v>1.8175380736363647</c:v>
                </c:pt>
                <c:pt idx="79">
                  <c:v>1.8417820736363648</c:v>
                </c:pt>
                <c:pt idx="80">
                  <c:v>1.8662900736363643</c:v>
                </c:pt>
                <c:pt idx="81">
                  <c:v>1.8910620736363639</c:v>
                </c:pt>
                <c:pt idx="82">
                  <c:v>1.9160980736363644</c:v>
                </c:pt>
                <c:pt idx="83">
                  <c:v>1.9413980736363641</c:v>
                </c:pt>
                <c:pt idx="84">
                  <c:v>1.9669620736363644</c:v>
                </c:pt>
                <c:pt idx="85">
                  <c:v>1.992790073636364</c:v>
                </c:pt>
                <c:pt idx="86">
                  <c:v>2.0188820736363646</c:v>
                </c:pt>
                <c:pt idx="87">
                  <c:v>2.0452380736363649</c:v>
                </c:pt>
                <c:pt idx="88">
                  <c:v>2.0718580736363643</c:v>
                </c:pt>
                <c:pt idx="89">
                  <c:v>2.0987420736363642</c:v>
                </c:pt>
                <c:pt idx="90">
                  <c:v>2.1258900736363646</c:v>
                </c:pt>
                <c:pt idx="91">
                  <c:v>2.1533020736363646</c:v>
                </c:pt>
                <c:pt idx="92">
                  <c:v>2.1809780736363646</c:v>
                </c:pt>
                <c:pt idx="93">
                  <c:v>2.2089180736363643</c:v>
                </c:pt>
                <c:pt idx="94">
                  <c:v>2.2371220736363648</c:v>
                </c:pt>
                <c:pt idx="95">
                  <c:v>2.265590073636365</c:v>
                </c:pt>
                <c:pt idx="96">
                  <c:v>2.2943220736363648</c:v>
                </c:pt>
                <c:pt idx="97">
                  <c:v>2.3233180736363646</c:v>
                </c:pt>
                <c:pt idx="98">
                  <c:v>2.3525780736363653</c:v>
                </c:pt>
                <c:pt idx="99">
                  <c:v>2.3821020736363647</c:v>
                </c:pt>
                <c:pt idx="100">
                  <c:v>2.4118900736363647</c:v>
                </c:pt>
                <c:pt idx="101">
                  <c:v>2.4419420736363646</c:v>
                </c:pt>
                <c:pt idx="102">
                  <c:v>2.4722580736363651</c:v>
                </c:pt>
                <c:pt idx="103">
                  <c:v>2.5028380736363651</c:v>
                </c:pt>
                <c:pt idx="104">
                  <c:v>2.5336820736363652</c:v>
                </c:pt>
                <c:pt idx="105">
                  <c:v>2.5647900736363654</c:v>
                </c:pt>
                <c:pt idx="106">
                  <c:v>2.5961620736363651</c:v>
                </c:pt>
                <c:pt idx="107">
                  <c:v>2.6277980736363657</c:v>
                </c:pt>
                <c:pt idx="108">
                  <c:v>2.6596980736363651</c:v>
                </c:pt>
                <c:pt idx="109">
                  <c:v>2.691862073636365</c:v>
                </c:pt>
                <c:pt idx="110">
                  <c:v>2.7242900736363644</c:v>
                </c:pt>
                <c:pt idx="111">
                  <c:v>2.7569820736363653</c:v>
                </c:pt>
                <c:pt idx="112">
                  <c:v>2.7899380736363653</c:v>
                </c:pt>
                <c:pt idx="113">
                  <c:v>2.8231580736363644</c:v>
                </c:pt>
                <c:pt idx="114">
                  <c:v>2.8566420736363654</c:v>
                </c:pt>
                <c:pt idx="115">
                  <c:v>2.8903900736363655</c:v>
                </c:pt>
                <c:pt idx="116">
                  <c:v>2.9244020736363652</c:v>
                </c:pt>
                <c:pt idx="117">
                  <c:v>2.9586780736363654</c:v>
                </c:pt>
                <c:pt idx="118">
                  <c:v>2.9932180736363652</c:v>
                </c:pt>
                <c:pt idx="119">
                  <c:v>3.028022073636365</c:v>
                </c:pt>
                <c:pt idx="120">
                  <c:v>3.0630900736363653</c:v>
                </c:pt>
                <c:pt idx="121">
                  <c:v>3.0984220736363652</c:v>
                </c:pt>
                <c:pt idx="122">
                  <c:v>3.1340180736363652</c:v>
                </c:pt>
                <c:pt idx="123">
                  <c:v>3.1698780736363656</c:v>
                </c:pt>
                <c:pt idx="124">
                  <c:v>3.2060020736363657</c:v>
                </c:pt>
                <c:pt idx="125">
                  <c:v>3.2423900736363653</c:v>
                </c:pt>
                <c:pt idx="126">
                  <c:v>3.2790420736363655</c:v>
                </c:pt>
                <c:pt idx="127">
                  <c:v>3.3159580736363656</c:v>
                </c:pt>
                <c:pt idx="128">
                  <c:v>3.3531380736363663</c:v>
                </c:pt>
                <c:pt idx="129">
                  <c:v>3.3905820736363652</c:v>
                </c:pt>
                <c:pt idx="130">
                  <c:v>3.428290073636366</c:v>
                </c:pt>
                <c:pt idx="131">
                  <c:v>3.4662620736363663</c:v>
                </c:pt>
                <c:pt idx="132">
                  <c:v>3.5044980736363671</c:v>
                </c:pt>
                <c:pt idx="133">
                  <c:v>3.5429980736363658</c:v>
                </c:pt>
                <c:pt idx="134">
                  <c:v>3.5817620736363658</c:v>
                </c:pt>
                <c:pt idx="135">
                  <c:v>3.6207900736363663</c:v>
                </c:pt>
                <c:pt idx="136">
                  <c:v>3.660082073636366</c:v>
                </c:pt>
                <c:pt idx="137">
                  <c:v>3.6996380736363661</c:v>
                </c:pt>
                <c:pt idx="138">
                  <c:v>3.7394580736363663</c:v>
                </c:pt>
                <c:pt idx="139">
                  <c:v>3.779542073636367</c:v>
                </c:pt>
                <c:pt idx="140">
                  <c:v>3.8198900736363663</c:v>
                </c:pt>
                <c:pt idx="141">
                  <c:v>3.8605020736363658</c:v>
                </c:pt>
                <c:pt idx="142">
                  <c:v>3.9013780736363666</c:v>
                </c:pt>
                <c:pt idx="143">
                  <c:v>3.9425180736363661</c:v>
                </c:pt>
                <c:pt idx="144">
                  <c:v>3.983922073636367</c:v>
                </c:pt>
                <c:pt idx="145">
                  <c:v>4.0255900736363657</c:v>
                </c:pt>
                <c:pt idx="146">
                  <c:v>4.0675220736363666</c:v>
                </c:pt>
                <c:pt idx="147">
                  <c:v>4.1097180736363672</c:v>
                </c:pt>
                <c:pt idx="148">
                  <c:v>4.1521780736363656</c:v>
                </c:pt>
                <c:pt idx="149">
                  <c:v>4.1949020736363671</c:v>
                </c:pt>
                <c:pt idx="150">
                  <c:v>4.2378900736363665</c:v>
                </c:pt>
              </c:numCache>
            </c:numRef>
          </c:yVal>
          <c:smooth val="1"/>
          <c:extLst>
            <c:ext xmlns:c16="http://schemas.microsoft.com/office/drawing/2014/chart" uri="{C3380CC4-5D6E-409C-BE32-E72D297353CC}">
              <c16:uniqueId val="{00000002-7DAF-432D-B540-E0424C156B7E}"/>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Eff_vs_IOUT!$AP$7:$AP$157</c:f>
              <c:numCache>
                <c:formatCode>General</c:formatCode>
                <c:ptCount val="151"/>
                <c:pt idx="0">
                  <c:v>0</c:v>
                </c:pt>
                <c:pt idx="1">
                  <c:v>5.6846074380165288E-4</c:v>
                </c:pt>
                <c:pt idx="2">
                  <c:v>2.0684607438016529E-3</c:v>
                </c:pt>
                <c:pt idx="3">
                  <c:v>4.5684607438016521E-3</c:v>
                </c:pt>
                <c:pt idx="4">
                  <c:v>8.0684607438016535E-3</c:v>
                </c:pt>
                <c:pt idx="5">
                  <c:v>1.2568460743801654E-2</c:v>
                </c:pt>
                <c:pt idx="6">
                  <c:v>1.806846074380165E-2</c:v>
                </c:pt>
                <c:pt idx="7">
                  <c:v>2.4568460743801653E-2</c:v>
                </c:pt>
                <c:pt idx="8">
                  <c:v>3.2068460743801659E-2</c:v>
                </c:pt>
                <c:pt idx="9">
                  <c:v>4.056846074380166E-2</c:v>
                </c:pt>
                <c:pt idx="10">
                  <c:v>5.0068460743801661E-2</c:v>
                </c:pt>
                <c:pt idx="11">
                  <c:v>6.0568460743801622E-2</c:v>
                </c:pt>
                <c:pt idx="12">
                  <c:v>7.2068460743801646E-2</c:v>
                </c:pt>
                <c:pt idx="13">
                  <c:v>8.4568460743801643E-2</c:v>
                </c:pt>
                <c:pt idx="14">
                  <c:v>9.8068460743801655E-2</c:v>
                </c:pt>
                <c:pt idx="15">
                  <c:v>0.11256846074380163</c:v>
                </c:pt>
                <c:pt idx="16">
                  <c:v>0.12806846074380163</c:v>
                </c:pt>
                <c:pt idx="17">
                  <c:v>0.14456846074380167</c:v>
                </c:pt>
                <c:pt idx="18">
                  <c:v>0.16206846074380168</c:v>
                </c:pt>
                <c:pt idx="19">
                  <c:v>0.18056846074380159</c:v>
                </c:pt>
                <c:pt idx="20">
                  <c:v>0.20006846074380169</c:v>
                </c:pt>
                <c:pt idx="21">
                  <c:v>0.22056846074380168</c:v>
                </c:pt>
                <c:pt idx="22">
                  <c:v>0.24206846074380162</c:v>
                </c:pt>
                <c:pt idx="23">
                  <c:v>0.26456846074380175</c:v>
                </c:pt>
                <c:pt idx="24">
                  <c:v>0.28806846074380166</c:v>
                </c:pt>
                <c:pt idx="25">
                  <c:v>0.31256846074380168</c:v>
                </c:pt>
                <c:pt idx="26">
                  <c:v>0.33806846074380165</c:v>
                </c:pt>
                <c:pt idx="27">
                  <c:v>0.36456846074380161</c:v>
                </c:pt>
                <c:pt idx="28">
                  <c:v>0.39206846074380169</c:v>
                </c:pt>
                <c:pt idx="29">
                  <c:v>0.42056846074380166</c:v>
                </c:pt>
                <c:pt idx="30">
                  <c:v>0.45006846074380163</c:v>
                </c:pt>
                <c:pt idx="31">
                  <c:v>0.48056846074380161</c:v>
                </c:pt>
                <c:pt idx="32">
                  <c:v>0.51206846074380152</c:v>
                </c:pt>
                <c:pt idx="33">
                  <c:v>0.54456846074380183</c:v>
                </c:pt>
                <c:pt idx="34">
                  <c:v>0.57806846074380169</c:v>
                </c:pt>
                <c:pt idx="35">
                  <c:v>0.61256846074380167</c:v>
                </c:pt>
                <c:pt idx="36">
                  <c:v>0.64806846074380153</c:v>
                </c:pt>
                <c:pt idx="37">
                  <c:v>0.6845684607438014</c:v>
                </c:pt>
                <c:pt idx="38">
                  <c:v>0.72206846074380138</c:v>
                </c:pt>
                <c:pt idx="39">
                  <c:v>0.76056846074380169</c:v>
                </c:pt>
                <c:pt idx="40">
                  <c:v>0.80006846074380156</c:v>
                </c:pt>
                <c:pt idx="41">
                  <c:v>0.84056846074380165</c:v>
                </c:pt>
                <c:pt idx="42">
                  <c:v>0.88206846074380152</c:v>
                </c:pt>
                <c:pt idx="43">
                  <c:v>0.92456846074380183</c:v>
                </c:pt>
                <c:pt idx="44">
                  <c:v>0.96806846074380148</c:v>
                </c:pt>
                <c:pt idx="45">
                  <c:v>1.0125684607438017</c:v>
                </c:pt>
                <c:pt idx="46">
                  <c:v>1.0580684607438018</c:v>
                </c:pt>
                <c:pt idx="47">
                  <c:v>1.1045684607438018</c:v>
                </c:pt>
                <c:pt idx="48">
                  <c:v>1.1520684607438016</c:v>
                </c:pt>
                <c:pt idx="49">
                  <c:v>1.2005684607438016</c:v>
                </c:pt>
                <c:pt idx="50">
                  <c:v>1.2500684607438013</c:v>
                </c:pt>
                <c:pt idx="51">
                  <c:v>1.3005684607438015</c:v>
                </c:pt>
                <c:pt idx="52">
                  <c:v>1.3520684607438016</c:v>
                </c:pt>
                <c:pt idx="53">
                  <c:v>1.4045684607438016</c:v>
                </c:pt>
                <c:pt idx="54">
                  <c:v>1.4580684607438015</c:v>
                </c:pt>
                <c:pt idx="55">
                  <c:v>1.5125684607438017</c:v>
                </c:pt>
                <c:pt idx="56">
                  <c:v>1.5680684607438016</c:v>
                </c:pt>
                <c:pt idx="57">
                  <c:v>1.6245684607438018</c:v>
                </c:pt>
                <c:pt idx="58">
                  <c:v>1.6820684607438015</c:v>
                </c:pt>
                <c:pt idx="59">
                  <c:v>1.7405684607438019</c:v>
                </c:pt>
                <c:pt idx="60">
                  <c:v>1.8000684607438009</c:v>
                </c:pt>
                <c:pt idx="61">
                  <c:v>1.8605684607438011</c:v>
                </c:pt>
                <c:pt idx="62">
                  <c:v>1.9220684607438019</c:v>
                </c:pt>
                <c:pt idx="63">
                  <c:v>1.9845684607438019</c:v>
                </c:pt>
                <c:pt idx="64">
                  <c:v>2.0480684607438016</c:v>
                </c:pt>
                <c:pt idx="65">
                  <c:v>2.1125684607438018</c:v>
                </c:pt>
                <c:pt idx="66">
                  <c:v>2.178068460743801</c:v>
                </c:pt>
                <c:pt idx="67">
                  <c:v>2.2445684607438006</c:v>
                </c:pt>
                <c:pt idx="68">
                  <c:v>2.3120684607438018</c:v>
                </c:pt>
                <c:pt idx="69">
                  <c:v>2.3805684607438007</c:v>
                </c:pt>
                <c:pt idx="70">
                  <c:v>2.4500684607438012</c:v>
                </c:pt>
                <c:pt idx="71">
                  <c:v>2.5205684607438017</c:v>
                </c:pt>
                <c:pt idx="72">
                  <c:v>2.592068460743802</c:v>
                </c:pt>
                <c:pt idx="73">
                  <c:v>2.6645684607438018</c:v>
                </c:pt>
                <c:pt idx="74">
                  <c:v>2.7380684607438011</c:v>
                </c:pt>
                <c:pt idx="75">
                  <c:v>2.812568460743802</c:v>
                </c:pt>
                <c:pt idx="76">
                  <c:v>2.888068460743801</c:v>
                </c:pt>
                <c:pt idx="77">
                  <c:v>2.9645684607438016</c:v>
                </c:pt>
                <c:pt idx="78">
                  <c:v>3.0420684607438022</c:v>
                </c:pt>
                <c:pt idx="79">
                  <c:v>3.1205684607438022</c:v>
                </c:pt>
                <c:pt idx="80">
                  <c:v>3.2000684607438021</c:v>
                </c:pt>
                <c:pt idx="81">
                  <c:v>3.2805684607437997</c:v>
                </c:pt>
                <c:pt idx="82">
                  <c:v>3.3620684607438021</c:v>
                </c:pt>
                <c:pt idx="83">
                  <c:v>3.4445684607438003</c:v>
                </c:pt>
                <c:pt idx="84">
                  <c:v>3.5280684607438015</c:v>
                </c:pt>
                <c:pt idx="85">
                  <c:v>3.6125684607438004</c:v>
                </c:pt>
                <c:pt idx="86">
                  <c:v>3.698068460743801</c:v>
                </c:pt>
                <c:pt idx="87">
                  <c:v>3.7845684607438019</c:v>
                </c:pt>
                <c:pt idx="88">
                  <c:v>3.8720684607438001</c:v>
                </c:pt>
                <c:pt idx="89">
                  <c:v>3.9605684607438016</c:v>
                </c:pt>
                <c:pt idx="90">
                  <c:v>4.0500684607438018</c:v>
                </c:pt>
                <c:pt idx="91">
                  <c:v>4.1405684607438014</c:v>
                </c:pt>
                <c:pt idx="92">
                  <c:v>4.2320684607438004</c:v>
                </c:pt>
                <c:pt idx="93">
                  <c:v>4.3245684607438015</c:v>
                </c:pt>
                <c:pt idx="94">
                  <c:v>4.4180684607438012</c:v>
                </c:pt>
                <c:pt idx="95">
                  <c:v>4.5125684607438004</c:v>
                </c:pt>
                <c:pt idx="96">
                  <c:v>4.6080684607438016</c:v>
                </c:pt>
                <c:pt idx="97">
                  <c:v>4.7045684607437988</c:v>
                </c:pt>
                <c:pt idx="98">
                  <c:v>4.8020684607438007</c:v>
                </c:pt>
                <c:pt idx="99">
                  <c:v>4.9005684607438011</c:v>
                </c:pt>
                <c:pt idx="100">
                  <c:v>5.000068460743802</c:v>
                </c:pt>
                <c:pt idx="101">
                  <c:v>5.1005684607438013</c:v>
                </c:pt>
                <c:pt idx="102">
                  <c:v>5.2020684607438028</c:v>
                </c:pt>
                <c:pt idx="103">
                  <c:v>5.3045684607438019</c:v>
                </c:pt>
                <c:pt idx="104">
                  <c:v>5.4080684607438014</c:v>
                </c:pt>
                <c:pt idx="105">
                  <c:v>5.5125684607438021</c:v>
                </c:pt>
                <c:pt idx="106">
                  <c:v>5.6180684607438005</c:v>
                </c:pt>
                <c:pt idx="107">
                  <c:v>5.724568460743801</c:v>
                </c:pt>
                <c:pt idx="108">
                  <c:v>5.8320684607438027</c:v>
                </c:pt>
                <c:pt idx="109">
                  <c:v>5.9405684607438021</c:v>
                </c:pt>
                <c:pt idx="110">
                  <c:v>6.0500684607438018</c:v>
                </c:pt>
                <c:pt idx="111">
                  <c:v>6.1605684607438018</c:v>
                </c:pt>
                <c:pt idx="112">
                  <c:v>6.2720684607438013</c:v>
                </c:pt>
                <c:pt idx="113">
                  <c:v>6.3845684607438011</c:v>
                </c:pt>
                <c:pt idx="114">
                  <c:v>6.4980684607438022</c:v>
                </c:pt>
                <c:pt idx="115">
                  <c:v>6.6125684607438018</c:v>
                </c:pt>
                <c:pt idx="116">
                  <c:v>6.7280684607438017</c:v>
                </c:pt>
                <c:pt idx="117">
                  <c:v>6.8445684607438011</c:v>
                </c:pt>
                <c:pt idx="118">
                  <c:v>6.9620684607438017</c:v>
                </c:pt>
                <c:pt idx="119">
                  <c:v>7.0805684607438018</c:v>
                </c:pt>
                <c:pt idx="120">
                  <c:v>7.2000684607438004</c:v>
                </c:pt>
                <c:pt idx="121">
                  <c:v>7.320568460743802</c:v>
                </c:pt>
                <c:pt idx="122">
                  <c:v>7.4420684607437995</c:v>
                </c:pt>
                <c:pt idx="123">
                  <c:v>7.5645684607438026</c:v>
                </c:pt>
                <c:pt idx="124">
                  <c:v>7.6880684607438008</c:v>
                </c:pt>
                <c:pt idx="125">
                  <c:v>7.8125684607438011</c:v>
                </c:pt>
                <c:pt idx="126">
                  <c:v>7.9380684607438017</c:v>
                </c:pt>
                <c:pt idx="127">
                  <c:v>8.0645684607438</c:v>
                </c:pt>
                <c:pt idx="128">
                  <c:v>8.1920684607438012</c:v>
                </c:pt>
                <c:pt idx="129">
                  <c:v>8.3205684607437984</c:v>
                </c:pt>
                <c:pt idx="130">
                  <c:v>8.4500684607438021</c:v>
                </c:pt>
                <c:pt idx="131">
                  <c:v>8.5805684607438018</c:v>
                </c:pt>
                <c:pt idx="132">
                  <c:v>8.7120684607438026</c:v>
                </c:pt>
                <c:pt idx="133">
                  <c:v>8.8445684607438011</c:v>
                </c:pt>
                <c:pt idx="134">
                  <c:v>8.9780684607437955</c:v>
                </c:pt>
                <c:pt idx="135">
                  <c:v>9.1125684607438018</c:v>
                </c:pt>
                <c:pt idx="136">
                  <c:v>9.248068460743804</c:v>
                </c:pt>
                <c:pt idx="137">
                  <c:v>9.3845684607437985</c:v>
                </c:pt>
                <c:pt idx="138">
                  <c:v>9.5220684607437978</c:v>
                </c:pt>
                <c:pt idx="139">
                  <c:v>9.6605684607438036</c:v>
                </c:pt>
                <c:pt idx="140">
                  <c:v>9.8000684607438</c:v>
                </c:pt>
                <c:pt idx="141">
                  <c:v>9.9405684607437994</c:v>
                </c:pt>
                <c:pt idx="142">
                  <c:v>10.082068460743802</c:v>
                </c:pt>
                <c:pt idx="143">
                  <c:v>10.224568460743804</c:v>
                </c:pt>
                <c:pt idx="144">
                  <c:v>10.368068460743803</c:v>
                </c:pt>
                <c:pt idx="145">
                  <c:v>10.512568460743797</c:v>
                </c:pt>
                <c:pt idx="146">
                  <c:v>10.658068460743802</c:v>
                </c:pt>
                <c:pt idx="147">
                  <c:v>10.8045684607438</c:v>
                </c:pt>
                <c:pt idx="148">
                  <c:v>10.952068460743797</c:v>
                </c:pt>
                <c:pt idx="149">
                  <c:v>11.1005684607438</c:v>
                </c:pt>
                <c:pt idx="150">
                  <c:v>11.250068460743801</c:v>
                </c:pt>
              </c:numCache>
            </c:numRef>
          </c:yVal>
          <c:smooth val="1"/>
          <c:extLst>
            <c:ext xmlns:c16="http://schemas.microsoft.com/office/drawing/2014/chart" uri="{C3380CC4-5D6E-409C-BE32-E72D297353CC}">
              <c16:uniqueId val="{00000003-7DAF-432D-B540-E0424C156B7E}"/>
            </c:ext>
          </c:extLst>
        </c:ser>
        <c:dLbls>
          <c:showLegendKey val="0"/>
          <c:showVal val="0"/>
          <c:showCatName val="0"/>
          <c:showSerName val="0"/>
          <c:showPercent val="0"/>
          <c:showBubbleSize val="0"/>
        </c:dLbls>
        <c:axId val="522502144"/>
        <c:axId val="522491776"/>
      </c:scatterChart>
      <c:valAx>
        <c:axId val="522488064"/>
        <c:scaling>
          <c:orientation val="minMax"/>
        </c:scaling>
        <c:delete val="0"/>
        <c:axPos val="b"/>
        <c:majorGridlines/>
        <c:numFmt formatCode="General" sourceLinked="1"/>
        <c:majorTickMark val="out"/>
        <c:minorTickMark val="none"/>
        <c:tickLblPos val="nextTo"/>
        <c:crossAx val="522489856"/>
        <c:crosses val="autoZero"/>
        <c:crossBetween val="midCat"/>
      </c:valAx>
      <c:valAx>
        <c:axId val="522489856"/>
        <c:scaling>
          <c:orientation val="minMax"/>
          <c:max val="100"/>
          <c:min val="6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522488064"/>
        <c:crosses val="autoZero"/>
        <c:crossBetween val="midCat"/>
      </c:valAx>
      <c:valAx>
        <c:axId val="522491776"/>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522502144"/>
        <c:crosses val="max"/>
        <c:crossBetween val="midCat"/>
      </c:valAx>
      <c:valAx>
        <c:axId val="522502144"/>
        <c:scaling>
          <c:orientation val="minMax"/>
        </c:scaling>
        <c:delete val="1"/>
        <c:axPos val="b"/>
        <c:title>
          <c:tx>
            <c:rich>
              <a:bodyPr/>
              <a:lstStyle/>
              <a:p>
                <a:pPr>
                  <a:defRPr/>
                </a:pPr>
                <a:r>
                  <a:rPr lang="en-US"/>
                  <a:t>Loac</a:t>
                </a:r>
                <a:r>
                  <a:rPr lang="en-US" baseline="0"/>
                  <a:t> Current (A)</a:t>
                </a:r>
                <a:endParaRPr lang="en-US"/>
              </a:p>
            </c:rich>
          </c:tx>
          <c:overlay val="0"/>
        </c:title>
        <c:numFmt formatCode="General" sourceLinked="1"/>
        <c:majorTickMark val="out"/>
        <c:minorTickMark val="none"/>
        <c:tickLblPos val="nextTo"/>
        <c:crossAx val="522491776"/>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Efficiency</a:t>
            </a:r>
          </a:p>
        </c:rich>
      </c:tx>
      <c:overlay val="0"/>
    </c:title>
    <c:autoTitleDeleted val="0"/>
    <c:plotArea>
      <c:layout/>
      <c:scatterChart>
        <c:scatterStyle val="smoothMarker"/>
        <c:varyColors val="0"/>
        <c:ser>
          <c:idx val="0"/>
          <c:order val="0"/>
          <c:tx>
            <c:v>Eff</c:v>
          </c:tx>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Eff_vs_IOUT!$AW$7:$AW$157</c:f>
              <c:numCache>
                <c:formatCode>General</c:formatCode>
                <c:ptCount val="151"/>
                <c:pt idx="0">
                  <c:v>0</c:v>
                </c:pt>
                <c:pt idx="1">
                  <c:v>62.104873237283996</c:v>
                </c:pt>
                <c:pt idx="2">
                  <c:v>73.846034483469126</c:v>
                </c:pt>
                <c:pt idx="3">
                  <c:v>78.451995931071281</c:v>
                </c:pt>
                <c:pt idx="4">
                  <c:v>80.691527498938953</c:v>
                </c:pt>
                <c:pt idx="5">
                  <c:v>81.862482261035197</c:v>
                </c:pt>
                <c:pt idx="6">
                  <c:v>82.463381103358842</c:v>
                </c:pt>
                <c:pt idx="7">
                  <c:v>82.726590305513469</c:v>
                </c:pt>
                <c:pt idx="8">
                  <c:v>82.774961277951775</c:v>
                </c:pt>
                <c:pt idx="9">
                  <c:v>82.679498129763587</c:v>
                </c:pt>
                <c:pt idx="10">
                  <c:v>82.484059636822394</c:v>
                </c:pt>
                <c:pt idx="11">
                  <c:v>82.217168608537179</c:v>
                </c:pt>
                <c:pt idx="12">
                  <c:v>81.898150824935314</c:v>
                </c:pt>
                <c:pt idx="13">
                  <c:v>81.540544643059349</c:v>
                </c:pt>
                <c:pt idx="14">
                  <c:v>81.154099248831287</c:v>
                </c:pt>
                <c:pt idx="15">
                  <c:v>80.745999109126657</c:v>
                </c:pt>
                <c:pt idx="16">
                  <c:v>80.321642986239752</c:v>
                </c:pt>
                <c:pt idx="17">
                  <c:v>79.885155734005082</c:v>
                </c:pt>
                <c:pt idx="18">
                  <c:v>79.439734010210927</c:v>
                </c:pt>
                <c:pt idx="19">
                  <c:v>78.987885540137171</c:v>
                </c:pt>
                <c:pt idx="20">
                  <c:v>78.531598289231766</c:v>
                </c:pt>
                <c:pt idx="21">
                  <c:v>78.072462371728037</c:v>
                </c:pt>
                <c:pt idx="22">
                  <c:v>77.61175940424549</c:v>
                </c:pt>
                <c:pt idx="23">
                  <c:v>77.150529005123786</c:v>
                </c:pt>
                <c:pt idx="24">
                  <c:v>76.689618972032804</c:v>
                </c:pt>
                <c:pt idx="25">
                  <c:v>76.229723620567398</c:v>
                </c:pt>
                <c:pt idx="26">
                  <c:v>75.771413412981261</c:v>
                </c:pt>
                <c:pt idx="27">
                  <c:v>75.315158095709705</c:v>
                </c:pt>
                <c:pt idx="28">
                  <c:v>74.861344941400716</c:v>
                </c:pt>
                <c:pt idx="29">
                  <c:v>74.410293258316713</c:v>
                </c:pt>
                <c:pt idx="30">
                  <c:v>73.962266024863084</c:v>
                </c:pt>
                <c:pt idx="31">
                  <c:v>73.517479289079731</c:v>
                </c:pt>
                <c:pt idx="32">
                  <c:v>73.076109815368909</c:v>
                </c:pt>
                <c:pt idx="33">
                  <c:v>72.638301345508467</c:v>
                </c:pt>
                <c:pt idx="34">
                  <c:v>72.204169755839004</c:v>
                </c:pt>
                <c:pt idx="35">
                  <c:v>71.773807328947711</c:v>
                </c:pt>
                <c:pt idx="36">
                  <c:v>71.347286310283366</c:v>
                </c:pt>
                <c:pt idx="37">
                  <c:v>70.924661883744179</c:v>
                </c:pt>
                <c:pt idx="38">
                  <c:v>70.505974672398665</c:v>
                </c:pt>
                <c:pt idx="39">
                  <c:v>70.091252848971237</c:v>
                </c:pt>
                <c:pt idx="40">
                  <c:v>69.680513923983085</c:v>
                </c:pt>
                <c:pt idx="41">
                  <c:v>69.273766266329559</c:v>
                </c:pt>
                <c:pt idx="42">
                  <c:v>68.871010400742563</c:v>
                </c:pt>
                <c:pt idx="43">
                  <c:v>68.472240118394581</c:v>
                </c:pt>
                <c:pt idx="44">
                  <c:v>68.077443430364823</c:v>
                </c:pt>
                <c:pt idx="45">
                  <c:v>67.686603388447423</c:v>
                </c:pt>
                <c:pt idx="46">
                  <c:v>67.299698793555251</c:v>
                </c:pt>
                <c:pt idx="47">
                  <c:v>66.916704808548388</c:v>
                </c:pt>
                <c:pt idx="48">
                  <c:v>66.53759348952849</c:v>
                </c:pt>
                <c:pt idx="49">
                  <c:v>66.162334247358785</c:v>
                </c:pt>
                <c:pt idx="50">
                  <c:v>65.790894249296613</c:v>
                </c:pt>
                <c:pt idx="51">
                  <c:v>65.423238769079489</c:v>
                </c:pt>
                <c:pt idx="52">
                  <c:v>65.059331492525402</c:v>
                </c:pt>
                <c:pt idx="53">
                  <c:v>64.699134784644016</c:v>
                </c:pt>
                <c:pt idx="54">
                  <c:v>64.342609923367178</c:v>
                </c:pt>
                <c:pt idx="55">
                  <c:v>63.989717304263358</c:v>
                </c:pt>
                <c:pt idx="56">
                  <c:v>63.640416619976023</c:v>
                </c:pt>
                <c:pt idx="57">
                  <c:v>63.294667017598904</c:v>
                </c:pt>
                <c:pt idx="58">
                  <c:v>62.952427236756094</c:v>
                </c:pt>
                <c:pt idx="59">
                  <c:v>62.613655730776898</c:v>
                </c:pt>
                <c:pt idx="60">
                  <c:v>62.278310773034342</c:v>
                </c:pt>
                <c:pt idx="61">
                  <c:v>61.946350550242165</c:v>
                </c:pt>
                <c:pt idx="62">
                  <c:v>61.617733244270866</c:v>
                </c:pt>
                <c:pt idx="63">
                  <c:v>61.292417103842311</c:v>
                </c:pt>
                <c:pt idx="64">
                  <c:v>60.970360507290323</c:v>
                </c:pt>
                <c:pt idx="65">
                  <c:v>60.651522017425187</c:v>
                </c:pt>
                <c:pt idx="66">
                  <c:v>60.335860429412179</c:v>
                </c:pt>
                <c:pt idx="67">
                  <c:v>60.023334812463055</c:v>
                </c:pt>
                <c:pt idx="68">
                  <c:v>59.713904546042386</c:v>
                </c:pt>
                <c:pt idx="69">
                  <c:v>59.40752935120819</c:v>
                </c:pt>
                <c:pt idx="70">
                  <c:v>59.104169317631637</c:v>
                </c:pt>
                <c:pt idx="71">
                  <c:v>58.803784926779009</c:v>
                </c:pt>
                <c:pt idx="72">
                  <c:v>58.506337071681273</c:v>
                </c:pt>
                <c:pt idx="73">
                  <c:v>58.211787073670173</c:v>
                </c:pt>
                <c:pt idx="74">
                  <c:v>57.920096696415136</c:v>
                </c:pt>
                <c:pt idx="75">
                  <c:v>57.631228157559008</c:v>
                </c:pt>
                <c:pt idx="76">
                  <c:v>57.345144138217272</c:v>
                </c:pt>
                <c:pt idx="77">
                  <c:v>57.061807790575735</c:v>
                </c:pt>
                <c:pt idx="78">
                  <c:v>56.781182743797252</c:v>
                </c:pt>
                <c:pt idx="79">
                  <c:v>56.503233108423942</c:v>
                </c:pt>
                <c:pt idx="80">
                  <c:v>56.227923479442296</c:v>
                </c:pt>
                <c:pt idx="81">
                  <c:v>55.955218938160286</c:v>
                </c:pt>
                <c:pt idx="82">
                  <c:v>55.685085053029894</c:v>
                </c:pt>
                <c:pt idx="83">
                  <c:v>55.417487879534512</c:v>
                </c:pt>
                <c:pt idx="84">
                  <c:v>55.152393959247945</c:v>
                </c:pt>
                <c:pt idx="85">
                  <c:v>54.889770318161048</c:v>
                </c:pt>
                <c:pt idx="86">
                  <c:v>54.629584464361393</c:v>
                </c:pt>
                <c:pt idx="87">
                  <c:v>54.371804385143619</c:v>
                </c:pt>
                <c:pt idx="88">
                  <c:v>54.116398543618907</c:v>
                </c:pt>
                <c:pt idx="89">
                  <c:v>53.863335874885777</c:v>
                </c:pt>
                <c:pt idx="90">
                  <c:v>53.612585781818268</c:v>
                </c:pt>
                <c:pt idx="91">
                  <c:v>53.364118130520843</c:v>
                </c:pt>
                <c:pt idx="92">
                  <c:v>53.117903245495434</c:v>
                </c:pt>
                <c:pt idx="93">
                  <c:v>52.873911904560757</c:v>
                </c:pt>
                <c:pt idx="94">
                  <c:v>52.632115333560016</c:v>
                </c:pt>
                <c:pt idx="95">
                  <c:v>52.392485200890015</c:v>
                </c:pt>
                <c:pt idx="96">
                  <c:v>52.154993611880208</c:v>
                </c:pt>
                <c:pt idx="97">
                  <c:v>51.919613103048476</c:v>
                </c:pt>
                <c:pt idx="98">
                  <c:v>51.686316636257082</c:v>
                </c:pt>
                <c:pt idx="99">
                  <c:v>51.455077592789763</c:v>
                </c:pt>
                <c:pt idx="100">
                  <c:v>51.225869767368962</c:v>
                </c:pt>
                <c:pt idx="101">
                  <c:v>50.99866736213032</c:v>
                </c:pt>
                <c:pt idx="102">
                  <c:v>50.773444980569529</c:v>
                </c:pt>
                <c:pt idx="103">
                  <c:v>50.550177621475001</c:v>
                </c:pt>
                <c:pt idx="104">
                  <c:v>50.328840672858789</c:v>
                </c:pt>
                <c:pt idx="105">
                  <c:v>50.109409905896243</c:v>
                </c:pt>
                <c:pt idx="106">
                  <c:v>49.891861468884294</c:v>
                </c:pt>
                <c:pt idx="107">
                  <c:v>49.676171881226942</c:v>
                </c:pt>
                <c:pt idx="108">
                  <c:v>49.46231802745524</c:v>
                </c:pt>
                <c:pt idx="109">
                  <c:v>49.250277151288977</c:v>
                </c:pt>
                <c:pt idx="110">
                  <c:v>49.04002684974553</c:v>
                </c:pt>
                <c:pt idx="111">
                  <c:v>48.831545067301398</c:v>
                </c:pt>
                <c:pt idx="112">
                  <c:v>48.624810090110891</c:v>
                </c:pt>
                <c:pt idx="113">
                  <c:v>48.419800540285976</c:v>
                </c:pt>
                <c:pt idx="114">
                  <c:v>48.216495370240573</c:v>
                </c:pt>
                <c:pt idx="115">
                  <c:v>48.014873857102685</c:v>
                </c:pt>
                <c:pt idx="116">
                  <c:v>47.814915597196283</c:v>
                </c:pt>
                <c:pt idx="117">
                  <c:v>47.61660050059573</c:v>
                </c:pt>
                <c:pt idx="118">
                  <c:v>47.419908785754004</c:v>
                </c:pt>
                <c:pt idx="119">
                  <c:v>47.224820974206651</c:v>
                </c:pt>
                <c:pt idx="120">
                  <c:v>47.031317885352223</c:v>
                </c:pt>
                <c:pt idx="121">
                  <c:v>46.839380631310448</c:v>
                </c:pt>
                <c:pt idx="122">
                  <c:v>46.648990611858693</c:v>
                </c:pt>
                <c:pt idx="123">
                  <c:v>46.460129509447157</c:v>
                </c:pt>
                <c:pt idx="124">
                  <c:v>46.272779284293222</c:v>
                </c:pt>
                <c:pt idx="125">
                  <c:v>46.086922169554882</c:v>
                </c:pt>
                <c:pt idx="126">
                  <c:v>45.902540666583512</c:v>
                </c:pt>
                <c:pt idx="127">
                  <c:v>45.719617540255406</c:v>
                </c:pt>
                <c:pt idx="128">
                  <c:v>45.538135814382201</c:v>
                </c:pt>
                <c:pt idx="129">
                  <c:v>45.358078767199522</c:v>
                </c:pt>
                <c:pt idx="130">
                  <c:v>45.179429926933409</c:v>
                </c:pt>
                <c:pt idx="131">
                  <c:v>45.002173067444062</c:v>
                </c:pt>
                <c:pt idx="132">
                  <c:v>44.826292203946025</c:v>
                </c:pt>
                <c:pt idx="133">
                  <c:v>44.651771588804294</c:v>
                </c:pt>
                <c:pt idx="134">
                  <c:v>44.478595707405447</c:v>
                </c:pt>
                <c:pt idx="135">
                  <c:v>44.306749274102962</c:v>
                </c:pt>
                <c:pt idx="136">
                  <c:v>44.136217228235978</c:v>
                </c:pt>
                <c:pt idx="137">
                  <c:v>43.966984730220283</c:v>
                </c:pt>
                <c:pt idx="138">
                  <c:v>43.799037157710941</c:v>
                </c:pt>
                <c:pt idx="139">
                  <c:v>43.632360101835317</c:v>
                </c:pt>
                <c:pt idx="140">
                  <c:v>43.466939363495626</c:v>
                </c:pt>
                <c:pt idx="141">
                  <c:v>43.302760949739863</c:v>
                </c:pt>
                <c:pt idx="142">
                  <c:v>43.139811070200217</c:v>
                </c:pt>
                <c:pt idx="143">
                  <c:v>42.978076133597902</c:v>
                </c:pt>
                <c:pt idx="144">
                  <c:v>42.81754274431313</c:v>
                </c:pt>
                <c:pt idx="145">
                  <c:v>42.658197699019567</c:v>
                </c:pt>
                <c:pt idx="146">
                  <c:v>42.500027983381734</c:v>
                </c:pt>
                <c:pt idx="147">
                  <c:v>42.343020768814746</c:v>
                </c:pt>
                <c:pt idx="148">
                  <c:v>42.187163409304887</c:v>
                </c:pt>
                <c:pt idx="149">
                  <c:v>42.032443438290308</c:v>
                </c:pt>
                <c:pt idx="150">
                  <c:v>41.87884856560057</c:v>
                </c:pt>
              </c:numCache>
            </c:numRef>
          </c:yVal>
          <c:smooth val="0"/>
          <c:extLst>
            <c:ext xmlns:c16="http://schemas.microsoft.com/office/drawing/2014/chart" uri="{C3380CC4-5D6E-409C-BE32-E72D297353CC}">
              <c16:uniqueId val="{00000000-F850-4D08-8BFC-748D436DD73B}"/>
            </c:ext>
          </c:extLst>
        </c:ser>
        <c:dLbls>
          <c:showLegendKey val="0"/>
          <c:showVal val="0"/>
          <c:showCatName val="0"/>
          <c:showSerName val="0"/>
          <c:showPercent val="0"/>
          <c:showBubbleSize val="0"/>
        </c:dLbls>
        <c:axId val="224130176"/>
        <c:axId val="224131712"/>
      </c:scatterChart>
      <c:scatterChart>
        <c:scatterStyle val="smoothMarker"/>
        <c:varyColors val="0"/>
        <c:ser>
          <c:idx val="1"/>
          <c:order val="1"/>
          <c:tx>
            <c:v>MOSFET</c:v>
          </c:tx>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Eff_vs_IOUT!$AI$7:$AI$157</c:f>
              <c:numCache>
                <c:formatCode>General</c:formatCode>
                <c:ptCount val="151"/>
                <c:pt idx="0">
                  <c:v>0</c:v>
                </c:pt>
                <c:pt idx="1">
                  <c:v>0.11428413288330619</c:v>
                </c:pt>
                <c:pt idx="2">
                  <c:v>0.24485529812198431</c:v>
                </c:pt>
                <c:pt idx="3">
                  <c:v>0.39291046336066238</c:v>
                </c:pt>
                <c:pt idx="4">
                  <c:v>0.55844962859934055</c:v>
                </c:pt>
                <c:pt idx="5">
                  <c:v>0.74147279383801856</c:v>
                </c:pt>
                <c:pt idx="6">
                  <c:v>0.94197995907669663</c:v>
                </c:pt>
                <c:pt idx="7">
                  <c:v>1.1599711243153745</c:v>
                </c:pt>
                <c:pt idx="8">
                  <c:v>1.3954462895540529</c:v>
                </c:pt>
                <c:pt idx="9">
                  <c:v>1.6484054547927312</c:v>
                </c:pt>
                <c:pt idx="10">
                  <c:v>1.9188486200314092</c:v>
                </c:pt>
                <c:pt idx="11">
                  <c:v>2.2067757852700862</c:v>
                </c:pt>
                <c:pt idx="12">
                  <c:v>2.5121869505087653</c:v>
                </c:pt>
                <c:pt idx="13">
                  <c:v>2.8350821157474435</c:v>
                </c:pt>
                <c:pt idx="14">
                  <c:v>3.1754612809861218</c:v>
                </c:pt>
                <c:pt idx="15">
                  <c:v>3.5333244462247979</c:v>
                </c:pt>
                <c:pt idx="16">
                  <c:v>3.9086716114634776</c:v>
                </c:pt>
                <c:pt idx="17">
                  <c:v>4.3015027767021561</c:v>
                </c:pt>
                <c:pt idx="18">
                  <c:v>4.7118179419408346</c:v>
                </c:pt>
                <c:pt idx="19">
                  <c:v>5.1396171071795109</c:v>
                </c:pt>
                <c:pt idx="20">
                  <c:v>5.5849002724181904</c:v>
                </c:pt>
                <c:pt idx="21">
                  <c:v>6.0476674376568678</c:v>
                </c:pt>
                <c:pt idx="22">
                  <c:v>6.5279186028955429</c:v>
                </c:pt>
                <c:pt idx="23">
                  <c:v>7.0256537681342239</c:v>
                </c:pt>
                <c:pt idx="24">
                  <c:v>7.540872933372901</c:v>
                </c:pt>
                <c:pt idx="25">
                  <c:v>8.0735760986115803</c:v>
                </c:pt>
                <c:pt idx="26">
                  <c:v>8.6237632638502593</c:v>
                </c:pt>
                <c:pt idx="27">
                  <c:v>9.191434429088936</c:v>
                </c:pt>
                <c:pt idx="28">
                  <c:v>9.7765895943276142</c:v>
                </c:pt>
                <c:pt idx="29">
                  <c:v>10.379228759566294</c:v>
                </c:pt>
                <c:pt idx="30">
                  <c:v>10.999351924804969</c:v>
                </c:pt>
                <c:pt idx="31">
                  <c:v>11.636959090043648</c:v>
                </c:pt>
                <c:pt idx="32">
                  <c:v>12.29205025528233</c:v>
                </c:pt>
                <c:pt idx="33">
                  <c:v>12.964625420521006</c:v>
                </c:pt>
                <c:pt idx="34">
                  <c:v>13.654684585759684</c:v>
                </c:pt>
                <c:pt idx="35">
                  <c:v>14.362227750998363</c:v>
                </c:pt>
                <c:pt idx="36">
                  <c:v>15.087254916237042</c:v>
                </c:pt>
                <c:pt idx="37">
                  <c:v>15.829766081475711</c:v>
                </c:pt>
                <c:pt idx="38">
                  <c:v>16.589761246714389</c:v>
                </c:pt>
                <c:pt idx="39">
                  <c:v>17.36724041195308</c:v>
                </c:pt>
                <c:pt idx="40">
                  <c:v>18.162203577191754</c:v>
                </c:pt>
                <c:pt idx="41">
                  <c:v>18.97465074243043</c:v>
                </c:pt>
                <c:pt idx="42">
                  <c:v>19.804581907669107</c:v>
                </c:pt>
                <c:pt idx="43">
                  <c:v>20.65199707290779</c:v>
                </c:pt>
                <c:pt idx="44">
                  <c:v>21.516896238146458</c:v>
                </c:pt>
                <c:pt idx="45">
                  <c:v>22.399279403385144</c:v>
                </c:pt>
                <c:pt idx="46">
                  <c:v>23.299146568623819</c:v>
                </c:pt>
                <c:pt idx="47">
                  <c:v>24.2164977338625</c:v>
                </c:pt>
                <c:pt idx="48">
                  <c:v>25.151332899101178</c:v>
                </c:pt>
                <c:pt idx="49">
                  <c:v>26.103652064339858</c:v>
                </c:pt>
                <c:pt idx="50">
                  <c:v>27.073455229578528</c:v>
                </c:pt>
                <c:pt idx="51">
                  <c:v>28.060742394817215</c:v>
                </c:pt>
                <c:pt idx="52">
                  <c:v>29.065513560055891</c:v>
                </c:pt>
                <c:pt idx="53">
                  <c:v>30.08776872529457</c:v>
                </c:pt>
                <c:pt idx="54">
                  <c:v>31.127507890533245</c:v>
                </c:pt>
                <c:pt idx="55">
                  <c:v>32.18473105577192</c:v>
                </c:pt>
                <c:pt idx="56">
                  <c:v>33.259438221010612</c:v>
                </c:pt>
                <c:pt idx="57">
                  <c:v>34.351629386249279</c:v>
                </c:pt>
                <c:pt idx="58">
                  <c:v>35.461304551487963</c:v>
                </c:pt>
                <c:pt idx="59">
                  <c:v>36.588463716726636</c:v>
                </c:pt>
                <c:pt idx="60">
                  <c:v>37.733106881965305</c:v>
                </c:pt>
                <c:pt idx="61">
                  <c:v>38.895234047203985</c:v>
                </c:pt>
                <c:pt idx="62">
                  <c:v>40.074845212442668</c:v>
                </c:pt>
                <c:pt idx="63">
                  <c:v>41.271940377681354</c:v>
                </c:pt>
                <c:pt idx="64">
                  <c:v>42.486519542920036</c:v>
                </c:pt>
                <c:pt idx="65">
                  <c:v>43.718582708158699</c:v>
                </c:pt>
                <c:pt idx="66">
                  <c:v>44.968129873397388</c:v>
                </c:pt>
                <c:pt idx="67">
                  <c:v>46.235161038636029</c:v>
                </c:pt>
                <c:pt idx="68">
                  <c:v>47.519676203874752</c:v>
                </c:pt>
                <c:pt idx="69">
                  <c:v>48.821675369113393</c:v>
                </c:pt>
                <c:pt idx="70">
                  <c:v>50.141158534352094</c:v>
                </c:pt>
                <c:pt idx="71">
                  <c:v>51.478125699590777</c:v>
                </c:pt>
                <c:pt idx="72">
                  <c:v>52.832576864829456</c:v>
                </c:pt>
                <c:pt idx="73">
                  <c:v>54.204512030068138</c:v>
                </c:pt>
                <c:pt idx="74">
                  <c:v>55.593931195306801</c:v>
                </c:pt>
                <c:pt idx="75">
                  <c:v>57.000834360545497</c:v>
                </c:pt>
                <c:pt idx="76">
                  <c:v>58.425221525784139</c:v>
                </c:pt>
                <c:pt idx="77">
                  <c:v>59.867092691022847</c:v>
                </c:pt>
                <c:pt idx="78">
                  <c:v>61.326447856261517</c:v>
                </c:pt>
                <c:pt idx="79">
                  <c:v>62.803287021500211</c:v>
                </c:pt>
                <c:pt idx="80">
                  <c:v>64.297610186738879</c:v>
                </c:pt>
                <c:pt idx="81">
                  <c:v>65.809417351977515</c:v>
                </c:pt>
                <c:pt idx="82">
                  <c:v>67.338708517216233</c:v>
                </c:pt>
                <c:pt idx="83">
                  <c:v>68.885483682454904</c:v>
                </c:pt>
                <c:pt idx="84">
                  <c:v>70.449742847693599</c:v>
                </c:pt>
                <c:pt idx="85">
                  <c:v>72.031486012932234</c:v>
                </c:pt>
                <c:pt idx="86">
                  <c:v>73.63071317817095</c:v>
                </c:pt>
                <c:pt idx="87">
                  <c:v>75.247424343409648</c:v>
                </c:pt>
                <c:pt idx="88">
                  <c:v>76.881619508648285</c:v>
                </c:pt>
                <c:pt idx="89">
                  <c:v>78.533298673886975</c:v>
                </c:pt>
                <c:pt idx="90">
                  <c:v>80.202461839125647</c:v>
                </c:pt>
                <c:pt idx="91">
                  <c:v>81.889109004364329</c:v>
                </c:pt>
                <c:pt idx="92">
                  <c:v>83.593240169603007</c:v>
                </c:pt>
                <c:pt idx="93">
                  <c:v>85.314855334841681</c:v>
                </c:pt>
                <c:pt idx="94">
                  <c:v>87.053954500080366</c:v>
                </c:pt>
                <c:pt idx="95">
                  <c:v>88.810537665319046</c:v>
                </c:pt>
                <c:pt idx="96">
                  <c:v>90.584604830557709</c:v>
                </c:pt>
                <c:pt idx="97">
                  <c:v>92.376155995796381</c:v>
                </c:pt>
                <c:pt idx="98">
                  <c:v>94.185191161035107</c:v>
                </c:pt>
                <c:pt idx="99">
                  <c:v>96.011710326273757</c:v>
                </c:pt>
                <c:pt idx="100">
                  <c:v>97.855713491512418</c:v>
                </c:pt>
                <c:pt idx="101">
                  <c:v>99.717200656751089</c:v>
                </c:pt>
                <c:pt idx="102">
                  <c:v>101.59617182198977</c:v>
                </c:pt>
                <c:pt idx="103">
                  <c:v>103.4926269872285</c:v>
                </c:pt>
                <c:pt idx="104">
                  <c:v>105.40656615246715</c:v>
                </c:pt>
                <c:pt idx="105">
                  <c:v>107.33798931770585</c:v>
                </c:pt>
                <c:pt idx="106">
                  <c:v>109.28689648294451</c:v>
                </c:pt>
                <c:pt idx="107">
                  <c:v>111.25328764818319</c:v>
                </c:pt>
                <c:pt idx="108">
                  <c:v>113.23716281342188</c:v>
                </c:pt>
                <c:pt idx="109">
                  <c:v>115.23852197866054</c:v>
                </c:pt>
                <c:pt idx="110">
                  <c:v>117.25736514389918</c:v>
                </c:pt>
                <c:pt idx="111">
                  <c:v>119.29369230913787</c:v>
                </c:pt>
                <c:pt idx="112">
                  <c:v>121.34750347437657</c:v>
                </c:pt>
                <c:pt idx="113">
                  <c:v>123.4187986396152</c:v>
                </c:pt>
                <c:pt idx="114">
                  <c:v>125.50757780485391</c:v>
                </c:pt>
                <c:pt idx="115">
                  <c:v>127.61384097009261</c:v>
                </c:pt>
                <c:pt idx="116">
                  <c:v>129.73758813533132</c:v>
                </c:pt>
                <c:pt idx="117">
                  <c:v>131.87881930056997</c:v>
                </c:pt>
                <c:pt idx="118">
                  <c:v>134.03753446580865</c:v>
                </c:pt>
                <c:pt idx="119">
                  <c:v>136.21373363104729</c:v>
                </c:pt>
                <c:pt idx="120">
                  <c:v>138.40741679628593</c:v>
                </c:pt>
                <c:pt idx="121">
                  <c:v>140.61858396152468</c:v>
                </c:pt>
                <c:pt idx="122">
                  <c:v>142.84723512676334</c:v>
                </c:pt>
                <c:pt idx="123">
                  <c:v>145.09337029200205</c:v>
                </c:pt>
                <c:pt idx="124">
                  <c:v>147.3569894572407</c:v>
                </c:pt>
                <c:pt idx="125">
                  <c:v>149.63809262247943</c:v>
                </c:pt>
                <c:pt idx="126">
                  <c:v>151.93667978771808</c:v>
                </c:pt>
                <c:pt idx="127">
                  <c:v>154.25275095295675</c:v>
                </c:pt>
                <c:pt idx="128">
                  <c:v>156.58630611819547</c:v>
                </c:pt>
                <c:pt idx="129">
                  <c:v>158.93734528343407</c:v>
                </c:pt>
                <c:pt idx="130">
                  <c:v>161.30586844867278</c:v>
                </c:pt>
                <c:pt idx="131">
                  <c:v>163.69187561391146</c:v>
                </c:pt>
                <c:pt idx="132">
                  <c:v>166.09536677915017</c:v>
                </c:pt>
                <c:pt idx="133">
                  <c:v>168.51634194438881</c:v>
                </c:pt>
                <c:pt idx="134">
                  <c:v>170.95480110962745</c:v>
                </c:pt>
                <c:pt idx="135">
                  <c:v>173.41074427486623</c:v>
                </c:pt>
                <c:pt idx="136">
                  <c:v>175.88417144010486</c:v>
                </c:pt>
                <c:pt idx="137">
                  <c:v>178.37508260534349</c:v>
                </c:pt>
                <c:pt idx="138">
                  <c:v>180.8834777705822</c:v>
                </c:pt>
                <c:pt idx="139">
                  <c:v>183.40935693582094</c:v>
                </c:pt>
                <c:pt idx="140">
                  <c:v>185.95272010105958</c:v>
                </c:pt>
                <c:pt idx="141">
                  <c:v>188.51356726629817</c:v>
                </c:pt>
                <c:pt idx="142">
                  <c:v>191.091898431537</c:v>
                </c:pt>
                <c:pt idx="143">
                  <c:v>193.68771359677558</c:v>
                </c:pt>
                <c:pt idx="144">
                  <c:v>196.30101276201432</c:v>
                </c:pt>
                <c:pt idx="145">
                  <c:v>198.93179592725298</c:v>
                </c:pt>
                <c:pt idx="146">
                  <c:v>201.58006309249168</c:v>
                </c:pt>
                <c:pt idx="147">
                  <c:v>204.24581425773033</c:v>
                </c:pt>
                <c:pt idx="148">
                  <c:v>206.92904942296894</c:v>
                </c:pt>
                <c:pt idx="149">
                  <c:v>209.62976858820767</c:v>
                </c:pt>
                <c:pt idx="150">
                  <c:v>212.34797175344639</c:v>
                </c:pt>
              </c:numCache>
            </c:numRef>
          </c:yVal>
          <c:smooth val="1"/>
          <c:extLst>
            <c:ext xmlns:c16="http://schemas.microsoft.com/office/drawing/2014/chart" uri="{C3380CC4-5D6E-409C-BE32-E72D297353CC}">
              <c16:uniqueId val="{00000001-F850-4D08-8BFC-748D436DD73B}"/>
            </c:ext>
          </c:extLst>
        </c:ser>
        <c:ser>
          <c:idx val="2"/>
          <c:order val="2"/>
          <c:tx>
            <c:v>Diode</c:v>
          </c:tx>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Eff_vs_IOUT!$AO$7:$AO$157</c:f>
              <c:numCache>
                <c:formatCode>General</c:formatCode>
                <c:ptCount val="151"/>
                <c:pt idx="0">
                  <c:v>0</c:v>
                </c:pt>
                <c:pt idx="1">
                  <c:v>0.74354207363636371</c:v>
                </c:pt>
                <c:pt idx="2">
                  <c:v>0.74745807363636363</c:v>
                </c:pt>
                <c:pt idx="3">
                  <c:v>0.7516380736363637</c:v>
                </c:pt>
                <c:pt idx="4">
                  <c:v>0.75608207363636371</c:v>
                </c:pt>
                <c:pt idx="5">
                  <c:v>0.76079007363636364</c:v>
                </c:pt>
                <c:pt idx="6">
                  <c:v>0.76576207363636362</c:v>
                </c:pt>
                <c:pt idx="7">
                  <c:v>0.77099807363636375</c:v>
                </c:pt>
                <c:pt idx="8">
                  <c:v>0.77649807363636369</c:v>
                </c:pt>
                <c:pt idx="9">
                  <c:v>0.78226207363636369</c:v>
                </c:pt>
                <c:pt idx="10">
                  <c:v>0.78829007363636372</c:v>
                </c:pt>
                <c:pt idx="11">
                  <c:v>0.79458207363636368</c:v>
                </c:pt>
                <c:pt idx="12">
                  <c:v>0.80113807363636369</c:v>
                </c:pt>
                <c:pt idx="13">
                  <c:v>0.80795807363636363</c:v>
                </c:pt>
                <c:pt idx="14">
                  <c:v>0.81504207363636372</c:v>
                </c:pt>
                <c:pt idx="15">
                  <c:v>0.82239007363636374</c:v>
                </c:pt>
                <c:pt idx="16">
                  <c:v>0.83000207363636369</c:v>
                </c:pt>
                <c:pt idx="17">
                  <c:v>0.8378780736363638</c:v>
                </c:pt>
                <c:pt idx="18">
                  <c:v>0.84601807363636372</c:v>
                </c:pt>
                <c:pt idx="19">
                  <c:v>0.85442207363636369</c:v>
                </c:pt>
                <c:pt idx="20">
                  <c:v>0.86309007363636381</c:v>
                </c:pt>
                <c:pt idx="21">
                  <c:v>0.87202207363636375</c:v>
                </c:pt>
                <c:pt idx="22">
                  <c:v>0.88121807363636373</c:v>
                </c:pt>
                <c:pt idx="23">
                  <c:v>0.89067807363636375</c:v>
                </c:pt>
                <c:pt idx="24">
                  <c:v>0.90040207363636382</c:v>
                </c:pt>
                <c:pt idx="25">
                  <c:v>0.91039007363636382</c:v>
                </c:pt>
                <c:pt idx="26">
                  <c:v>0.92064207363636374</c:v>
                </c:pt>
                <c:pt idx="27">
                  <c:v>0.93115807363636383</c:v>
                </c:pt>
                <c:pt idx="28">
                  <c:v>0.94193807363636384</c:v>
                </c:pt>
                <c:pt idx="29">
                  <c:v>0.95298207363636378</c:v>
                </c:pt>
                <c:pt idx="30">
                  <c:v>0.96429007363636376</c:v>
                </c:pt>
                <c:pt idx="31">
                  <c:v>0.97586207363636379</c:v>
                </c:pt>
                <c:pt idx="32">
                  <c:v>0.98769807363636386</c:v>
                </c:pt>
                <c:pt idx="33">
                  <c:v>0.99979807363636375</c:v>
                </c:pt>
                <c:pt idx="34">
                  <c:v>1.0121620736363639</c:v>
                </c:pt>
                <c:pt idx="35">
                  <c:v>1.024790073636364</c:v>
                </c:pt>
                <c:pt idx="36">
                  <c:v>1.0376820736363639</c:v>
                </c:pt>
                <c:pt idx="37">
                  <c:v>1.0508380736363638</c:v>
                </c:pt>
                <c:pt idx="38">
                  <c:v>1.0642580736363638</c:v>
                </c:pt>
                <c:pt idx="39">
                  <c:v>1.0779420736363639</c:v>
                </c:pt>
                <c:pt idx="40">
                  <c:v>1.0918900736363639</c:v>
                </c:pt>
                <c:pt idx="41">
                  <c:v>1.1061020736363638</c:v>
                </c:pt>
                <c:pt idx="42">
                  <c:v>1.1205780736363637</c:v>
                </c:pt>
                <c:pt idx="43">
                  <c:v>1.1353180736363639</c:v>
                </c:pt>
                <c:pt idx="44">
                  <c:v>1.150322073636364</c:v>
                </c:pt>
                <c:pt idx="45">
                  <c:v>1.165590073636364</c:v>
                </c:pt>
                <c:pt idx="46">
                  <c:v>1.1811220736363641</c:v>
                </c:pt>
                <c:pt idx="47">
                  <c:v>1.196918073636364</c:v>
                </c:pt>
                <c:pt idx="48">
                  <c:v>1.212978073636364</c:v>
                </c:pt>
                <c:pt idx="49">
                  <c:v>1.229302073636364</c:v>
                </c:pt>
                <c:pt idx="50">
                  <c:v>1.2458900736363641</c:v>
                </c:pt>
                <c:pt idx="51">
                  <c:v>1.2627420736363639</c:v>
                </c:pt>
                <c:pt idx="52">
                  <c:v>1.2798580736363641</c:v>
                </c:pt>
                <c:pt idx="53">
                  <c:v>1.2972380736363642</c:v>
                </c:pt>
                <c:pt idx="54">
                  <c:v>1.314882073636364</c:v>
                </c:pt>
                <c:pt idx="55">
                  <c:v>1.3327900736363643</c:v>
                </c:pt>
                <c:pt idx="56">
                  <c:v>1.3509620736363641</c:v>
                </c:pt>
                <c:pt idx="57">
                  <c:v>1.369398073636364</c:v>
                </c:pt>
                <c:pt idx="58">
                  <c:v>1.3880980736363639</c:v>
                </c:pt>
                <c:pt idx="59">
                  <c:v>1.4070620736363639</c:v>
                </c:pt>
                <c:pt idx="60">
                  <c:v>1.426290073636364</c:v>
                </c:pt>
                <c:pt idx="61">
                  <c:v>1.445782073636364</c:v>
                </c:pt>
                <c:pt idx="62">
                  <c:v>1.4655380736363643</c:v>
                </c:pt>
                <c:pt idx="63">
                  <c:v>1.4855580736363641</c:v>
                </c:pt>
                <c:pt idx="64">
                  <c:v>1.5058420736363642</c:v>
                </c:pt>
                <c:pt idx="65">
                  <c:v>1.526390073636364</c:v>
                </c:pt>
                <c:pt idx="66">
                  <c:v>1.5472020736363641</c:v>
                </c:pt>
                <c:pt idx="67">
                  <c:v>1.568278073636364</c:v>
                </c:pt>
                <c:pt idx="68">
                  <c:v>1.5896180736363643</c:v>
                </c:pt>
                <c:pt idx="69">
                  <c:v>1.611222073636364</c:v>
                </c:pt>
                <c:pt idx="70">
                  <c:v>1.6330900736363643</c:v>
                </c:pt>
                <c:pt idx="71">
                  <c:v>1.6552220736363643</c:v>
                </c:pt>
                <c:pt idx="72">
                  <c:v>1.6776180736363639</c:v>
                </c:pt>
                <c:pt idx="73">
                  <c:v>1.7002780736363641</c:v>
                </c:pt>
                <c:pt idx="74">
                  <c:v>1.7232020736363642</c:v>
                </c:pt>
                <c:pt idx="75">
                  <c:v>1.7463900736363642</c:v>
                </c:pt>
                <c:pt idx="76">
                  <c:v>1.769842073636364</c:v>
                </c:pt>
                <c:pt idx="77">
                  <c:v>1.7935580736363645</c:v>
                </c:pt>
                <c:pt idx="78">
                  <c:v>1.8175380736363647</c:v>
                </c:pt>
                <c:pt idx="79">
                  <c:v>1.8417820736363648</c:v>
                </c:pt>
                <c:pt idx="80">
                  <c:v>1.8662900736363643</c:v>
                </c:pt>
                <c:pt idx="81">
                  <c:v>1.8910620736363639</c:v>
                </c:pt>
                <c:pt idx="82">
                  <c:v>1.9160980736363644</c:v>
                </c:pt>
                <c:pt idx="83">
                  <c:v>1.9413980736363641</c:v>
                </c:pt>
                <c:pt idx="84">
                  <c:v>1.9669620736363644</c:v>
                </c:pt>
                <c:pt idx="85">
                  <c:v>1.992790073636364</c:v>
                </c:pt>
                <c:pt idx="86">
                  <c:v>2.0188820736363646</c:v>
                </c:pt>
                <c:pt idx="87">
                  <c:v>2.0452380736363649</c:v>
                </c:pt>
                <c:pt idx="88">
                  <c:v>2.0718580736363643</c:v>
                </c:pt>
                <c:pt idx="89">
                  <c:v>2.0987420736363642</c:v>
                </c:pt>
                <c:pt idx="90">
                  <c:v>2.1258900736363646</c:v>
                </c:pt>
                <c:pt idx="91">
                  <c:v>2.1533020736363646</c:v>
                </c:pt>
                <c:pt idx="92">
                  <c:v>2.1809780736363646</c:v>
                </c:pt>
                <c:pt idx="93">
                  <c:v>2.2089180736363643</c:v>
                </c:pt>
                <c:pt idx="94">
                  <c:v>2.2371220736363648</c:v>
                </c:pt>
                <c:pt idx="95">
                  <c:v>2.265590073636365</c:v>
                </c:pt>
                <c:pt idx="96">
                  <c:v>2.2943220736363648</c:v>
                </c:pt>
                <c:pt idx="97">
                  <c:v>2.3233180736363646</c:v>
                </c:pt>
                <c:pt idx="98">
                  <c:v>2.3525780736363653</c:v>
                </c:pt>
                <c:pt idx="99">
                  <c:v>2.3821020736363647</c:v>
                </c:pt>
                <c:pt idx="100">
                  <c:v>2.4118900736363647</c:v>
                </c:pt>
                <c:pt idx="101">
                  <c:v>2.4419420736363646</c:v>
                </c:pt>
                <c:pt idx="102">
                  <c:v>2.4722580736363651</c:v>
                </c:pt>
                <c:pt idx="103">
                  <c:v>2.5028380736363651</c:v>
                </c:pt>
                <c:pt idx="104">
                  <c:v>2.5336820736363652</c:v>
                </c:pt>
                <c:pt idx="105">
                  <c:v>2.5647900736363654</c:v>
                </c:pt>
                <c:pt idx="106">
                  <c:v>2.5961620736363651</c:v>
                </c:pt>
                <c:pt idx="107">
                  <c:v>2.6277980736363657</c:v>
                </c:pt>
                <c:pt idx="108">
                  <c:v>2.6596980736363651</c:v>
                </c:pt>
                <c:pt idx="109">
                  <c:v>2.691862073636365</c:v>
                </c:pt>
                <c:pt idx="110">
                  <c:v>2.7242900736363644</c:v>
                </c:pt>
                <c:pt idx="111">
                  <c:v>2.7569820736363653</c:v>
                </c:pt>
                <c:pt idx="112">
                  <c:v>2.7899380736363653</c:v>
                </c:pt>
                <c:pt idx="113">
                  <c:v>2.8231580736363644</c:v>
                </c:pt>
                <c:pt idx="114">
                  <c:v>2.8566420736363654</c:v>
                </c:pt>
                <c:pt idx="115">
                  <c:v>2.8903900736363655</c:v>
                </c:pt>
                <c:pt idx="116">
                  <c:v>2.9244020736363652</c:v>
                </c:pt>
                <c:pt idx="117">
                  <c:v>2.9586780736363654</c:v>
                </c:pt>
                <c:pt idx="118">
                  <c:v>2.9932180736363652</c:v>
                </c:pt>
                <c:pt idx="119">
                  <c:v>3.028022073636365</c:v>
                </c:pt>
                <c:pt idx="120">
                  <c:v>3.0630900736363653</c:v>
                </c:pt>
                <c:pt idx="121">
                  <c:v>3.0984220736363652</c:v>
                </c:pt>
                <c:pt idx="122">
                  <c:v>3.1340180736363652</c:v>
                </c:pt>
                <c:pt idx="123">
                  <c:v>3.1698780736363656</c:v>
                </c:pt>
                <c:pt idx="124">
                  <c:v>3.2060020736363657</c:v>
                </c:pt>
                <c:pt idx="125">
                  <c:v>3.2423900736363653</c:v>
                </c:pt>
                <c:pt idx="126">
                  <c:v>3.2790420736363655</c:v>
                </c:pt>
                <c:pt idx="127">
                  <c:v>3.3159580736363656</c:v>
                </c:pt>
                <c:pt idx="128">
                  <c:v>3.3531380736363663</c:v>
                </c:pt>
                <c:pt idx="129">
                  <c:v>3.3905820736363652</c:v>
                </c:pt>
                <c:pt idx="130">
                  <c:v>3.428290073636366</c:v>
                </c:pt>
                <c:pt idx="131">
                  <c:v>3.4662620736363663</c:v>
                </c:pt>
                <c:pt idx="132">
                  <c:v>3.5044980736363671</c:v>
                </c:pt>
                <c:pt idx="133">
                  <c:v>3.5429980736363658</c:v>
                </c:pt>
                <c:pt idx="134">
                  <c:v>3.5817620736363658</c:v>
                </c:pt>
                <c:pt idx="135">
                  <c:v>3.6207900736363663</c:v>
                </c:pt>
                <c:pt idx="136">
                  <c:v>3.660082073636366</c:v>
                </c:pt>
                <c:pt idx="137">
                  <c:v>3.6996380736363661</c:v>
                </c:pt>
                <c:pt idx="138">
                  <c:v>3.7394580736363663</c:v>
                </c:pt>
                <c:pt idx="139">
                  <c:v>3.779542073636367</c:v>
                </c:pt>
                <c:pt idx="140">
                  <c:v>3.8198900736363663</c:v>
                </c:pt>
                <c:pt idx="141">
                  <c:v>3.8605020736363658</c:v>
                </c:pt>
                <c:pt idx="142">
                  <c:v>3.9013780736363666</c:v>
                </c:pt>
                <c:pt idx="143">
                  <c:v>3.9425180736363661</c:v>
                </c:pt>
                <c:pt idx="144">
                  <c:v>3.983922073636367</c:v>
                </c:pt>
                <c:pt idx="145">
                  <c:v>4.0255900736363657</c:v>
                </c:pt>
                <c:pt idx="146">
                  <c:v>4.0675220736363666</c:v>
                </c:pt>
                <c:pt idx="147">
                  <c:v>4.1097180736363672</c:v>
                </c:pt>
                <c:pt idx="148">
                  <c:v>4.1521780736363656</c:v>
                </c:pt>
                <c:pt idx="149">
                  <c:v>4.1949020736363671</c:v>
                </c:pt>
                <c:pt idx="150">
                  <c:v>4.2378900736363665</c:v>
                </c:pt>
              </c:numCache>
            </c:numRef>
          </c:yVal>
          <c:smooth val="1"/>
          <c:extLst>
            <c:ext xmlns:c16="http://schemas.microsoft.com/office/drawing/2014/chart" uri="{C3380CC4-5D6E-409C-BE32-E72D297353CC}">
              <c16:uniqueId val="{00000002-F850-4D08-8BFC-748D436DD73B}"/>
            </c:ext>
          </c:extLst>
        </c:ser>
        <c:ser>
          <c:idx val="3"/>
          <c:order val="3"/>
          <c:tx>
            <c:v>RCS</c:v>
          </c:tx>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Eff_vs_IOUT!$AP$7:$AP$157</c:f>
              <c:numCache>
                <c:formatCode>General</c:formatCode>
                <c:ptCount val="151"/>
                <c:pt idx="0">
                  <c:v>0</c:v>
                </c:pt>
                <c:pt idx="1">
                  <c:v>5.6846074380165288E-4</c:v>
                </c:pt>
                <c:pt idx="2">
                  <c:v>2.0684607438016529E-3</c:v>
                </c:pt>
                <c:pt idx="3">
                  <c:v>4.5684607438016521E-3</c:v>
                </c:pt>
                <c:pt idx="4">
                  <c:v>8.0684607438016535E-3</c:v>
                </c:pt>
                <c:pt idx="5">
                  <c:v>1.2568460743801654E-2</c:v>
                </c:pt>
                <c:pt idx="6">
                  <c:v>1.806846074380165E-2</c:v>
                </c:pt>
                <c:pt idx="7">
                  <c:v>2.4568460743801653E-2</c:v>
                </c:pt>
                <c:pt idx="8">
                  <c:v>3.2068460743801659E-2</c:v>
                </c:pt>
                <c:pt idx="9">
                  <c:v>4.056846074380166E-2</c:v>
                </c:pt>
                <c:pt idx="10">
                  <c:v>5.0068460743801661E-2</c:v>
                </c:pt>
                <c:pt idx="11">
                  <c:v>6.0568460743801622E-2</c:v>
                </c:pt>
                <c:pt idx="12">
                  <c:v>7.2068460743801646E-2</c:v>
                </c:pt>
                <c:pt idx="13">
                  <c:v>8.4568460743801643E-2</c:v>
                </c:pt>
                <c:pt idx="14">
                  <c:v>9.8068460743801655E-2</c:v>
                </c:pt>
                <c:pt idx="15">
                  <c:v>0.11256846074380163</c:v>
                </c:pt>
                <c:pt idx="16">
                  <c:v>0.12806846074380163</c:v>
                </c:pt>
                <c:pt idx="17">
                  <c:v>0.14456846074380167</c:v>
                </c:pt>
                <c:pt idx="18">
                  <c:v>0.16206846074380168</c:v>
                </c:pt>
                <c:pt idx="19">
                  <c:v>0.18056846074380159</c:v>
                </c:pt>
                <c:pt idx="20">
                  <c:v>0.20006846074380169</c:v>
                </c:pt>
                <c:pt idx="21">
                  <c:v>0.22056846074380168</c:v>
                </c:pt>
                <c:pt idx="22">
                  <c:v>0.24206846074380162</c:v>
                </c:pt>
                <c:pt idx="23">
                  <c:v>0.26456846074380175</c:v>
                </c:pt>
                <c:pt idx="24">
                  <c:v>0.28806846074380166</c:v>
                </c:pt>
                <c:pt idx="25">
                  <c:v>0.31256846074380168</c:v>
                </c:pt>
                <c:pt idx="26">
                  <c:v>0.33806846074380165</c:v>
                </c:pt>
                <c:pt idx="27">
                  <c:v>0.36456846074380161</c:v>
                </c:pt>
                <c:pt idx="28">
                  <c:v>0.39206846074380169</c:v>
                </c:pt>
                <c:pt idx="29">
                  <c:v>0.42056846074380166</c:v>
                </c:pt>
                <c:pt idx="30">
                  <c:v>0.45006846074380163</c:v>
                </c:pt>
                <c:pt idx="31">
                  <c:v>0.48056846074380161</c:v>
                </c:pt>
                <c:pt idx="32">
                  <c:v>0.51206846074380152</c:v>
                </c:pt>
                <c:pt idx="33">
                  <c:v>0.54456846074380183</c:v>
                </c:pt>
                <c:pt idx="34">
                  <c:v>0.57806846074380169</c:v>
                </c:pt>
                <c:pt idx="35">
                  <c:v>0.61256846074380167</c:v>
                </c:pt>
                <c:pt idx="36">
                  <c:v>0.64806846074380153</c:v>
                </c:pt>
                <c:pt idx="37">
                  <c:v>0.6845684607438014</c:v>
                </c:pt>
                <c:pt idx="38">
                  <c:v>0.72206846074380138</c:v>
                </c:pt>
                <c:pt idx="39">
                  <c:v>0.76056846074380169</c:v>
                </c:pt>
                <c:pt idx="40">
                  <c:v>0.80006846074380156</c:v>
                </c:pt>
                <c:pt idx="41">
                  <c:v>0.84056846074380165</c:v>
                </c:pt>
                <c:pt idx="42">
                  <c:v>0.88206846074380152</c:v>
                </c:pt>
                <c:pt idx="43">
                  <c:v>0.92456846074380183</c:v>
                </c:pt>
                <c:pt idx="44">
                  <c:v>0.96806846074380148</c:v>
                </c:pt>
                <c:pt idx="45">
                  <c:v>1.0125684607438017</c:v>
                </c:pt>
                <c:pt idx="46">
                  <c:v>1.0580684607438018</c:v>
                </c:pt>
                <c:pt idx="47">
                  <c:v>1.1045684607438018</c:v>
                </c:pt>
                <c:pt idx="48">
                  <c:v>1.1520684607438016</c:v>
                </c:pt>
                <c:pt idx="49">
                  <c:v>1.2005684607438016</c:v>
                </c:pt>
                <c:pt idx="50">
                  <c:v>1.2500684607438013</c:v>
                </c:pt>
                <c:pt idx="51">
                  <c:v>1.3005684607438015</c:v>
                </c:pt>
                <c:pt idx="52">
                  <c:v>1.3520684607438016</c:v>
                </c:pt>
                <c:pt idx="53">
                  <c:v>1.4045684607438016</c:v>
                </c:pt>
                <c:pt idx="54">
                  <c:v>1.4580684607438015</c:v>
                </c:pt>
                <c:pt idx="55">
                  <c:v>1.5125684607438017</c:v>
                </c:pt>
                <c:pt idx="56">
                  <c:v>1.5680684607438016</c:v>
                </c:pt>
                <c:pt idx="57">
                  <c:v>1.6245684607438018</c:v>
                </c:pt>
                <c:pt idx="58">
                  <c:v>1.6820684607438015</c:v>
                </c:pt>
                <c:pt idx="59">
                  <c:v>1.7405684607438019</c:v>
                </c:pt>
                <c:pt idx="60">
                  <c:v>1.8000684607438009</c:v>
                </c:pt>
                <c:pt idx="61">
                  <c:v>1.8605684607438011</c:v>
                </c:pt>
                <c:pt idx="62">
                  <c:v>1.9220684607438019</c:v>
                </c:pt>
                <c:pt idx="63">
                  <c:v>1.9845684607438019</c:v>
                </c:pt>
                <c:pt idx="64">
                  <c:v>2.0480684607438016</c:v>
                </c:pt>
                <c:pt idx="65">
                  <c:v>2.1125684607438018</c:v>
                </c:pt>
                <c:pt idx="66">
                  <c:v>2.178068460743801</c:v>
                </c:pt>
                <c:pt idx="67">
                  <c:v>2.2445684607438006</c:v>
                </c:pt>
                <c:pt idx="68">
                  <c:v>2.3120684607438018</c:v>
                </c:pt>
                <c:pt idx="69">
                  <c:v>2.3805684607438007</c:v>
                </c:pt>
                <c:pt idx="70">
                  <c:v>2.4500684607438012</c:v>
                </c:pt>
                <c:pt idx="71">
                  <c:v>2.5205684607438017</c:v>
                </c:pt>
                <c:pt idx="72">
                  <c:v>2.592068460743802</c:v>
                </c:pt>
                <c:pt idx="73">
                  <c:v>2.6645684607438018</c:v>
                </c:pt>
                <c:pt idx="74">
                  <c:v>2.7380684607438011</c:v>
                </c:pt>
                <c:pt idx="75">
                  <c:v>2.812568460743802</c:v>
                </c:pt>
                <c:pt idx="76">
                  <c:v>2.888068460743801</c:v>
                </c:pt>
                <c:pt idx="77">
                  <c:v>2.9645684607438016</c:v>
                </c:pt>
                <c:pt idx="78">
                  <c:v>3.0420684607438022</c:v>
                </c:pt>
                <c:pt idx="79">
                  <c:v>3.1205684607438022</c:v>
                </c:pt>
                <c:pt idx="80">
                  <c:v>3.2000684607438021</c:v>
                </c:pt>
                <c:pt idx="81">
                  <c:v>3.2805684607437997</c:v>
                </c:pt>
                <c:pt idx="82">
                  <c:v>3.3620684607438021</c:v>
                </c:pt>
                <c:pt idx="83">
                  <c:v>3.4445684607438003</c:v>
                </c:pt>
                <c:pt idx="84">
                  <c:v>3.5280684607438015</c:v>
                </c:pt>
                <c:pt idx="85">
                  <c:v>3.6125684607438004</c:v>
                </c:pt>
                <c:pt idx="86">
                  <c:v>3.698068460743801</c:v>
                </c:pt>
                <c:pt idx="87">
                  <c:v>3.7845684607438019</c:v>
                </c:pt>
                <c:pt idx="88">
                  <c:v>3.8720684607438001</c:v>
                </c:pt>
                <c:pt idx="89">
                  <c:v>3.9605684607438016</c:v>
                </c:pt>
                <c:pt idx="90">
                  <c:v>4.0500684607438018</c:v>
                </c:pt>
                <c:pt idx="91">
                  <c:v>4.1405684607438014</c:v>
                </c:pt>
                <c:pt idx="92">
                  <c:v>4.2320684607438004</c:v>
                </c:pt>
                <c:pt idx="93">
                  <c:v>4.3245684607438015</c:v>
                </c:pt>
                <c:pt idx="94">
                  <c:v>4.4180684607438012</c:v>
                </c:pt>
                <c:pt idx="95">
                  <c:v>4.5125684607438004</c:v>
                </c:pt>
                <c:pt idx="96">
                  <c:v>4.6080684607438016</c:v>
                </c:pt>
                <c:pt idx="97">
                  <c:v>4.7045684607437988</c:v>
                </c:pt>
                <c:pt idx="98">
                  <c:v>4.8020684607438007</c:v>
                </c:pt>
                <c:pt idx="99">
                  <c:v>4.9005684607438011</c:v>
                </c:pt>
                <c:pt idx="100">
                  <c:v>5.000068460743802</c:v>
                </c:pt>
                <c:pt idx="101">
                  <c:v>5.1005684607438013</c:v>
                </c:pt>
                <c:pt idx="102">
                  <c:v>5.2020684607438028</c:v>
                </c:pt>
                <c:pt idx="103">
                  <c:v>5.3045684607438019</c:v>
                </c:pt>
                <c:pt idx="104">
                  <c:v>5.4080684607438014</c:v>
                </c:pt>
                <c:pt idx="105">
                  <c:v>5.5125684607438021</c:v>
                </c:pt>
                <c:pt idx="106">
                  <c:v>5.6180684607438005</c:v>
                </c:pt>
                <c:pt idx="107">
                  <c:v>5.724568460743801</c:v>
                </c:pt>
                <c:pt idx="108">
                  <c:v>5.8320684607438027</c:v>
                </c:pt>
                <c:pt idx="109">
                  <c:v>5.9405684607438021</c:v>
                </c:pt>
                <c:pt idx="110">
                  <c:v>6.0500684607438018</c:v>
                </c:pt>
                <c:pt idx="111">
                  <c:v>6.1605684607438018</c:v>
                </c:pt>
                <c:pt idx="112">
                  <c:v>6.2720684607438013</c:v>
                </c:pt>
                <c:pt idx="113">
                  <c:v>6.3845684607438011</c:v>
                </c:pt>
                <c:pt idx="114">
                  <c:v>6.4980684607438022</c:v>
                </c:pt>
                <c:pt idx="115">
                  <c:v>6.6125684607438018</c:v>
                </c:pt>
                <c:pt idx="116">
                  <c:v>6.7280684607438017</c:v>
                </c:pt>
                <c:pt idx="117">
                  <c:v>6.8445684607438011</c:v>
                </c:pt>
                <c:pt idx="118">
                  <c:v>6.9620684607438017</c:v>
                </c:pt>
                <c:pt idx="119">
                  <c:v>7.0805684607438018</c:v>
                </c:pt>
                <c:pt idx="120">
                  <c:v>7.2000684607438004</c:v>
                </c:pt>
                <c:pt idx="121">
                  <c:v>7.320568460743802</c:v>
                </c:pt>
                <c:pt idx="122">
                  <c:v>7.4420684607437995</c:v>
                </c:pt>
                <c:pt idx="123">
                  <c:v>7.5645684607438026</c:v>
                </c:pt>
                <c:pt idx="124">
                  <c:v>7.6880684607438008</c:v>
                </c:pt>
                <c:pt idx="125">
                  <c:v>7.8125684607438011</c:v>
                </c:pt>
                <c:pt idx="126">
                  <c:v>7.9380684607438017</c:v>
                </c:pt>
                <c:pt idx="127">
                  <c:v>8.0645684607438</c:v>
                </c:pt>
                <c:pt idx="128">
                  <c:v>8.1920684607438012</c:v>
                </c:pt>
                <c:pt idx="129">
                  <c:v>8.3205684607437984</c:v>
                </c:pt>
                <c:pt idx="130">
                  <c:v>8.4500684607438021</c:v>
                </c:pt>
                <c:pt idx="131">
                  <c:v>8.5805684607438018</c:v>
                </c:pt>
                <c:pt idx="132">
                  <c:v>8.7120684607438026</c:v>
                </c:pt>
                <c:pt idx="133">
                  <c:v>8.8445684607438011</c:v>
                </c:pt>
                <c:pt idx="134">
                  <c:v>8.9780684607437955</c:v>
                </c:pt>
                <c:pt idx="135">
                  <c:v>9.1125684607438018</c:v>
                </c:pt>
                <c:pt idx="136">
                  <c:v>9.248068460743804</c:v>
                </c:pt>
                <c:pt idx="137">
                  <c:v>9.3845684607437985</c:v>
                </c:pt>
                <c:pt idx="138">
                  <c:v>9.5220684607437978</c:v>
                </c:pt>
                <c:pt idx="139">
                  <c:v>9.6605684607438036</c:v>
                </c:pt>
                <c:pt idx="140">
                  <c:v>9.8000684607438</c:v>
                </c:pt>
                <c:pt idx="141">
                  <c:v>9.9405684607437994</c:v>
                </c:pt>
                <c:pt idx="142">
                  <c:v>10.082068460743802</c:v>
                </c:pt>
                <c:pt idx="143">
                  <c:v>10.224568460743804</c:v>
                </c:pt>
                <c:pt idx="144">
                  <c:v>10.368068460743803</c:v>
                </c:pt>
                <c:pt idx="145">
                  <c:v>10.512568460743797</c:v>
                </c:pt>
                <c:pt idx="146">
                  <c:v>10.658068460743802</c:v>
                </c:pt>
                <c:pt idx="147">
                  <c:v>10.8045684607438</c:v>
                </c:pt>
                <c:pt idx="148">
                  <c:v>10.952068460743797</c:v>
                </c:pt>
                <c:pt idx="149">
                  <c:v>11.1005684607438</c:v>
                </c:pt>
                <c:pt idx="150">
                  <c:v>11.250068460743801</c:v>
                </c:pt>
              </c:numCache>
            </c:numRef>
          </c:yVal>
          <c:smooth val="1"/>
          <c:extLst>
            <c:ext xmlns:c16="http://schemas.microsoft.com/office/drawing/2014/chart" uri="{C3380CC4-5D6E-409C-BE32-E72D297353CC}">
              <c16:uniqueId val="{00000003-F850-4D08-8BFC-748D436DD73B}"/>
            </c:ext>
          </c:extLst>
        </c:ser>
        <c:dLbls>
          <c:showLegendKey val="0"/>
          <c:showVal val="0"/>
          <c:showCatName val="0"/>
          <c:showSerName val="0"/>
          <c:showPercent val="0"/>
          <c:showBubbleSize val="0"/>
        </c:dLbls>
        <c:axId val="543660288"/>
        <c:axId val="543658752"/>
      </c:scatterChart>
      <c:valAx>
        <c:axId val="224130176"/>
        <c:scaling>
          <c:orientation val="minMax"/>
          <c:max val="6"/>
        </c:scaling>
        <c:delete val="0"/>
        <c:axPos val="b"/>
        <c:majorGridlines/>
        <c:numFmt formatCode="General" sourceLinked="1"/>
        <c:majorTickMark val="out"/>
        <c:minorTickMark val="none"/>
        <c:tickLblPos val="nextTo"/>
        <c:crossAx val="224131712"/>
        <c:crosses val="autoZero"/>
        <c:crossBetween val="midCat"/>
      </c:valAx>
      <c:valAx>
        <c:axId val="224131712"/>
        <c:scaling>
          <c:orientation val="minMax"/>
          <c:max val="100"/>
          <c:min val="60"/>
        </c:scaling>
        <c:delete val="0"/>
        <c:axPos val="l"/>
        <c:majorGridlines/>
        <c:title>
          <c:overlay val="0"/>
          <c:txPr>
            <a:bodyPr rot="-5400000" vert="horz"/>
            <a:lstStyle/>
            <a:p>
              <a:pPr>
                <a:defRPr/>
              </a:pPr>
              <a:endParaRPr lang="en-US"/>
            </a:p>
          </c:txPr>
        </c:title>
        <c:numFmt formatCode="General" sourceLinked="1"/>
        <c:majorTickMark val="out"/>
        <c:minorTickMark val="none"/>
        <c:tickLblPos val="nextTo"/>
        <c:crossAx val="224130176"/>
        <c:crosses val="autoZero"/>
        <c:crossBetween val="midCat"/>
      </c:valAx>
      <c:valAx>
        <c:axId val="543658752"/>
        <c:scaling>
          <c:orientation val="minMax"/>
        </c:scaling>
        <c:delete val="0"/>
        <c:axPos val="r"/>
        <c:numFmt formatCode="General" sourceLinked="1"/>
        <c:majorTickMark val="out"/>
        <c:minorTickMark val="none"/>
        <c:tickLblPos val="nextTo"/>
        <c:crossAx val="543660288"/>
        <c:crosses val="max"/>
        <c:crossBetween val="midCat"/>
      </c:valAx>
      <c:valAx>
        <c:axId val="543660288"/>
        <c:scaling>
          <c:orientation val="minMax"/>
        </c:scaling>
        <c:delete val="1"/>
        <c:axPos val="b"/>
        <c:numFmt formatCode="General" sourceLinked="1"/>
        <c:majorTickMark val="out"/>
        <c:minorTickMark val="none"/>
        <c:tickLblPos val="nextTo"/>
        <c:crossAx val="543658752"/>
        <c:crosses val="autoZero"/>
        <c:crossBetween val="midCat"/>
      </c:valAx>
    </c:plotArea>
    <c:legend>
      <c:legendPos val="r"/>
      <c:overlay val="1"/>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Eff_vs_IOUT!$AW$7:$AW$157</c:f>
              <c:numCache>
                <c:formatCode>General</c:formatCode>
                <c:ptCount val="151"/>
                <c:pt idx="0">
                  <c:v>0</c:v>
                </c:pt>
                <c:pt idx="1">
                  <c:v>62.104873237283996</c:v>
                </c:pt>
                <c:pt idx="2">
                  <c:v>73.846034483469126</c:v>
                </c:pt>
                <c:pt idx="3">
                  <c:v>78.451995931071281</c:v>
                </c:pt>
                <c:pt idx="4">
                  <c:v>80.691527498938953</c:v>
                </c:pt>
                <c:pt idx="5">
                  <c:v>81.862482261035197</c:v>
                </c:pt>
                <c:pt idx="6">
                  <c:v>82.463381103358842</c:v>
                </c:pt>
                <c:pt idx="7">
                  <c:v>82.726590305513469</c:v>
                </c:pt>
                <c:pt idx="8">
                  <c:v>82.774961277951775</c:v>
                </c:pt>
                <c:pt idx="9">
                  <c:v>82.679498129763587</c:v>
                </c:pt>
                <c:pt idx="10">
                  <c:v>82.484059636822394</c:v>
                </c:pt>
                <c:pt idx="11">
                  <c:v>82.217168608537179</c:v>
                </c:pt>
                <c:pt idx="12">
                  <c:v>81.898150824935314</c:v>
                </c:pt>
                <c:pt idx="13">
                  <c:v>81.540544643059349</c:v>
                </c:pt>
                <c:pt idx="14">
                  <c:v>81.154099248831287</c:v>
                </c:pt>
                <c:pt idx="15">
                  <c:v>80.745999109126657</c:v>
                </c:pt>
                <c:pt idx="16">
                  <c:v>80.321642986239752</c:v>
                </c:pt>
                <c:pt idx="17">
                  <c:v>79.885155734005082</c:v>
                </c:pt>
                <c:pt idx="18">
                  <c:v>79.439734010210927</c:v>
                </c:pt>
                <c:pt idx="19">
                  <c:v>78.987885540137171</c:v>
                </c:pt>
                <c:pt idx="20">
                  <c:v>78.531598289231766</c:v>
                </c:pt>
                <c:pt idx="21">
                  <c:v>78.072462371728037</c:v>
                </c:pt>
                <c:pt idx="22">
                  <c:v>77.61175940424549</c:v>
                </c:pt>
                <c:pt idx="23">
                  <c:v>77.150529005123786</c:v>
                </c:pt>
                <c:pt idx="24">
                  <c:v>76.689618972032804</c:v>
                </c:pt>
                <c:pt idx="25">
                  <c:v>76.229723620567398</c:v>
                </c:pt>
                <c:pt idx="26">
                  <c:v>75.771413412981261</c:v>
                </c:pt>
                <c:pt idx="27">
                  <c:v>75.315158095709705</c:v>
                </c:pt>
                <c:pt idx="28">
                  <c:v>74.861344941400716</c:v>
                </c:pt>
                <c:pt idx="29">
                  <c:v>74.410293258316713</c:v>
                </c:pt>
                <c:pt idx="30">
                  <c:v>73.962266024863084</c:v>
                </c:pt>
                <c:pt idx="31">
                  <c:v>73.517479289079731</c:v>
                </c:pt>
                <c:pt idx="32">
                  <c:v>73.076109815368909</c:v>
                </c:pt>
                <c:pt idx="33">
                  <c:v>72.638301345508467</c:v>
                </c:pt>
                <c:pt idx="34">
                  <c:v>72.204169755839004</c:v>
                </c:pt>
                <c:pt idx="35">
                  <c:v>71.773807328947711</c:v>
                </c:pt>
                <c:pt idx="36">
                  <c:v>71.347286310283366</c:v>
                </c:pt>
                <c:pt idx="37">
                  <c:v>70.924661883744179</c:v>
                </c:pt>
                <c:pt idx="38">
                  <c:v>70.505974672398665</c:v>
                </c:pt>
                <c:pt idx="39">
                  <c:v>70.091252848971237</c:v>
                </c:pt>
                <c:pt idx="40">
                  <c:v>69.680513923983085</c:v>
                </c:pt>
                <c:pt idx="41">
                  <c:v>69.273766266329559</c:v>
                </c:pt>
                <c:pt idx="42">
                  <c:v>68.871010400742563</c:v>
                </c:pt>
                <c:pt idx="43">
                  <c:v>68.472240118394581</c:v>
                </c:pt>
                <c:pt idx="44">
                  <c:v>68.077443430364823</c:v>
                </c:pt>
                <c:pt idx="45">
                  <c:v>67.686603388447423</c:v>
                </c:pt>
                <c:pt idx="46">
                  <c:v>67.299698793555251</c:v>
                </c:pt>
                <c:pt idx="47">
                  <c:v>66.916704808548388</c:v>
                </c:pt>
                <c:pt idx="48">
                  <c:v>66.53759348952849</c:v>
                </c:pt>
                <c:pt idx="49">
                  <c:v>66.162334247358785</c:v>
                </c:pt>
                <c:pt idx="50">
                  <c:v>65.790894249296613</c:v>
                </c:pt>
                <c:pt idx="51">
                  <c:v>65.423238769079489</c:v>
                </c:pt>
                <c:pt idx="52">
                  <c:v>65.059331492525402</c:v>
                </c:pt>
                <c:pt idx="53">
                  <c:v>64.699134784644016</c:v>
                </c:pt>
                <c:pt idx="54">
                  <c:v>64.342609923367178</c:v>
                </c:pt>
                <c:pt idx="55">
                  <c:v>63.989717304263358</c:v>
                </c:pt>
                <c:pt idx="56">
                  <c:v>63.640416619976023</c:v>
                </c:pt>
                <c:pt idx="57">
                  <c:v>63.294667017598904</c:v>
                </c:pt>
                <c:pt idx="58">
                  <c:v>62.952427236756094</c:v>
                </c:pt>
                <c:pt idx="59">
                  <c:v>62.613655730776898</c:v>
                </c:pt>
                <c:pt idx="60">
                  <c:v>62.278310773034342</c:v>
                </c:pt>
                <c:pt idx="61">
                  <c:v>61.946350550242165</c:v>
                </c:pt>
                <c:pt idx="62">
                  <c:v>61.617733244270866</c:v>
                </c:pt>
                <c:pt idx="63">
                  <c:v>61.292417103842311</c:v>
                </c:pt>
                <c:pt idx="64">
                  <c:v>60.970360507290323</c:v>
                </c:pt>
                <c:pt idx="65">
                  <c:v>60.651522017425187</c:v>
                </c:pt>
                <c:pt idx="66">
                  <c:v>60.335860429412179</c:v>
                </c:pt>
                <c:pt idx="67">
                  <c:v>60.023334812463055</c:v>
                </c:pt>
                <c:pt idx="68">
                  <c:v>59.713904546042386</c:v>
                </c:pt>
                <c:pt idx="69">
                  <c:v>59.40752935120819</c:v>
                </c:pt>
                <c:pt idx="70">
                  <c:v>59.104169317631637</c:v>
                </c:pt>
                <c:pt idx="71">
                  <c:v>58.803784926779009</c:v>
                </c:pt>
                <c:pt idx="72">
                  <c:v>58.506337071681273</c:v>
                </c:pt>
                <c:pt idx="73">
                  <c:v>58.211787073670173</c:v>
                </c:pt>
                <c:pt idx="74">
                  <c:v>57.920096696415136</c:v>
                </c:pt>
                <c:pt idx="75">
                  <c:v>57.631228157559008</c:v>
                </c:pt>
                <c:pt idx="76">
                  <c:v>57.345144138217272</c:v>
                </c:pt>
                <c:pt idx="77">
                  <c:v>57.061807790575735</c:v>
                </c:pt>
                <c:pt idx="78">
                  <c:v>56.781182743797252</c:v>
                </c:pt>
                <c:pt idx="79">
                  <c:v>56.503233108423942</c:v>
                </c:pt>
                <c:pt idx="80">
                  <c:v>56.227923479442296</c:v>
                </c:pt>
                <c:pt idx="81">
                  <c:v>55.955218938160286</c:v>
                </c:pt>
                <c:pt idx="82">
                  <c:v>55.685085053029894</c:v>
                </c:pt>
                <c:pt idx="83">
                  <c:v>55.417487879534512</c:v>
                </c:pt>
                <c:pt idx="84">
                  <c:v>55.152393959247945</c:v>
                </c:pt>
                <c:pt idx="85">
                  <c:v>54.889770318161048</c:v>
                </c:pt>
                <c:pt idx="86">
                  <c:v>54.629584464361393</c:v>
                </c:pt>
                <c:pt idx="87">
                  <c:v>54.371804385143619</c:v>
                </c:pt>
                <c:pt idx="88">
                  <c:v>54.116398543618907</c:v>
                </c:pt>
                <c:pt idx="89">
                  <c:v>53.863335874885777</c:v>
                </c:pt>
                <c:pt idx="90">
                  <c:v>53.612585781818268</c:v>
                </c:pt>
                <c:pt idx="91">
                  <c:v>53.364118130520843</c:v>
                </c:pt>
                <c:pt idx="92">
                  <c:v>53.117903245495434</c:v>
                </c:pt>
                <c:pt idx="93">
                  <c:v>52.873911904560757</c:v>
                </c:pt>
                <c:pt idx="94">
                  <c:v>52.632115333560016</c:v>
                </c:pt>
                <c:pt idx="95">
                  <c:v>52.392485200890015</c:v>
                </c:pt>
                <c:pt idx="96">
                  <c:v>52.154993611880208</c:v>
                </c:pt>
                <c:pt idx="97">
                  <c:v>51.919613103048476</c:v>
                </c:pt>
                <c:pt idx="98">
                  <c:v>51.686316636257082</c:v>
                </c:pt>
                <c:pt idx="99">
                  <c:v>51.455077592789763</c:v>
                </c:pt>
                <c:pt idx="100">
                  <c:v>51.225869767368962</c:v>
                </c:pt>
                <c:pt idx="101">
                  <c:v>50.99866736213032</c:v>
                </c:pt>
                <c:pt idx="102">
                  <c:v>50.773444980569529</c:v>
                </c:pt>
                <c:pt idx="103">
                  <c:v>50.550177621475001</c:v>
                </c:pt>
                <c:pt idx="104">
                  <c:v>50.328840672858789</c:v>
                </c:pt>
                <c:pt idx="105">
                  <c:v>50.109409905896243</c:v>
                </c:pt>
                <c:pt idx="106">
                  <c:v>49.891861468884294</c:v>
                </c:pt>
                <c:pt idx="107">
                  <c:v>49.676171881226942</c:v>
                </c:pt>
                <c:pt idx="108">
                  <c:v>49.46231802745524</c:v>
                </c:pt>
                <c:pt idx="109">
                  <c:v>49.250277151288977</c:v>
                </c:pt>
                <c:pt idx="110">
                  <c:v>49.04002684974553</c:v>
                </c:pt>
                <c:pt idx="111">
                  <c:v>48.831545067301398</c:v>
                </c:pt>
                <c:pt idx="112">
                  <c:v>48.624810090110891</c:v>
                </c:pt>
                <c:pt idx="113">
                  <c:v>48.419800540285976</c:v>
                </c:pt>
                <c:pt idx="114">
                  <c:v>48.216495370240573</c:v>
                </c:pt>
                <c:pt idx="115">
                  <c:v>48.014873857102685</c:v>
                </c:pt>
                <c:pt idx="116">
                  <c:v>47.814915597196283</c:v>
                </c:pt>
                <c:pt idx="117">
                  <c:v>47.61660050059573</c:v>
                </c:pt>
                <c:pt idx="118">
                  <c:v>47.419908785754004</c:v>
                </c:pt>
                <c:pt idx="119">
                  <c:v>47.224820974206651</c:v>
                </c:pt>
                <c:pt idx="120">
                  <c:v>47.031317885352223</c:v>
                </c:pt>
                <c:pt idx="121">
                  <c:v>46.839380631310448</c:v>
                </c:pt>
                <c:pt idx="122">
                  <c:v>46.648990611858693</c:v>
                </c:pt>
                <c:pt idx="123">
                  <c:v>46.460129509447157</c:v>
                </c:pt>
                <c:pt idx="124">
                  <c:v>46.272779284293222</c:v>
                </c:pt>
                <c:pt idx="125">
                  <c:v>46.086922169554882</c:v>
                </c:pt>
                <c:pt idx="126">
                  <c:v>45.902540666583512</c:v>
                </c:pt>
                <c:pt idx="127">
                  <c:v>45.719617540255406</c:v>
                </c:pt>
                <c:pt idx="128">
                  <c:v>45.538135814382201</c:v>
                </c:pt>
                <c:pt idx="129">
                  <c:v>45.358078767199522</c:v>
                </c:pt>
                <c:pt idx="130">
                  <c:v>45.179429926933409</c:v>
                </c:pt>
                <c:pt idx="131">
                  <c:v>45.002173067444062</c:v>
                </c:pt>
                <c:pt idx="132">
                  <c:v>44.826292203946025</c:v>
                </c:pt>
                <c:pt idx="133">
                  <c:v>44.651771588804294</c:v>
                </c:pt>
                <c:pt idx="134">
                  <c:v>44.478595707405447</c:v>
                </c:pt>
                <c:pt idx="135">
                  <c:v>44.306749274102962</c:v>
                </c:pt>
                <c:pt idx="136">
                  <c:v>44.136217228235978</c:v>
                </c:pt>
                <c:pt idx="137">
                  <c:v>43.966984730220283</c:v>
                </c:pt>
                <c:pt idx="138">
                  <c:v>43.799037157710941</c:v>
                </c:pt>
                <c:pt idx="139">
                  <c:v>43.632360101835317</c:v>
                </c:pt>
                <c:pt idx="140">
                  <c:v>43.466939363495626</c:v>
                </c:pt>
                <c:pt idx="141">
                  <c:v>43.302760949739863</c:v>
                </c:pt>
                <c:pt idx="142">
                  <c:v>43.139811070200217</c:v>
                </c:pt>
                <c:pt idx="143">
                  <c:v>42.978076133597902</c:v>
                </c:pt>
                <c:pt idx="144">
                  <c:v>42.81754274431313</c:v>
                </c:pt>
                <c:pt idx="145">
                  <c:v>42.658197699019567</c:v>
                </c:pt>
                <c:pt idx="146">
                  <c:v>42.500027983381734</c:v>
                </c:pt>
                <c:pt idx="147">
                  <c:v>42.343020768814746</c:v>
                </c:pt>
                <c:pt idx="148">
                  <c:v>42.187163409304887</c:v>
                </c:pt>
                <c:pt idx="149">
                  <c:v>42.032443438290308</c:v>
                </c:pt>
                <c:pt idx="150">
                  <c:v>41.87884856560057</c:v>
                </c:pt>
              </c:numCache>
            </c:numRef>
          </c:yVal>
          <c:smooth val="0"/>
          <c:extLst>
            <c:ext xmlns:c16="http://schemas.microsoft.com/office/drawing/2014/chart" uri="{C3380CC4-5D6E-409C-BE32-E72D297353CC}">
              <c16:uniqueId val="{00000000-901A-4CE4-83F4-75906C9CC573}"/>
            </c:ext>
          </c:extLst>
        </c:ser>
        <c:dLbls>
          <c:showLegendKey val="0"/>
          <c:showVal val="0"/>
          <c:showCatName val="0"/>
          <c:showSerName val="0"/>
          <c:showPercent val="0"/>
          <c:showBubbleSize val="0"/>
        </c:dLbls>
        <c:axId val="361445248"/>
        <c:axId val="361446784"/>
      </c:scatterChart>
      <c:scatterChart>
        <c:scatterStyle val="smoothMarker"/>
        <c:varyColors val="0"/>
        <c:ser>
          <c:idx val="1"/>
          <c:order val="1"/>
          <c:tx>
            <c:v>LS MOSFET</c:v>
          </c:tx>
          <c:spPr>
            <a:ln>
              <a:solidFill>
                <a:schemeClr val="tx2">
                  <a:lumMod val="75000"/>
                </a:schemeClr>
              </a:solidFill>
              <a:prstDash val="dashDot"/>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Eff_vs_IOUT!$AI$7:$AI$157</c:f>
              <c:numCache>
                <c:formatCode>General</c:formatCode>
                <c:ptCount val="151"/>
                <c:pt idx="0">
                  <c:v>0</c:v>
                </c:pt>
                <c:pt idx="1">
                  <c:v>0.11428413288330619</c:v>
                </c:pt>
                <c:pt idx="2">
                  <c:v>0.24485529812198431</c:v>
                </c:pt>
                <c:pt idx="3">
                  <c:v>0.39291046336066238</c:v>
                </c:pt>
                <c:pt idx="4">
                  <c:v>0.55844962859934055</c:v>
                </c:pt>
                <c:pt idx="5">
                  <c:v>0.74147279383801856</c:v>
                </c:pt>
                <c:pt idx="6">
                  <c:v>0.94197995907669663</c:v>
                </c:pt>
                <c:pt idx="7">
                  <c:v>1.1599711243153745</c:v>
                </c:pt>
                <c:pt idx="8">
                  <c:v>1.3954462895540529</c:v>
                </c:pt>
                <c:pt idx="9">
                  <c:v>1.6484054547927312</c:v>
                </c:pt>
                <c:pt idx="10">
                  <c:v>1.9188486200314092</c:v>
                </c:pt>
                <c:pt idx="11">
                  <c:v>2.2067757852700862</c:v>
                </c:pt>
                <c:pt idx="12">
                  <c:v>2.5121869505087653</c:v>
                </c:pt>
                <c:pt idx="13">
                  <c:v>2.8350821157474435</c:v>
                </c:pt>
                <c:pt idx="14">
                  <c:v>3.1754612809861218</c:v>
                </c:pt>
                <c:pt idx="15">
                  <c:v>3.5333244462247979</c:v>
                </c:pt>
                <c:pt idx="16">
                  <c:v>3.9086716114634776</c:v>
                </c:pt>
                <c:pt idx="17">
                  <c:v>4.3015027767021561</c:v>
                </c:pt>
                <c:pt idx="18">
                  <c:v>4.7118179419408346</c:v>
                </c:pt>
                <c:pt idx="19">
                  <c:v>5.1396171071795109</c:v>
                </c:pt>
                <c:pt idx="20">
                  <c:v>5.5849002724181904</c:v>
                </c:pt>
                <c:pt idx="21">
                  <c:v>6.0476674376568678</c:v>
                </c:pt>
                <c:pt idx="22">
                  <c:v>6.5279186028955429</c:v>
                </c:pt>
                <c:pt idx="23">
                  <c:v>7.0256537681342239</c:v>
                </c:pt>
                <c:pt idx="24">
                  <c:v>7.540872933372901</c:v>
                </c:pt>
                <c:pt idx="25">
                  <c:v>8.0735760986115803</c:v>
                </c:pt>
                <c:pt idx="26">
                  <c:v>8.6237632638502593</c:v>
                </c:pt>
                <c:pt idx="27">
                  <c:v>9.191434429088936</c:v>
                </c:pt>
                <c:pt idx="28">
                  <c:v>9.7765895943276142</c:v>
                </c:pt>
                <c:pt idx="29">
                  <c:v>10.379228759566294</c:v>
                </c:pt>
                <c:pt idx="30">
                  <c:v>10.999351924804969</c:v>
                </c:pt>
                <c:pt idx="31">
                  <c:v>11.636959090043648</c:v>
                </c:pt>
                <c:pt idx="32">
                  <c:v>12.29205025528233</c:v>
                </c:pt>
                <c:pt idx="33">
                  <c:v>12.964625420521006</c:v>
                </c:pt>
                <c:pt idx="34">
                  <c:v>13.654684585759684</c:v>
                </c:pt>
                <c:pt idx="35">
                  <c:v>14.362227750998363</c:v>
                </c:pt>
                <c:pt idx="36">
                  <c:v>15.087254916237042</c:v>
                </c:pt>
                <c:pt idx="37">
                  <c:v>15.829766081475711</c:v>
                </c:pt>
                <c:pt idx="38">
                  <c:v>16.589761246714389</c:v>
                </c:pt>
                <c:pt idx="39">
                  <c:v>17.36724041195308</c:v>
                </c:pt>
                <c:pt idx="40">
                  <c:v>18.162203577191754</c:v>
                </c:pt>
                <c:pt idx="41">
                  <c:v>18.97465074243043</c:v>
                </c:pt>
                <c:pt idx="42">
                  <c:v>19.804581907669107</c:v>
                </c:pt>
                <c:pt idx="43">
                  <c:v>20.65199707290779</c:v>
                </c:pt>
                <c:pt idx="44">
                  <c:v>21.516896238146458</c:v>
                </c:pt>
                <c:pt idx="45">
                  <c:v>22.399279403385144</c:v>
                </c:pt>
                <c:pt idx="46">
                  <c:v>23.299146568623819</c:v>
                </c:pt>
                <c:pt idx="47">
                  <c:v>24.2164977338625</c:v>
                </c:pt>
                <c:pt idx="48">
                  <c:v>25.151332899101178</c:v>
                </c:pt>
                <c:pt idx="49">
                  <c:v>26.103652064339858</c:v>
                </c:pt>
                <c:pt idx="50">
                  <c:v>27.073455229578528</c:v>
                </c:pt>
                <c:pt idx="51">
                  <c:v>28.060742394817215</c:v>
                </c:pt>
                <c:pt idx="52">
                  <c:v>29.065513560055891</c:v>
                </c:pt>
                <c:pt idx="53">
                  <c:v>30.08776872529457</c:v>
                </c:pt>
                <c:pt idx="54">
                  <c:v>31.127507890533245</c:v>
                </c:pt>
                <c:pt idx="55">
                  <c:v>32.18473105577192</c:v>
                </c:pt>
                <c:pt idx="56">
                  <c:v>33.259438221010612</c:v>
                </c:pt>
                <c:pt idx="57">
                  <c:v>34.351629386249279</c:v>
                </c:pt>
                <c:pt idx="58">
                  <c:v>35.461304551487963</c:v>
                </c:pt>
                <c:pt idx="59">
                  <c:v>36.588463716726636</c:v>
                </c:pt>
                <c:pt idx="60">
                  <c:v>37.733106881965305</c:v>
                </c:pt>
                <c:pt idx="61">
                  <c:v>38.895234047203985</c:v>
                </c:pt>
                <c:pt idx="62">
                  <c:v>40.074845212442668</c:v>
                </c:pt>
                <c:pt idx="63">
                  <c:v>41.271940377681354</c:v>
                </c:pt>
                <c:pt idx="64">
                  <c:v>42.486519542920036</c:v>
                </c:pt>
                <c:pt idx="65">
                  <c:v>43.718582708158699</c:v>
                </c:pt>
                <c:pt idx="66">
                  <c:v>44.968129873397388</c:v>
                </c:pt>
                <c:pt idx="67">
                  <c:v>46.235161038636029</c:v>
                </c:pt>
                <c:pt idx="68">
                  <c:v>47.519676203874752</c:v>
                </c:pt>
                <c:pt idx="69">
                  <c:v>48.821675369113393</c:v>
                </c:pt>
                <c:pt idx="70">
                  <c:v>50.141158534352094</c:v>
                </c:pt>
                <c:pt idx="71">
                  <c:v>51.478125699590777</c:v>
                </c:pt>
                <c:pt idx="72">
                  <c:v>52.832576864829456</c:v>
                </c:pt>
                <c:pt idx="73">
                  <c:v>54.204512030068138</c:v>
                </c:pt>
                <c:pt idx="74">
                  <c:v>55.593931195306801</c:v>
                </c:pt>
                <c:pt idx="75">
                  <c:v>57.000834360545497</c:v>
                </c:pt>
                <c:pt idx="76">
                  <c:v>58.425221525784139</c:v>
                </c:pt>
                <c:pt idx="77">
                  <c:v>59.867092691022847</c:v>
                </c:pt>
                <c:pt idx="78">
                  <c:v>61.326447856261517</c:v>
                </c:pt>
                <c:pt idx="79">
                  <c:v>62.803287021500211</c:v>
                </c:pt>
                <c:pt idx="80">
                  <c:v>64.297610186738879</c:v>
                </c:pt>
                <c:pt idx="81">
                  <c:v>65.809417351977515</c:v>
                </c:pt>
                <c:pt idx="82">
                  <c:v>67.338708517216233</c:v>
                </c:pt>
                <c:pt idx="83">
                  <c:v>68.885483682454904</c:v>
                </c:pt>
                <c:pt idx="84">
                  <c:v>70.449742847693599</c:v>
                </c:pt>
                <c:pt idx="85">
                  <c:v>72.031486012932234</c:v>
                </c:pt>
                <c:pt idx="86">
                  <c:v>73.63071317817095</c:v>
                </c:pt>
                <c:pt idx="87">
                  <c:v>75.247424343409648</c:v>
                </c:pt>
                <c:pt idx="88">
                  <c:v>76.881619508648285</c:v>
                </c:pt>
                <c:pt idx="89">
                  <c:v>78.533298673886975</c:v>
                </c:pt>
                <c:pt idx="90">
                  <c:v>80.202461839125647</c:v>
                </c:pt>
                <c:pt idx="91">
                  <c:v>81.889109004364329</c:v>
                </c:pt>
                <c:pt idx="92">
                  <c:v>83.593240169603007</c:v>
                </c:pt>
                <c:pt idx="93">
                  <c:v>85.314855334841681</c:v>
                </c:pt>
                <c:pt idx="94">
                  <c:v>87.053954500080366</c:v>
                </c:pt>
                <c:pt idx="95">
                  <c:v>88.810537665319046</c:v>
                </c:pt>
                <c:pt idx="96">
                  <c:v>90.584604830557709</c:v>
                </c:pt>
                <c:pt idx="97">
                  <c:v>92.376155995796381</c:v>
                </c:pt>
                <c:pt idx="98">
                  <c:v>94.185191161035107</c:v>
                </c:pt>
                <c:pt idx="99">
                  <c:v>96.011710326273757</c:v>
                </c:pt>
                <c:pt idx="100">
                  <c:v>97.855713491512418</c:v>
                </c:pt>
                <c:pt idx="101">
                  <c:v>99.717200656751089</c:v>
                </c:pt>
                <c:pt idx="102">
                  <c:v>101.59617182198977</c:v>
                </c:pt>
                <c:pt idx="103">
                  <c:v>103.4926269872285</c:v>
                </c:pt>
                <c:pt idx="104">
                  <c:v>105.40656615246715</c:v>
                </c:pt>
                <c:pt idx="105">
                  <c:v>107.33798931770585</c:v>
                </c:pt>
                <c:pt idx="106">
                  <c:v>109.28689648294451</c:v>
                </c:pt>
                <c:pt idx="107">
                  <c:v>111.25328764818319</c:v>
                </c:pt>
                <c:pt idx="108">
                  <c:v>113.23716281342188</c:v>
                </c:pt>
                <c:pt idx="109">
                  <c:v>115.23852197866054</c:v>
                </c:pt>
                <c:pt idx="110">
                  <c:v>117.25736514389918</c:v>
                </c:pt>
                <c:pt idx="111">
                  <c:v>119.29369230913787</c:v>
                </c:pt>
                <c:pt idx="112">
                  <c:v>121.34750347437657</c:v>
                </c:pt>
                <c:pt idx="113">
                  <c:v>123.4187986396152</c:v>
                </c:pt>
                <c:pt idx="114">
                  <c:v>125.50757780485391</c:v>
                </c:pt>
                <c:pt idx="115">
                  <c:v>127.61384097009261</c:v>
                </c:pt>
                <c:pt idx="116">
                  <c:v>129.73758813533132</c:v>
                </c:pt>
                <c:pt idx="117">
                  <c:v>131.87881930056997</c:v>
                </c:pt>
                <c:pt idx="118">
                  <c:v>134.03753446580865</c:v>
                </c:pt>
                <c:pt idx="119">
                  <c:v>136.21373363104729</c:v>
                </c:pt>
                <c:pt idx="120">
                  <c:v>138.40741679628593</c:v>
                </c:pt>
                <c:pt idx="121">
                  <c:v>140.61858396152468</c:v>
                </c:pt>
                <c:pt idx="122">
                  <c:v>142.84723512676334</c:v>
                </c:pt>
                <c:pt idx="123">
                  <c:v>145.09337029200205</c:v>
                </c:pt>
                <c:pt idx="124">
                  <c:v>147.3569894572407</c:v>
                </c:pt>
                <c:pt idx="125">
                  <c:v>149.63809262247943</c:v>
                </c:pt>
                <c:pt idx="126">
                  <c:v>151.93667978771808</c:v>
                </c:pt>
                <c:pt idx="127">
                  <c:v>154.25275095295675</c:v>
                </c:pt>
                <c:pt idx="128">
                  <c:v>156.58630611819547</c:v>
                </c:pt>
                <c:pt idx="129">
                  <c:v>158.93734528343407</c:v>
                </c:pt>
                <c:pt idx="130">
                  <c:v>161.30586844867278</c:v>
                </c:pt>
                <c:pt idx="131">
                  <c:v>163.69187561391146</c:v>
                </c:pt>
                <c:pt idx="132">
                  <c:v>166.09536677915017</c:v>
                </c:pt>
                <c:pt idx="133">
                  <c:v>168.51634194438881</c:v>
                </c:pt>
                <c:pt idx="134">
                  <c:v>170.95480110962745</c:v>
                </c:pt>
                <c:pt idx="135">
                  <c:v>173.41074427486623</c:v>
                </c:pt>
                <c:pt idx="136">
                  <c:v>175.88417144010486</c:v>
                </c:pt>
                <c:pt idx="137">
                  <c:v>178.37508260534349</c:v>
                </c:pt>
                <c:pt idx="138">
                  <c:v>180.8834777705822</c:v>
                </c:pt>
                <c:pt idx="139">
                  <c:v>183.40935693582094</c:v>
                </c:pt>
                <c:pt idx="140">
                  <c:v>185.95272010105958</c:v>
                </c:pt>
                <c:pt idx="141">
                  <c:v>188.51356726629817</c:v>
                </c:pt>
                <c:pt idx="142">
                  <c:v>191.091898431537</c:v>
                </c:pt>
                <c:pt idx="143">
                  <c:v>193.68771359677558</c:v>
                </c:pt>
                <c:pt idx="144">
                  <c:v>196.30101276201432</c:v>
                </c:pt>
                <c:pt idx="145">
                  <c:v>198.93179592725298</c:v>
                </c:pt>
                <c:pt idx="146">
                  <c:v>201.58006309249168</c:v>
                </c:pt>
                <c:pt idx="147">
                  <c:v>204.24581425773033</c:v>
                </c:pt>
                <c:pt idx="148">
                  <c:v>206.92904942296894</c:v>
                </c:pt>
                <c:pt idx="149">
                  <c:v>209.62976858820767</c:v>
                </c:pt>
                <c:pt idx="150">
                  <c:v>212.34797175344639</c:v>
                </c:pt>
              </c:numCache>
            </c:numRef>
          </c:yVal>
          <c:smooth val="1"/>
          <c:extLst>
            <c:ext xmlns:c16="http://schemas.microsoft.com/office/drawing/2014/chart" uri="{C3380CC4-5D6E-409C-BE32-E72D297353CC}">
              <c16:uniqueId val="{00000001-901A-4CE4-83F4-75906C9CC573}"/>
            </c:ext>
          </c:extLst>
        </c:ser>
        <c:ser>
          <c:idx val="2"/>
          <c:order val="2"/>
          <c:tx>
            <c:v>HS MOSFET</c:v>
          </c:tx>
          <c:spPr>
            <a:ln>
              <a:solidFill>
                <a:schemeClr val="bg2">
                  <a:lumMod val="50000"/>
                </a:schemeClr>
              </a:solidFill>
              <a:prstDash val="sysDash"/>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Eff_vs_IOUT!$AO$7:$AO$157</c:f>
              <c:numCache>
                <c:formatCode>General</c:formatCode>
                <c:ptCount val="151"/>
                <c:pt idx="0">
                  <c:v>0</c:v>
                </c:pt>
                <c:pt idx="1">
                  <c:v>0.74354207363636371</c:v>
                </c:pt>
                <c:pt idx="2">
                  <c:v>0.74745807363636363</c:v>
                </c:pt>
                <c:pt idx="3">
                  <c:v>0.7516380736363637</c:v>
                </c:pt>
                <c:pt idx="4">
                  <c:v>0.75608207363636371</c:v>
                </c:pt>
                <c:pt idx="5">
                  <c:v>0.76079007363636364</c:v>
                </c:pt>
                <c:pt idx="6">
                  <c:v>0.76576207363636362</c:v>
                </c:pt>
                <c:pt idx="7">
                  <c:v>0.77099807363636375</c:v>
                </c:pt>
                <c:pt idx="8">
                  <c:v>0.77649807363636369</c:v>
                </c:pt>
                <c:pt idx="9">
                  <c:v>0.78226207363636369</c:v>
                </c:pt>
                <c:pt idx="10">
                  <c:v>0.78829007363636372</c:v>
                </c:pt>
                <c:pt idx="11">
                  <c:v>0.79458207363636368</c:v>
                </c:pt>
                <c:pt idx="12">
                  <c:v>0.80113807363636369</c:v>
                </c:pt>
                <c:pt idx="13">
                  <c:v>0.80795807363636363</c:v>
                </c:pt>
                <c:pt idx="14">
                  <c:v>0.81504207363636372</c:v>
                </c:pt>
                <c:pt idx="15">
                  <c:v>0.82239007363636374</c:v>
                </c:pt>
                <c:pt idx="16">
                  <c:v>0.83000207363636369</c:v>
                </c:pt>
                <c:pt idx="17">
                  <c:v>0.8378780736363638</c:v>
                </c:pt>
                <c:pt idx="18">
                  <c:v>0.84601807363636372</c:v>
                </c:pt>
                <c:pt idx="19">
                  <c:v>0.85442207363636369</c:v>
                </c:pt>
                <c:pt idx="20">
                  <c:v>0.86309007363636381</c:v>
                </c:pt>
                <c:pt idx="21">
                  <c:v>0.87202207363636375</c:v>
                </c:pt>
                <c:pt idx="22">
                  <c:v>0.88121807363636373</c:v>
                </c:pt>
                <c:pt idx="23">
                  <c:v>0.89067807363636375</c:v>
                </c:pt>
                <c:pt idx="24">
                  <c:v>0.90040207363636382</c:v>
                </c:pt>
                <c:pt idx="25">
                  <c:v>0.91039007363636382</c:v>
                </c:pt>
                <c:pt idx="26">
                  <c:v>0.92064207363636374</c:v>
                </c:pt>
                <c:pt idx="27">
                  <c:v>0.93115807363636383</c:v>
                </c:pt>
                <c:pt idx="28">
                  <c:v>0.94193807363636384</c:v>
                </c:pt>
                <c:pt idx="29">
                  <c:v>0.95298207363636378</c:v>
                </c:pt>
                <c:pt idx="30">
                  <c:v>0.96429007363636376</c:v>
                </c:pt>
                <c:pt idx="31">
                  <c:v>0.97586207363636379</c:v>
                </c:pt>
                <c:pt idx="32">
                  <c:v>0.98769807363636386</c:v>
                </c:pt>
                <c:pt idx="33">
                  <c:v>0.99979807363636375</c:v>
                </c:pt>
                <c:pt idx="34">
                  <c:v>1.0121620736363639</c:v>
                </c:pt>
                <c:pt idx="35">
                  <c:v>1.024790073636364</c:v>
                </c:pt>
                <c:pt idx="36">
                  <c:v>1.0376820736363639</c:v>
                </c:pt>
                <c:pt idx="37">
                  <c:v>1.0508380736363638</c:v>
                </c:pt>
                <c:pt idx="38">
                  <c:v>1.0642580736363638</c:v>
                </c:pt>
                <c:pt idx="39">
                  <c:v>1.0779420736363639</c:v>
                </c:pt>
                <c:pt idx="40">
                  <c:v>1.0918900736363639</c:v>
                </c:pt>
                <c:pt idx="41">
                  <c:v>1.1061020736363638</c:v>
                </c:pt>
                <c:pt idx="42">
                  <c:v>1.1205780736363637</c:v>
                </c:pt>
                <c:pt idx="43">
                  <c:v>1.1353180736363639</c:v>
                </c:pt>
                <c:pt idx="44">
                  <c:v>1.150322073636364</c:v>
                </c:pt>
                <c:pt idx="45">
                  <c:v>1.165590073636364</c:v>
                </c:pt>
                <c:pt idx="46">
                  <c:v>1.1811220736363641</c:v>
                </c:pt>
                <c:pt idx="47">
                  <c:v>1.196918073636364</c:v>
                </c:pt>
                <c:pt idx="48">
                  <c:v>1.212978073636364</c:v>
                </c:pt>
                <c:pt idx="49">
                  <c:v>1.229302073636364</c:v>
                </c:pt>
                <c:pt idx="50">
                  <c:v>1.2458900736363641</c:v>
                </c:pt>
                <c:pt idx="51">
                  <c:v>1.2627420736363639</c:v>
                </c:pt>
                <c:pt idx="52">
                  <c:v>1.2798580736363641</c:v>
                </c:pt>
                <c:pt idx="53">
                  <c:v>1.2972380736363642</c:v>
                </c:pt>
                <c:pt idx="54">
                  <c:v>1.314882073636364</c:v>
                </c:pt>
                <c:pt idx="55">
                  <c:v>1.3327900736363643</c:v>
                </c:pt>
                <c:pt idx="56">
                  <c:v>1.3509620736363641</c:v>
                </c:pt>
                <c:pt idx="57">
                  <c:v>1.369398073636364</c:v>
                </c:pt>
                <c:pt idx="58">
                  <c:v>1.3880980736363639</c:v>
                </c:pt>
                <c:pt idx="59">
                  <c:v>1.4070620736363639</c:v>
                </c:pt>
                <c:pt idx="60">
                  <c:v>1.426290073636364</c:v>
                </c:pt>
                <c:pt idx="61">
                  <c:v>1.445782073636364</c:v>
                </c:pt>
                <c:pt idx="62">
                  <c:v>1.4655380736363643</c:v>
                </c:pt>
                <c:pt idx="63">
                  <c:v>1.4855580736363641</c:v>
                </c:pt>
                <c:pt idx="64">
                  <c:v>1.5058420736363642</c:v>
                </c:pt>
                <c:pt idx="65">
                  <c:v>1.526390073636364</c:v>
                </c:pt>
                <c:pt idx="66">
                  <c:v>1.5472020736363641</c:v>
                </c:pt>
                <c:pt idx="67">
                  <c:v>1.568278073636364</c:v>
                </c:pt>
                <c:pt idx="68">
                  <c:v>1.5896180736363643</c:v>
                </c:pt>
                <c:pt idx="69">
                  <c:v>1.611222073636364</c:v>
                </c:pt>
                <c:pt idx="70">
                  <c:v>1.6330900736363643</c:v>
                </c:pt>
                <c:pt idx="71">
                  <c:v>1.6552220736363643</c:v>
                </c:pt>
                <c:pt idx="72">
                  <c:v>1.6776180736363639</c:v>
                </c:pt>
                <c:pt idx="73">
                  <c:v>1.7002780736363641</c:v>
                </c:pt>
                <c:pt idx="74">
                  <c:v>1.7232020736363642</c:v>
                </c:pt>
                <c:pt idx="75">
                  <c:v>1.7463900736363642</c:v>
                </c:pt>
                <c:pt idx="76">
                  <c:v>1.769842073636364</c:v>
                </c:pt>
                <c:pt idx="77">
                  <c:v>1.7935580736363645</c:v>
                </c:pt>
                <c:pt idx="78">
                  <c:v>1.8175380736363647</c:v>
                </c:pt>
                <c:pt idx="79">
                  <c:v>1.8417820736363648</c:v>
                </c:pt>
                <c:pt idx="80">
                  <c:v>1.8662900736363643</c:v>
                </c:pt>
                <c:pt idx="81">
                  <c:v>1.8910620736363639</c:v>
                </c:pt>
                <c:pt idx="82">
                  <c:v>1.9160980736363644</c:v>
                </c:pt>
                <c:pt idx="83">
                  <c:v>1.9413980736363641</c:v>
                </c:pt>
                <c:pt idx="84">
                  <c:v>1.9669620736363644</c:v>
                </c:pt>
                <c:pt idx="85">
                  <c:v>1.992790073636364</c:v>
                </c:pt>
                <c:pt idx="86">
                  <c:v>2.0188820736363646</c:v>
                </c:pt>
                <c:pt idx="87">
                  <c:v>2.0452380736363649</c:v>
                </c:pt>
                <c:pt idx="88">
                  <c:v>2.0718580736363643</c:v>
                </c:pt>
                <c:pt idx="89">
                  <c:v>2.0987420736363642</c:v>
                </c:pt>
                <c:pt idx="90">
                  <c:v>2.1258900736363646</c:v>
                </c:pt>
                <c:pt idx="91">
                  <c:v>2.1533020736363646</c:v>
                </c:pt>
                <c:pt idx="92">
                  <c:v>2.1809780736363646</c:v>
                </c:pt>
                <c:pt idx="93">
                  <c:v>2.2089180736363643</c:v>
                </c:pt>
                <c:pt idx="94">
                  <c:v>2.2371220736363648</c:v>
                </c:pt>
                <c:pt idx="95">
                  <c:v>2.265590073636365</c:v>
                </c:pt>
                <c:pt idx="96">
                  <c:v>2.2943220736363648</c:v>
                </c:pt>
                <c:pt idx="97">
                  <c:v>2.3233180736363646</c:v>
                </c:pt>
                <c:pt idx="98">
                  <c:v>2.3525780736363653</c:v>
                </c:pt>
                <c:pt idx="99">
                  <c:v>2.3821020736363647</c:v>
                </c:pt>
                <c:pt idx="100">
                  <c:v>2.4118900736363647</c:v>
                </c:pt>
                <c:pt idx="101">
                  <c:v>2.4419420736363646</c:v>
                </c:pt>
                <c:pt idx="102">
                  <c:v>2.4722580736363651</c:v>
                </c:pt>
                <c:pt idx="103">
                  <c:v>2.5028380736363651</c:v>
                </c:pt>
                <c:pt idx="104">
                  <c:v>2.5336820736363652</c:v>
                </c:pt>
                <c:pt idx="105">
                  <c:v>2.5647900736363654</c:v>
                </c:pt>
                <c:pt idx="106">
                  <c:v>2.5961620736363651</c:v>
                </c:pt>
                <c:pt idx="107">
                  <c:v>2.6277980736363657</c:v>
                </c:pt>
                <c:pt idx="108">
                  <c:v>2.6596980736363651</c:v>
                </c:pt>
                <c:pt idx="109">
                  <c:v>2.691862073636365</c:v>
                </c:pt>
                <c:pt idx="110">
                  <c:v>2.7242900736363644</c:v>
                </c:pt>
                <c:pt idx="111">
                  <c:v>2.7569820736363653</c:v>
                </c:pt>
                <c:pt idx="112">
                  <c:v>2.7899380736363653</c:v>
                </c:pt>
                <c:pt idx="113">
                  <c:v>2.8231580736363644</c:v>
                </c:pt>
                <c:pt idx="114">
                  <c:v>2.8566420736363654</c:v>
                </c:pt>
                <c:pt idx="115">
                  <c:v>2.8903900736363655</c:v>
                </c:pt>
                <c:pt idx="116">
                  <c:v>2.9244020736363652</c:v>
                </c:pt>
                <c:pt idx="117">
                  <c:v>2.9586780736363654</c:v>
                </c:pt>
                <c:pt idx="118">
                  <c:v>2.9932180736363652</c:v>
                </c:pt>
                <c:pt idx="119">
                  <c:v>3.028022073636365</c:v>
                </c:pt>
                <c:pt idx="120">
                  <c:v>3.0630900736363653</c:v>
                </c:pt>
                <c:pt idx="121">
                  <c:v>3.0984220736363652</c:v>
                </c:pt>
                <c:pt idx="122">
                  <c:v>3.1340180736363652</c:v>
                </c:pt>
                <c:pt idx="123">
                  <c:v>3.1698780736363656</c:v>
                </c:pt>
                <c:pt idx="124">
                  <c:v>3.2060020736363657</c:v>
                </c:pt>
                <c:pt idx="125">
                  <c:v>3.2423900736363653</c:v>
                </c:pt>
                <c:pt idx="126">
                  <c:v>3.2790420736363655</c:v>
                </c:pt>
                <c:pt idx="127">
                  <c:v>3.3159580736363656</c:v>
                </c:pt>
                <c:pt idx="128">
                  <c:v>3.3531380736363663</c:v>
                </c:pt>
                <c:pt idx="129">
                  <c:v>3.3905820736363652</c:v>
                </c:pt>
                <c:pt idx="130">
                  <c:v>3.428290073636366</c:v>
                </c:pt>
                <c:pt idx="131">
                  <c:v>3.4662620736363663</c:v>
                </c:pt>
                <c:pt idx="132">
                  <c:v>3.5044980736363671</c:v>
                </c:pt>
                <c:pt idx="133">
                  <c:v>3.5429980736363658</c:v>
                </c:pt>
                <c:pt idx="134">
                  <c:v>3.5817620736363658</c:v>
                </c:pt>
                <c:pt idx="135">
                  <c:v>3.6207900736363663</c:v>
                </c:pt>
                <c:pt idx="136">
                  <c:v>3.660082073636366</c:v>
                </c:pt>
                <c:pt idx="137">
                  <c:v>3.6996380736363661</c:v>
                </c:pt>
                <c:pt idx="138">
                  <c:v>3.7394580736363663</c:v>
                </c:pt>
                <c:pt idx="139">
                  <c:v>3.779542073636367</c:v>
                </c:pt>
                <c:pt idx="140">
                  <c:v>3.8198900736363663</c:v>
                </c:pt>
                <c:pt idx="141">
                  <c:v>3.8605020736363658</c:v>
                </c:pt>
                <c:pt idx="142">
                  <c:v>3.9013780736363666</c:v>
                </c:pt>
                <c:pt idx="143">
                  <c:v>3.9425180736363661</c:v>
                </c:pt>
                <c:pt idx="144">
                  <c:v>3.983922073636367</c:v>
                </c:pt>
                <c:pt idx="145">
                  <c:v>4.0255900736363657</c:v>
                </c:pt>
                <c:pt idx="146">
                  <c:v>4.0675220736363666</c:v>
                </c:pt>
                <c:pt idx="147">
                  <c:v>4.1097180736363672</c:v>
                </c:pt>
                <c:pt idx="148">
                  <c:v>4.1521780736363656</c:v>
                </c:pt>
                <c:pt idx="149">
                  <c:v>4.1949020736363671</c:v>
                </c:pt>
                <c:pt idx="150">
                  <c:v>4.2378900736363665</c:v>
                </c:pt>
              </c:numCache>
            </c:numRef>
          </c:yVal>
          <c:smooth val="1"/>
          <c:extLst>
            <c:ext xmlns:c16="http://schemas.microsoft.com/office/drawing/2014/chart" uri="{C3380CC4-5D6E-409C-BE32-E72D297353CC}">
              <c16:uniqueId val="{00000002-901A-4CE4-83F4-75906C9CC573}"/>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Eff_vs_IOUT!$AP$7:$AP$157</c:f>
              <c:numCache>
                <c:formatCode>General</c:formatCode>
                <c:ptCount val="151"/>
                <c:pt idx="0">
                  <c:v>0</c:v>
                </c:pt>
                <c:pt idx="1">
                  <c:v>5.6846074380165288E-4</c:v>
                </c:pt>
                <c:pt idx="2">
                  <c:v>2.0684607438016529E-3</c:v>
                </c:pt>
                <c:pt idx="3">
                  <c:v>4.5684607438016521E-3</c:v>
                </c:pt>
                <c:pt idx="4">
                  <c:v>8.0684607438016535E-3</c:v>
                </c:pt>
                <c:pt idx="5">
                  <c:v>1.2568460743801654E-2</c:v>
                </c:pt>
                <c:pt idx="6">
                  <c:v>1.806846074380165E-2</c:v>
                </c:pt>
                <c:pt idx="7">
                  <c:v>2.4568460743801653E-2</c:v>
                </c:pt>
                <c:pt idx="8">
                  <c:v>3.2068460743801659E-2</c:v>
                </c:pt>
                <c:pt idx="9">
                  <c:v>4.056846074380166E-2</c:v>
                </c:pt>
                <c:pt idx="10">
                  <c:v>5.0068460743801661E-2</c:v>
                </c:pt>
                <c:pt idx="11">
                  <c:v>6.0568460743801622E-2</c:v>
                </c:pt>
                <c:pt idx="12">
                  <c:v>7.2068460743801646E-2</c:v>
                </c:pt>
                <c:pt idx="13">
                  <c:v>8.4568460743801643E-2</c:v>
                </c:pt>
                <c:pt idx="14">
                  <c:v>9.8068460743801655E-2</c:v>
                </c:pt>
                <c:pt idx="15">
                  <c:v>0.11256846074380163</c:v>
                </c:pt>
                <c:pt idx="16">
                  <c:v>0.12806846074380163</c:v>
                </c:pt>
                <c:pt idx="17">
                  <c:v>0.14456846074380167</c:v>
                </c:pt>
                <c:pt idx="18">
                  <c:v>0.16206846074380168</c:v>
                </c:pt>
                <c:pt idx="19">
                  <c:v>0.18056846074380159</c:v>
                </c:pt>
                <c:pt idx="20">
                  <c:v>0.20006846074380169</c:v>
                </c:pt>
                <c:pt idx="21">
                  <c:v>0.22056846074380168</c:v>
                </c:pt>
                <c:pt idx="22">
                  <c:v>0.24206846074380162</c:v>
                </c:pt>
                <c:pt idx="23">
                  <c:v>0.26456846074380175</c:v>
                </c:pt>
                <c:pt idx="24">
                  <c:v>0.28806846074380166</c:v>
                </c:pt>
                <c:pt idx="25">
                  <c:v>0.31256846074380168</c:v>
                </c:pt>
                <c:pt idx="26">
                  <c:v>0.33806846074380165</c:v>
                </c:pt>
                <c:pt idx="27">
                  <c:v>0.36456846074380161</c:v>
                </c:pt>
                <c:pt idx="28">
                  <c:v>0.39206846074380169</c:v>
                </c:pt>
                <c:pt idx="29">
                  <c:v>0.42056846074380166</c:v>
                </c:pt>
                <c:pt idx="30">
                  <c:v>0.45006846074380163</c:v>
                </c:pt>
                <c:pt idx="31">
                  <c:v>0.48056846074380161</c:v>
                </c:pt>
                <c:pt idx="32">
                  <c:v>0.51206846074380152</c:v>
                </c:pt>
                <c:pt idx="33">
                  <c:v>0.54456846074380183</c:v>
                </c:pt>
                <c:pt idx="34">
                  <c:v>0.57806846074380169</c:v>
                </c:pt>
                <c:pt idx="35">
                  <c:v>0.61256846074380167</c:v>
                </c:pt>
                <c:pt idx="36">
                  <c:v>0.64806846074380153</c:v>
                </c:pt>
                <c:pt idx="37">
                  <c:v>0.6845684607438014</c:v>
                </c:pt>
                <c:pt idx="38">
                  <c:v>0.72206846074380138</c:v>
                </c:pt>
                <c:pt idx="39">
                  <c:v>0.76056846074380169</c:v>
                </c:pt>
                <c:pt idx="40">
                  <c:v>0.80006846074380156</c:v>
                </c:pt>
                <c:pt idx="41">
                  <c:v>0.84056846074380165</c:v>
                </c:pt>
                <c:pt idx="42">
                  <c:v>0.88206846074380152</c:v>
                </c:pt>
                <c:pt idx="43">
                  <c:v>0.92456846074380183</c:v>
                </c:pt>
                <c:pt idx="44">
                  <c:v>0.96806846074380148</c:v>
                </c:pt>
                <c:pt idx="45">
                  <c:v>1.0125684607438017</c:v>
                </c:pt>
                <c:pt idx="46">
                  <c:v>1.0580684607438018</c:v>
                </c:pt>
                <c:pt idx="47">
                  <c:v>1.1045684607438018</c:v>
                </c:pt>
                <c:pt idx="48">
                  <c:v>1.1520684607438016</c:v>
                </c:pt>
                <c:pt idx="49">
                  <c:v>1.2005684607438016</c:v>
                </c:pt>
                <c:pt idx="50">
                  <c:v>1.2500684607438013</c:v>
                </c:pt>
                <c:pt idx="51">
                  <c:v>1.3005684607438015</c:v>
                </c:pt>
                <c:pt idx="52">
                  <c:v>1.3520684607438016</c:v>
                </c:pt>
                <c:pt idx="53">
                  <c:v>1.4045684607438016</c:v>
                </c:pt>
                <c:pt idx="54">
                  <c:v>1.4580684607438015</c:v>
                </c:pt>
                <c:pt idx="55">
                  <c:v>1.5125684607438017</c:v>
                </c:pt>
                <c:pt idx="56">
                  <c:v>1.5680684607438016</c:v>
                </c:pt>
                <c:pt idx="57">
                  <c:v>1.6245684607438018</c:v>
                </c:pt>
                <c:pt idx="58">
                  <c:v>1.6820684607438015</c:v>
                </c:pt>
                <c:pt idx="59">
                  <c:v>1.7405684607438019</c:v>
                </c:pt>
                <c:pt idx="60">
                  <c:v>1.8000684607438009</c:v>
                </c:pt>
                <c:pt idx="61">
                  <c:v>1.8605684607438011</c:v>
                </c:pt>
                <c:pt idx="62">
                  <c:v>1.9220684607438019</c:v>
                </c:pt>
                <c:pt idx="63">
                  <c:v>1.9845684607438019</c:v>
                </c:pt>
                <c:pt idx="64">
                  <c:v>2.0480684607438016</c:v>
                </c:pt>
                <c:pt idx="65">
                  <c:v>2.1125684607438018</c:v>
                </c:pt>
                <c:pt idx="66">
                  <c:v>2.178068460743801</c:v>
                </c:pt>
                <c:pt idx="67">
                  <c:v>2.2445684607438006</c:v>
                </c:pt>
                <c:pt idx="68">
                  <c:v>2.3120684607438018</c:v>
                </c:pt>
                <c:pt idx="69">
                  <c:v>2.3805684607438007</c:v>
                </c:pt>
                <c:pt idx="70">
                  <c:v>2.4500684607438012</c:v>
                </c:pt>
                <c:pt idx="71">
                  <c:v>2.5205684607438017</c:v>
                </c:pt>
                <c:pt idx="72">
                  <c:v>2.592068460743802</c:v>
                </c:pt>
                <c:pt idx="73">
                  <c:v>2.6645684607438018</c:v>
                </c:pt>
                <c:pt idx="74">
                  <c:v>2.7380684607438011</c:v>
                </c:pt>
                <c:pt idx="75">
                  <c:v>2.812568460743802</c:v>
                </c:pt>
                <c:pt idx="76">
                  <c:v>2.888068460743801</c:v>
                </c:pt>
                <c:pt idx="77">
                  <c:v>2.9645684607438016</c:v>
                </c:pt>
                <c:pt idx="78">
                  <c:v>3.0420684607438022</c:v>
                </c:pt>
                <c:pt idx="79">
                  <c:v>3.1205684607438022</c:v>
                </c:pt>
                <c:pt idx="80">
                  <c:v>3.2000684607438021</c:v>
                </c:pt>
                <c:pt idx="81">
                  <c:v>3.2805684607437997</c:v>
                </c:pt>
                <c:pt idx="82">
                  <c:v>3.3620684607438021</c:v>
                </c:pt>
                <c:pt idx="83">
                  <c:v>3.4445684607438003</c:v>
                </c:pt>
                <c:pt idx="84">
                  <c:v>3.5280684607438015</c:v>
                </c:pt>
                <c:pt idx="85">
                  <c:v>3.6125684607438004</c:v>
                </c:pt>
                <c:pt idx="86">
                  <c:v>3.698068460743801</c:v>
                </c:pt>
                <c:pt idx="87">
                  <c:v>3.7845684607438019</c:v>
                </c:pt>
                <c:pt idx="88">
                  <c:v>3.8720684607438001</c:v>
                </c:pt>
                <c:pt idx="89">
                  <c:v>3.9605684607438016</c:v>
                </c:pt>
                <c:pt idx="90">
                  <c:v>4.0500684607438018</c:v>
                </c:pt>
                <c:pt idx="91">
                  <c:v>4.1405684607438014</c:v>
                </c:pt>
                <c:pt idx="92">
                  <c:v>4.2320684607438004</c:v>
                </c:pt>
                <c:pt idx="93">
                  <c:v>4.3245684607438015</c:v>
                </c:pt>
                <c:pt idx="94">
                  <c:v>4.4180684607438012</c:v>
                </c:pt>
                <c:pt idx="95">
                  <c:v>4.5125684607438004</c:v>
                </c:pt>
                <c:pt idx="96">
                  <c:v>4.6080684607438016</c:v>
                </c:pt>
                <c:pt idx="97">
                  <c:v>4.7045684607437988</c:v>
                </c:pt>
                <c:pt idx="98">
                  <c:v>4.8020684607438007</c:v>
                </c:pt>
                <c:pt idx="99">
                  <c:v>4.9005684607438011</c:v>
                </c:pt>
                <c:pt idx="100">
                  <c:v>5.000068460743802</c:v>
                </c:pt>
                <c:pt idx="101">
                  <c:v>5.1005684607438013</c:v>
                </c:pt>
                <c:pt idx="102">
                  <c:v>5.2020684607438028</c:v>
                </c:pt>
                <c:pt idx="103">
                  <c:v>5.3045684607438019</c:v>
                </c:pt>
                <c:pt idx="104">
                  <c:v>5.4080684607438014</c:v>
                </c:pt>
                <c:pt idx="105">
                  <c:v>5.5125684607438021</c:v>
                </c:pt>
                <c:pt idx="106">
                  <c:v>5.6180684607438005</c:v>
                </c:pt>
                <c:pt idx="107">
                  <c:v>5.724568460743801</c:v>
                </c:pt>
                <c:pt idx="108">
                  <c:v>5.8320684607438027</c:v>
                </c:pt>
                <c:pt idx="109">
                  <c:v>5.9405684607438021</c:v>
                </c:pt>
                <c:pt idx="110">
                  <c:v>6.0500684607438018</c:v>
                </c:pt>
                <c:pt idx="111">
                  <c:v>6.1605684607438018</c:v>
                </c:pt>
                <c:pt idx="112">
                  <c:v>6.2720684607438013</c:v>
                </c:pt>
                <c:pt idx="113">
                  <c:v>6.3845684607438011</c:v>
                </c:pt>
                <c:pt idx="114">
                  <c:v>6.4980684607438022</c:v>
                </c:pt>
                <c:pt idx="115">
                  <c:v>6.6125684607438018</c:v>
                </c:pt>
                <c:pt idx="116">
                  <c:v>6.7280684607438017</c:v>
                </c:pt>
                <c:pt idx="117">
                  <c:v>6.8445684607438011</c:v>
                </c:pt>
                <c:pt idx="118">
                  <c:v>6.9620684607438017</c:v>
                </c:pt>
                <c:pt idx="119">
                  <c:v>7.0805684607438018</c:v>
                </c:pt>
                <c:pt idx="120">
                  <c:v>7.2000684607438004</c:v>
                </c:pt>
                <c:pt idx="121">
                  <c:v>7.320568460743802</c:v>
                </c:pt>
                <c:pt idx="122">
                  <c:v>7.4420684607437995</c:v>
                </c:pt>
                <c:pt idx="123">
                  <c:v>7.5645684607438026</c:v>
                </c:pt>
                <c:pt idx="124">
                  <c:v>7.6880684607438008</c:v>
                </c:pt>
                <c:pt idx="125">
                  <c:v>7.8125684607438011</c:v>
                </c:pt>
                <c:pt idx="126">
                  <c:v>7.9380684607438017</c:v>
                </c:pt>
                <c:pt idx="127">
                  <c:v>8.0645684607438</c:v>
                </c:pt>
                <c:pt idx="128">
                  <c:v>8.1920684607438012</c:v>
                </c:pt>
                <c:pt idx="129">
                  <c:v>8.3205684607437984</c:v>
                </c:pt>
                <c:pt idx="130">
                  <c:v>8.4500684607438021</c:v>
                </c:pt>
                <c:pt idx="131">
                  <c:v>8.5805684607438018</c:v>
                </c:pt>
                <c:pt idx="132">
                  <c:v>8.7120684607438026</c:v>
                </c:pt>
                <c:pt idx="133">
                  <c:v>8.8445684607438011</c:v>
                </c:pt>
                <c:pt idx="134">
                  <c:v>8.9780684607437955</c:v>
                </c:pt>
                <c:pt idx="135">
                  <c:v>9.1125684607438018</c:v>
                </c:pt>
                <c:pt idx="136">
                  <c:v>9.248068460743804</c:v>
                </c:pt>
                <c:pt idx="137">
                  <c:v>9.3845684607437985</c:v>
                </c:pt>
                <c:pt idx="138">
                  <c:v>9.5220684607437978</c:v>
                </c:pt>
                <c:pt idx="139">
                  <c:v>9.6605684607438036</c:v>
                </c:pt>
                <c:pt idx="140">
                  <c:v>9.8000684607438</c:v>
                </c:pt>
                <c:pt idx="141">
                  <c:v>9.9405684607437994</c:v>
                </c:pt>
                <c:pt idx="142">
                  <c:v>10.082068460743802</c:v>
                </c:pt>
                <c:pt idx="143">
                  <c:v>10.224568460743804</c:v>
                </c:pt>
                <c:pt idx="144">
                  <c:v>10.368068460743803</c:v>
                </c:pt>
                <c:pt idx="145">
                  <c:v>10.512568460743797</c:v>
                </c:pt>
                <c:pt idx="146">
                  <c:v>10.658068460743802</c:v>
                </c:pt>
                <c:pt idx="147">
                  <c:v>10.8045684607438</c:v>
                </c:pt>
                <c:pt idx="148">
                  <c:v>10.952068460743797</c:v>
                </c:pt>
                <c:pt idx="149">
                  <c:v>11.1005684607438</c:v>
                </c:pt>
                <c:pt idx="150">
                  <c:v>11.250068460743801</c:v>
                </c:pt>
              </c:numCache>
            </c:numRef>
          </c:yVal>
          <c:smooth val="1"/>
          <c:extLst>
            <c:ext xmlns:c16="http://schemas.microsoft.com/office/drawing/2014/chart" uri="{C3380CC4-5D6E-409C-BE32-E72D297353CC}">
              <c16:uniqueId val="{00000003-901A-4CE4-83F4-75906C9CC573}"/>
            </c:ext>
          </c:extLst>
        </c:ser>
        <c:dLbls>
          <c:showLegendKey val="0"/>
          <c:showVal val="0"/>
          <c:showCatName val="0"/>
          <c:showSerName val="0"/>
          <c:showPercent val="0"/>
          <c:showBubbleSize val="0"/>
        </c:dLbls>
        <c:axId val="361467264"/>
        <c:axId val="361465344"/>
      </c:scatterChart>
      <c:valAx>
        <c:axId val="361445248"/>
        <c:scaling>
          <c:orientation val="minMax"/>
        </c:scaling>
        <c:delete val="0"/>
        <c:axPos val="b"/>
        <c:majorGridlines/>
        <c:numFmt formatCode="General" sourceLinked="1"/>
        <c:majorTickMark val="out"/>
        <c:minorTickMark val="none"/>
        <c:tickLblPos val="nextTo"/>
        <c:crossAx val="361446784"/>
        <c:crosses val="autoZero"/>
        <c:crossBetween val="midCat"/>
      </c:valAx>
      <c:valAx>
        <c:axId val="361446784"/>
        <c:scaling>
          <c:orientation val="minMax"/>
          <c:max val="100"/>
          <c:min val="6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361445248"/>
        <c:crosses val="autoZero"/>
        <c:crossBetween val="midCat"/>
      </c:valAx>
      <c:valAx>
        <c:axId val="361465344"/>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361467264"/>
        <c:crosses val="max"/>
        <c:crossBetween val="midCat"/>
      </c:valAx>
      <c:valAx>
        <c:axId val="361467264"/>
        <c:scaling>
          <c:orientation val="minMax"/>
        </c:scaling>
        <c:delete val="1"/>
        <c:axPos val="b"/>
        <c:title>
          <c:tx>
            <c:rich>
              <a:bodyPr/>
              <a:lstStyle/>
              <a:p>
                <a:pPr>
                  <a:defRPr/>
                </a:pPr>
                <a:r>
                  <a:rPr lang="en-US"/>
                  <a:t>Loac</a:t>
                </a:r>
                <a:r>
                  <a:rPr lang="en-US" baseline="0"/>
                  <a:t> Current (A)</a:t>
                </a:r>
                <a:endParaRPr lang="en-US"/>
              </a:p>
            </c:rich>
          </c:tx>
          <c:overlay val="0"/>
        </c:title>
        <c:numFmt formatCode="General" sourceLinked="1"/>
        <c:majorTickMark val="out"/>
        <c:minorTickMark val="none"/>
        <c:tickLblPos val="nextTo"/>
        <c:crossAx val="361465344"/>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CCM Plant Transfer</a:t>
            </a:r>
            <a:r>
              <a:rPr lang="en-US" baseline="0"/>
              <a:t> Function</a:t>
            </a:r>
            <a:endParaRPr lang="en-US"/>
          </a:p>
        </c:rich>
      </c:tx>
      <c:overlay val="0"/>
    </c:title>
    <c:autoTitleDeleted val="0"/>
    <c:plotArea>
      <c:layout/>
      <c:scatterChart>
        <c:scatterStyle val="smoothMarker"/>
        <c:varyColors val="0"/>
        <c:ser>
          <c:idx val="0"/>
          <c:order val="0"/>
          <c:tx>
            <c:v>Gain(dB)</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Loop_Modeling!$AD$19:$AD$560</c:f>
              <c:numCache>
                <c:formatCode>0.000</c:formatCode>
                <c:ptCount val="542"/>
                <c:pt idx="0">
                  <c:v>24.240540327098788</c:v>
                </c:pt>
                <c:pt idx="1">
                  <c:v>24.235084738685451</c:v>
                </c:pt>
                <c:pt idx="2">
                  <c:v>24.22937951486249</c:v>
                </c:pt>
                <c:pt idx="3">
                  <c:v>24.223413590450793</c:v>
                </c:pt>
                <c:pt idx="4">
                  <c:v>24.217175443178878</c:v>
                </c:pt>
                <c:pt idx="5">
                  <c:v>24.210653077910962</c:v>
                </c:pt>
                <c:pt idx="6">
                  <c:v>24.203834010627077</c:v>
                </c:pt>
                <c:pt idx="7">
                  <c:v>24.196705252181758</c:v>
                </c:pt>
                <c:pt idx="8">
                  <c:v>24.189253291874572</c:v>
                </c:pt>
                <c:pt idx="9">
                  <c:v>24.181464080867539</c:v>
                </c:pt>
                <c:pt idx="10">
                  <c:v>24.173323015489277</c:v>
                </c:pt>
                <c:pt idx="11">
                  <c:v>24.164814920473333</c:v>
                </c:pt>
                <c:pt idx="12">
                  <c:v>24.155924032179279</c:v>
                </c:pt>
                <c:pt idx="13">
                  <c:v>24.146633981855388</c:v>
                </c:pt>
                <c:pt idx="14">
                  <c:v>24.136927779002619</c:v>
                </c:pt>
                <c:pt idx="15">
                  <c:v>24.126787794911166</c:v>
                </c:pt>
                <c:pt idx="16">
                  <c:v>24.116195746443271</c:v>
                </c:pt>
                <c:pt idx="17">
                  <c:v>24.105132680145481</c:v>
                </c:pt>
                <c:pt idx="18">
                  <c:v>24.093578956779332</c:v>
                </c:pt>
                <c:pt idx="19">
                  <c:v>24.081514236368413</c:v>
                </c:pt>
                <c:pt idx="20">
                  <c:v>24.068917463866203</c:v>
                </c:pt>
                <c:pt idx="21">
                  <c:v>24.055766855558289</c:v>
                </c:pt>
                <c:pt idx="22">
                  <c:v>24.042039886319916</c:v>
                </c:pt>
                <c:pt idx="23">
                  <c:v>24.027713277858904</c:v>
                </c:pt>
                <c:pt idx="24">
                  <c:v>24.012762988082596</c:v>
                </c:pt>
                <c:pt idx="25">
                  <c:v>23.997164201734421</c:v>
                </c:pt>
                <c:pt idx="26">
                  <c:v>23.980891322457168</c:v>
                </c:pt>
                <c:pt idx="27">
                  <c:v>23.963917966444104</c:v>
                </c:pt>
                <c:pt idx="28">
                  <c:v>23.946216957851654</c:v>
                </c:pt>
                <c:pt idx="29">
                  <c:v>23.927760326150867</c:v>
                </c:pt>
                <c:pt idx="30">
                  <c:v>23.908519305605274</c:v>
                </c:pt>
                <c:pt idx="31">
                  <c:v>23.888464337066551</c:v>
                </c:pt>
                <c:pt idx="32">
                  <c:v>23.86756507228678</c:v>
                </c:pt>
                <c:pt idx="33">
                  <c:v>23.845790380950277</c:v>
                </c:pt>
                <c:pt idx="34">
                  <c:v>23.823108360630648</c:v>
                </c:pt>
                <c:pt idx="35">
                  <c:v>23.799486349881963</c:v>
                </c:pt>
                <c:pt idx="36">
                  <c:v>23.774890944672634</c:v>
                </c:pt>
                <c:pt idx="37">
                  <c:v>23.749288018370343</c:v>
                </c:pt>
                <c:pt idx="38">
                  <c:v>23.722642745481043</c:v>
                </c:pt>
                <c:pt idx="39">
                  <c:v>23.694919629343239</c:v>
                </c:pt>
                <c:pt idx="40">
                  <c:v>23.666082533966989</c:v>
                </c:pt>
                <c:pt idx="41">
                  <c:v>23.636094720199289</c:v>
                </c:pt>
                <c:pt idx="42">
                  <c:v>23.604918886383793</c:v>
                </c:pt>
                <c:pt idx="43">
                  <c:v>23.572517213665588</c:v>
                </c:pt>
                <c:pt idx="44">
                  <c:v>23.538851416074099</c:v>
                </c:pt>
                <c:pt idx="45">
                  <c:v>23.503882795492483</c:v>
                </c:pt>
                <c:pt idx="46">
                  <c:v>23.46757230159827</c:v>
                </c:pt>
                <c:pt idx="47">
                  <c:v>23.429880596828426</c:v>
                </c:pt>
                <c:pt idx="48">
                  <c:v>23.390768126390725</c:v>
                </c:pt>
                <c:pt idx="49">
                  <c:v>23.350195193306167</c:v>
                </c:pt>
                <c:pt idx="50">
                  <c:v>23.308122038428422</c:v>
                </c:pt>
                <c:pt idx="51">
                  <c:v>23.264508925343502</c:v>
                </c:pt>
                <c:pt idx="52">
                  <c:v>23.21931623000691</c:v>
                </c:pt>
                <c:pt idx="53">
                  <c:v>23.172504534928979</c:v>
                </c:pt>
                <c:pt idx="54">
                  <c:v>23.124034727667659</c:v>
                </c:pt>
                <c:pt idx="55">
                  <c:v>23.073868103338228</c:v>
                </c:pt>
                <c:pt idx="56">
                  <c:v>23.021966470794549</c:v>
                </c:pt>
                <c:pt idx="57">
                  <c:v>22.968292262086671</c:v>
                </c:pt>
                <c:pt idx="58">
                  <c:v>22.912808644743293</c:v>
                </c:pt>
                <c:pt idx="59">
                  <c:v>22.855479636380451</c:v>
                </c:pt>
                <c:pt idx="60">
                  <c:v>22.79627022108405</c:v>
                </c:pt>
                <c:pt idx="61">
                  <c:v>22.735146466970392</c:v>
                </c:pt>
                <c:pt idx="62">
                  <c:v>22.672075644285336</c:v>
                </c:pt>
                <c:pt idx="63">
                  <c:v>22.607026343362762</c:v>
                </c:pt>
                <c:pt idx="64">
                  <c:v>22.539968591732965</c:v>
                </c:pt>
                <c:pt idx="65">
                  <c:v>22.470873969643833</c:v>
                </c:pt>
                <c:pt idx="66">
                  <c:v>22.399715723238867</c:v>
                </c:pt>
                <c:pt idx="67">
                  <c:v>22.326468874625171</c:v>
                </c:pt>
                <c:pt idx="68">
                  <c:v>22.251110328061905</c:v>
                </c:pt>
                <c:pt idx="69">
                  <c:v>22.173618971506691</c:v>
                </c:pt>
                <c:pt idx="70">
                  <c:v>22.093975772772232</c:v>
                </c:pt>
                <c:pt idx="71">
                  <c:v>22.012163869571857</c:v>
                </c:pt>
                <c:pt idx="72">
                  <c:v>21.928168652767674</c:v>
                </c:pt>
                <c:pt idx="73">
                  <c:v>21.841977842178359</c:v>
                </c:pt>
                <c:pt idx="74">
                  <c:v>21.753581554358604</c:v>
                </c:pt>
                <c:pt idx="75">
                  <c:v>21.662972361823169</c:v>
                </c:pt>
                <c:pt idx="76">
                  <c:v>21.570145343258389</c:v>
                </c:pt>
                <c:pt idx="77">
                  <c:v>21.475098124341141</c:v>
                </c:pt>
                <c:pt idx="78">
                  <c:v>21.377830908866446</c:v>
                </c:pt>
                <c:pt idx="79">
                  <c:v>21.278346499974134</c:v>
                </c:pt>
                <c:pt idx="80">
                  <c:v>21.176650311351771</c:v>
                </c:pt>
                <c:pt idx="81">
                  <c:v>21.072750368388149</c:v>
                </c:pt>
                <c:pt idx="82">
                  <c:v>20.966657299339573</c:v>
                </c:pt>
                <c:pt idx="83">
                  <c:v>20.858384316666445</c:v>
                </c:pt>
                <c:pt idx="84">
                  <c:v>20.747947188786469</c:v>
                </c:pt>
                <c:pt idx="85">
                  <c:v>20.635364202575722</c:v>
                </c:pt>
                <c:pt idx="86">
                  <c:v>20.520656117031134</c:v>
                </c:pt>
                <c:pt idx="87">
                  <c:v>20.403846108582151</c:v>
                </c:pt>
                <c:pt idx="88">
                  <c:v>20.284959708606873</c:v>
                </c:pt>
                <c:pt idx="89">
                  <c:v>20.164024733769459</c:v>
                </c:pt>
                <c:pt idx="90">
                  <c:v>20.041071209842315</c:v>
                </c:pt>
                <c:pt idx="91">
                  <c:v>19.916131289724689</c:v>
                </c:pt>
                <c:pt idx="92">
                  <c:v>19.78923916639523</c:v>
                </c:pt>
                <c:pt idx="93">
                  <c:v>19.66043098156285</c:v>
                </c:pt>
                <c:pt idx="94">
                  <c:v>19.529744730791808</c:v>
                </c:pt>
                <c:pt idx="95">
                  <c:v>19.397220165878821</c:v>
                </c:pt>
                <c:pt idx="96">
                  <c:v>19.262898695257867</c:v>
                </c:pt>
                <c:pt idx="97">
                  <c:v>19.126823283190515</c:v>
                </c:pt>
                <c:pt idx="98">
                  <c:v>18.989038348479173</c:v>
                </c:pt>
                <c:pt idx="99">
                  <c:v>18.849589663412541</c:v>
                </c:pt>
                <c:pt idx="100">
                  <c:v>18.708524253613398</c:v>
                </c:pt>
                <c:pt idx="101">
                  <c:v>18.565890299421785</c:v>
                </c:pt>
                <c:pt idx="102">
                  <c:v>18.421737039396863</c:v>
                </c:pt>
                <c:pt idx="103">
                  <c:v>18.276114676473771</c:v>
                </c:pt>
                <c:pt idx="104">
                  <c:v>18.129074287257652</c:v>
                </c:pt>
                <c:pt idx="105">
                  <c:v>17.980667734883106</c:v>
                </c:pt>
                <c:pt idx="106">
                  <c:v>17.830947585811213</c:v>
                </c:pt>
                <c:pt idx="107">
                  <c:v>17.679967030879954</c:v>
                </c:pt>
                <c:pt idx="108">
                  <c:v>17.527779810868623</c:v>
                </c:pt>
                <c:pt idx="109">
                  <c:v>17.374440146779317</c:v>
                </c:pt>
                <c:pt idx="110">
                  <c:v>17.220002674988706</c:v>
                </c:pt>
                <c:pt idx="111">
                  <c:v>17.064522387366598</c:v>
                </c:pt>
                <c:pt idx="112">
                  <c:v>16.908054576412628</c:v>
                </c:pt>
                <c:pt idx="113">
                  <c:v>16.750654785412276</c:v>
                </c:pt>
                <c:pt idx="114">
                  <c:v>16.592378763569972</c:v>
                </c:pt>
                <c:pt idx="115">
                  <c:v>16.433282426036318</c:v>
                </c:pt>
                <c:pt idx="116">
                  <c:v>16.273421818707504</c:v>
                </c:pt>
                <c:pt idx="117">
                  <c:v>16.11285308763923</c:v>
                </c:pt>
                <c:pt idx="118">
                  <c:v>15.951632452886814</c:v>
                </c:pt>
                <c:pt idx="119">
                  <c:v>15.789816186552567</c:v>
                </c:pt>
                <c:pt idx="120">
                  <c:v>15.627460594796466</c:v>
                </c:pt>
                <c:pt idx="121">
                  <c:v>15.464622003541251</c:v>
                </c:pt>
                <c:pt idx="122">
                  <c:v>15.301356747585634</c:v>
                </c:pt>
                <c:pt idx="123">
                  <c:v>15.137721162816458</c:v>
                </c:pt>
                <c:pt idx="124">
                  <c:v>14.973771581200189</c:v>
                </c:pt>
                <c:pt idx="125">
                  <c:v>14.809564328216753</c:v>
                </c:pt>
                <c:pt idx="126">
                  <c:v>14.645155722388948</c:v>
                </c:pt>
                <c:pt idx="127">
                  <c:v>14.480602076552822</c:v>
                </c:pt>
                <c:pt idx="128">
                  <c:v>14.315959700503697</c:v>
                </c:pt>
                <c:pt idx="129">
                  <c:v>14.15128490464941</c:v>
                </c:pt>
                <c:pt idx="130">
                  <c:v>13.986634004297663</c:v>
                </c:pt>
                <c:pt idx="131">
                  <c:v>13.822063324200847</c:v>
                </c:pt>
                <c:pt idx="132">
                  <c:v>13.657629202983077</c:v>
                </c:pt>
                <c:pt idx="133">
                  <c:v>13.493387997070577</c:v>
                </c:pt>
                <c:pt idx="134">
                  <c:v>13.329396083754848</c:v>
                </c:pt>
                <c:pt idx="135">
                  <c:v>13.165709863015053</c:v>
                </c:pt>
                <c:pt idx="136">
                  <c:v>13.002385757736469</c:v>
                </c:pt>
                <c:pt idx="137">
                  <c:v>12.839480211966166</c:v>
                </c:pt>
                <c:pt idx="138">
                  <c:v>12.677049686857277</c:v>
                </c:pt>
                <c:pt idx="139">
                  <c:v>12.515150653962543</c:v>
                </c:pt>
                <c:pt idx="140">
                  <c:v>12.35383958555275</c:v>
                </c:pt>
                <c:pt idx="141">
                  <c:v>12.193172941648289</c:v>
                </c:pt>
                <c:pt idx="142">
                  <c:v>12.033207153472008</c:v>
                </c:pt>
                <c:pt idx="143">
                  <c:v>11.873998603049268</c:v>
                </c:pt>
                <c:pt idx="144">
                  <c:v>11.71560359870522</c:v>
                </c:pt>
                <c:pt idx="145">
                  <c:v>11.558078346233586</c:v>
                </c:pt>
                <c:pt idx="146">
                  <c:v>11.401478915541459</c:v>
                </c:pt>
                <c:pt idx="147">
                  <c:v>11.24586120260294</c:v>
                </c:pt>
                <c:pt idx="148">
                  <c:v>11.09128088659244</c:v>
                </c:pt>
                <c:pt idx="149">
                  <c:v>10.937793382102823</c:v>
                </c:pt>
                <c:pt idx="150">
                  <c:v>10.785453786396351</c:v>
                </c:pt>
                <c:pt idx="151">
                  <c:v>10.634316821679075</c:v>
                </c:pt>
                <c:pt idx="152">
                  <c:v>10.484436772435586</c:v>
                </c:pt>
                <c:pt idx="153">
                  <c:v>10.33586741791056</c:v>
                </c:pt>
                <c:pt idx="154">
                  <c:v>10.188661959875338</c:v>
                </c:pt>
                <c:pt idx="155">
                  <c:v>10.042872945869254</c:v>
                </c:pt>
                <c:pt idx="156">
                  <c:v>9.8985521881634213</c:v>
                </c:pt>
                <c:pt idx="157">
                  <c:v>9.7557506787477646</c:v>
                </c:pt>
                <c:pt idx="158">
                  <c:v>9.614518500700111</c:v>
                </c:pt>
                <c:pt idx="159">
                  <c:v>9.4749047363521655</c:v>
                </c:pt>
                <c:pt idx="160">
                  <c:v>9.3369573727213151</c:v>
                </c:pt>
                <c:pt idx="161">
                  <c:v>9.200723204732224</c:v>
                </c:pt>
                <c:pt idx="162">
                  <c:v>9.0662477368014258</c:v>
                </c:pt>
                <c:pt idx="163">
                  <c:v>8.9335750834059802</c:v>
                </c:pt>
                <c:pt idx="164">
                  <c:v>8.802747869300072</c:v>
                </c:pt>
                <c:pt idx="165">
                  <c:v>8.6738071300811885</c:v>
                </c:pt>
                <c:pt idx="166">
                  <c:v>8.5467922138381809</c:v>
                </c:pt>
                <c:pt idx="167">
                  <c:v>8.4217406846380811</c:v>
                </c:pt>
                <c:pt idx="168">
                  <c:v>8.2986882286264674</c:v>
                </c:pt>
                <c:pt idx="169">
                  <c:v>8.1776685635217721</c:v>
                </c:pt>
                <c:pt idx="170">
                  <c:v>8.058713352286178</c:v>
                </c:pt>
                <c:pt idx="171">
                  <c:v>7.9418521217434543</c:v>
                </c:pt>
                <c:pt idx="172">
                  <c:v>7.8271121868960556</c:v>
                </c:pt>
                <c:pt idx="173">
                  <c:v>7.714518581662718</c:v>
                </c:pt>
                <c:pt idx="174">
                  <c:v>7.6040939967210717</c:v>
                </c:pt>
                <c:pt idx="175">
                  <c:v>7.4958587250893096</c:v>
                </c:pt>
                <c:pt idx="176">
                  <c:v>7.3898306160252334</c:v>
                </c:pt>
                <c:pt idx="177">
                  <c:v>7.286025037755067</c:v>
                </c:pt>
                <c:pt idx="178">
                  <c:v>7.1844548494714928</c:v>
                </c:pt>
                <c:pt idx="179">
                  <c:v>7.0851303829620518</c:v>
                </c:pt>
                <c:pt idx="180">
                  <c:v>6.9880594341423485</c:v>
                </c:pt>
                <c:pt idx="181">
                  <c:v>6.8932472646837244</c:v>
                </c:pt>
                <c:pt idx="182">
                  <c:v>6.800696613829027</c:v>
                </c:pt>
                <c:pt idx="183">
                  <c:v>6.7104077204027766</c:v>
                </c:pt>
                <c:pt idx="184">
                  <c:v>6.6223783549236881</c:v>
                </c:pt>
                <c:pt idx="185">
                  <c:v>6.5366038616431901</c:v>
                </c:pt>
                <c:pt idx="186">
                  <c:v>6.4530772102394964</c:v>
                </c:pt>
                <c:pt idx="187">
                  <c:v>6.3717890568182298</c:v>
                </c:pt>
                <c:pt idx="188">
                  <c:v>6.2927278137875806</c:v>
                </c:pt>
                <c:pt idx="189">
                  <c:v>6.2158797281093792</c:v>
                </c:pt>
                <c:pt idx="190">
                  <c:v>6.1412289673594795</c:v>
                </c:pt>
                <c:pt idx="191">
                  <c:v>6.0687577129760069</c:v>
                </c:pt>
                <c:pt idx="192">
                  <c:v>5.9984462600291613</c:v>
                </c:pt>
                <c:pt idx="193">
                  <c:v>5.930273122805465</c:v>
                </c:pt>
                <c:pt idx="194">
                  <c:v>5.8642151454735894</c:v>
                </c:pt>
                <c:pt idx="195">
                  <c:v>5.8002476170802808</c:v>
                </c:pt>
                <c:pt idx="196">
                  <c:v>5.7383443901137401</c:v>
                </c:pt>
                <c:pt idx="197">
                  <c:v>5.6784780018753498</c:v>
                </c:pt>
                <c:pt idx="198">
                  <c:v>5.6206197979057428</c:v>
                </c:pt>
                <c:pt idx="199">
                  <c:v>5.5647400567311838</c:v>
                </c:pt>
                <c:pt idx="200">
                  <c:v>5.5108081152177935</c:v>
                </c:pt>
                <c:pt idx="201">
                  <c:v>5.4587924938543972</c:v>
                </c:pt>
                <c:pt idx="202">
                  <c:v>5.408661021319209</c:v>
                </c:pt>
                <c:pt idx="203">
                  <c:v>5.3603809577291495</c:v>
                </c:pt>
                <c:pt idx="204">
                  <c:v>5.3139191160131363</c:v>
                </c:pt>
                <c:pt idx="205">
                  <c:v>5.2692419809028177</c:v>
                </c:pt>
                <c:pt idx="206">
                  <c:v>5.2263158250813158</c:v>
                </c:pt>
                <c:pt idx="207">
                  <c:v>5.1851068220849914</c:v>
                </c:pt>
                <c:pt idx="208">
                  <c:v>5.1455811556042335</c:v>
                </c:pt>
                <c:pt idx="209">
                  <c:v>5.1077051248819689</c:v>
                </c:pt>
                <c:pt idx="210">
                  <c:v>5.0714452459594881</c:v>
                </c:pt>
                <c:pt idx="211">
                  <c:v>5.0367683485695487</c:v>
                </c:pt>
                <c:pt idx="212">
                  <c:v>5.0036416685232954</c:v>
                </c:pt>
                <c:pt idx="213">
                  <c:v>4.9720329354837842</c:v>
                </c:pt>
                <c:pt idx="214">
                  <c:v>4.941910456059877</c:v>
                </c:pt>
                <c:pt idx="215">
                  <c:v>4.913243192195103</c:v>
                </c:pt>
                <c:pt idx="216">
                  <c:v>4.8860008348595194</c:v>
                </c:pt>
                <c:pt idx="217">
                  <c:v>4.8601538730875218</c:v>
                </c:pt>
                <c:pt idx="218">
                  <c:v>4.8356736584302062</c:v>
                </c:pt>
                <c:pt idx="219">
                  <c:v>4.8125324649200181</c:v>
                </c:pt>
                <c:pt idx="220">
                  <c:v>4.7907035446608672</c:v>
                </c:pt>
                <c:pt idx="221">
                  <c:v>4.7701611791819527</c:v>
                </c:pt>
                <c:pt idx="222">
                  <c:v>4.7508807267020181</c:v>
                </c:pt>
                <c:pt idx="223">
                  <c:v>4.7328386654652546</c:v>
                </c:pt>
                <c:pt idx="224">
                  <c:v>4.7160126333183605</c:v>
                </c:pt>
                <c:pt idx="225">
                  <c:v>4.700381463700797</c:v>
                </c:pt>
                <c:pt idx="226">
                  <c:v>4.6859252182260871</c:v>
                </c:pt>
                <c:pt idx="227">
                  <c:v>4.6726252160298776</c:v>
                </c:pt>
                <c:pt idx="228">
                  <c:v>4.6604640600581124</c:v>
                </c:pt>
                <c:pt idx="229">
                  <c:v>4.6494256604655977</c:v>
                </c:pt>
                <c:pt idx="230">
                  <c:v>4.6394952552870041</c:v>
                </c:pt>
                <c:pt idx="231">
                  <c:v>4.6306594285350604</c:v>
                </c:pt>
                <c:pt idx="232">
                  <c:v>4.6229061258707231</c:v>
                </c:pt>
                <c:pt idx="233">
                  <c:v>4.6162246679790151</c:v>
                </c:pt>
                <c:pt idx="234">
                  <c:v>4.6106057617716738</c:v>
                </c:pt>
                <c:pt idx="235">
                  <c:v>4.6060415095239922</c:v>
                </c:pt>
                <c:pt idx="236">
                  <c:v>4.6025254160402076</c:v>
                </c:pt>
                <c:pt idx="237">
                  <c:v>4.6000523939245213</c:v>
                </c:pt>
                <c:pt idx="238">
                  <c:v>4.5986187670217031</c:v>
                </c:pt>
                <c:pt idx="239">
                  <c:v>4.5982222720730812</c:v>
                </c:pt>
                <c:pt idx="240">
                  <c:v>4.5988620586179101</c:v>
                </c:pt>
                <c:pt idx="241">
                  <c:v>4.600538687153799</c:v>
                </c:pt>
                <c:pt idx="242">
                  <c:v>4.6032541255523691</c:v>
                </c:pt>
                <c:pt idx="243">
                  <c:v>4.6070117437096254</c:v>
                </c:pt>
                <c:pt idx="244">
                  <c:v>4.6118163063938864</c:v>
                </c:pt>
                <c:pt idx="245">
                  <c:v>4.6176739642377544</c:v>
                </c:pt>
                <c:pt idx="246">
                  <c:v>4.6245922428041544</c:v>
                </c:pt>
                <c:pt idx="247">
                  <c:v>4.6325800296408657</c:v>
                </c:pt>
                <c:pt idx="248">
                  <c:v>4.641647559222724</c:v>
                </c:pt>
                <c:pt idx="249">
                  <c:v>4.6518063956674629</c:v>
                </c:pt>
                <c:pt idx="250">
                  <c:v>4.6630694130959087</c:v>
                </c:pt>
                <c:pt idx="251">
                  <c:v>4.6754507734964248</c:v>
                </c:pt>
                <c:pt idx="252">
                  <c:v>4.6889659019417769</c:v>
                </c:pt>
                <c:pt idx="253">
                  <c:v>4.7036314589964734</c:v>
                </c:pt>
                <c:pt idx="254">
                  <c:v>4.7194653101458099</c:v>
                </c:pt>
                <c:pt idx="255">
                  <c:v>4.7364864920690328</c:v>
                </c:pt>
                <c:pt idx="256">
                  <c:v>4.7547151755774975</c:v>
                </c:pt>
                <c:pt idx="257">
                  <c:v>4.7741726250335876</c:v>
                </c:pt>
                <c:pt idx="258">
                  <c:v>4.7948811540683227</c:v>
                </c:pt>
                <c:pt idx="259">
                  <c:v>4.8168640774173355</c:v>
                </c:pt>
                <c:pt idx="260">
                  <c:v>4.8401456586993783</c:v>
                </c:pt>
                <c:pt idx="261">
                  <c:v>4.8647510539721601</c:v>
                </c:pt>
                <c:pt idx="262">
                  <c:v>4.8907062509088384</c:v>
                </c:pt>
                <c:pt idx="263">
                  <c:v>4.9180380034562079</c:v>
                </c:pt>
                <c:pt idx="264">
                  <c:v>4.946773761850678</c:v>
                </c:pt>
                <c:pt idx="265">
                  <c:v>4.9769415978932194</c:v>
                </c:pt>
                <c:pt idx="266">
                  <c:v>5.0085701254064379</c:v>
                </c:pt>
                <c:pt idx="267">
                  <c:v>5.0416884158286326</c:v>
                </c:pt>
                <c:pt idx="268">
                  <c:v>5.0763259089303503</c:v>
                </c:pt>
                <c:pt idx="269">
                  <c:v>5.1125123186761048</c:v>
                </c:pt>
                <c:pt idx="270">
                  <c:v>5.1502775342931795</c:v>
                </c:pt>
                <c:pt idx="271">
                  <c:v>5.1896515166513355</c:v>
                </c:pt>
                <c:pt idx="272">
                  <c:v>5.2306641901045641</c:v>
                </c:pt>
                <c:pt idx="273">
                  <c:v>5.2733453299916846</c:v>
                </c:pt>
                <c:pt idx="274">
                  <c:v>5.3177244460454629</c:v>
                </c:pt>
                <c:pt idx="275">
                  <c:v>5.3638306620089393</c:v>
                </c:pt>
                <c:pt idx="276">
                  <c:v>5.4116925918129883</c:v>
                </c:pt>
                <c:pt idx="277">
                  <c:v>5.461338212719717</c:v>
                </c:pt>
                <c:pt idx="278">
                  <c:v>5.5127947358910658</c:v>
                </c:pt>
                <c:pt idx="279">
                  <c:v>5.5660884748917372</c:v>
                </c:pt>
                <c:pt idx="280">
                  <c:v>5.6212447126848408</c:v>
                </c:pt>
                <c:pt idx="281">
                  <c:v>5.6782875677269775</c:v>
                </c:pt>
                <c:pt idx="282">
                  <c:v>5.7372398598080521</c:v>
                </c:pt>
                <c:pt idx="283">
                  <c:v>5.7981229763227464</c:v>
                </c:pt>
                <c:pt idx="284">
                  <c:v>5.8609567396891427</c:v>
                </c:pt>
                <c:pt idx="285">
                  <c:v>5.925759276657681</c:v>
                </c:pt>
                <c:pt idx="286">
                  <c:v>5.9925468902702121</c:v>
                </c:pt>
                <c:pt idx="287">
                  <c:v>6.0613339352410023</c:v>
                </c:pt>
                <c:pt idx="288">
                  <c:v>6.1321326975292596</c:v>
                </c:pt>
                <c:pt idx="289">
                  <c:v>6.2049532788715611</c:v>
                </c:pt>
                <c:pt idx="290">
                  <c:v>6.2798034870205663</c:v>
                </c:pt>
                <c:pt idx="291">
                  <c:v>6.3566887324110883</c:v>
                </c:pt>
                <c:pt idx="292">
                  <c:v>6.4356119319449503</c:v>
                </c:pt>
                <c:pt idx="293">
                  <c:v>6.5165734205336641</c:v>
                </c:pt>
                <c:pt idx="294">
                  <c:v>6.5995708709908616</c:v>
                </c:pt>
                <c:pt idx="295">
                  <c:v>6.6845992228036142</c:v>
                </c:pt>
                <c:pt idx="296">
                  <c:v>6.7716506202432321</c:v>
                </c:pt>
                <c:pt idx="297">
                  <c:v>6.860714360202806</c:v>
                </c:pt>
                <c:pt idx="298">
                  <c:v>6.9517768500683053</c:v>
                </c:pt>
                <c:pt idx="299">
                  <c:v>7.0448215758475428</c:v>
                </c:pt>
                <c:pt idx="300">
                  <c:v>7.1398290806943434</c:v>
                </c:pt>
                <c:pt idx="301">
                  <c:v>7.2367769538789108</c:v>
                </c:pt>
                <c:pt idx="302">
                  <c:v>7.3356398301684553</c:v>
                </c:pt>
                <c:pt idx="303">
                  <c:v>7.4363893994963206</c:v>
                </c:pt>
                <c:pt idx="304">
                  <c:v>7.5389944267154094</c:v>
                </c:pt>
                <c:pt idx="305">
                  <c:v>7.6434207811560402</c:v>
                </c:pt>
                <c:pt idx="306">
                  <c:v>7.7496314756330928</c:v>
                </c:pt>
                <c:pt idx="307">
                  <c:v>7.857586714484305</c:v>
                </c:pt>
                <c:pt idx="308">
                  <c:v>7.967243950162417</c:v>
                </c:pt>
                <c:pt idx="309">
                  <c:v>8.0785579478559217</c:v>
                </c:pt>
                <c:pt idx="310">
                  <c:v>8.191480857570685</c:v>
                </c:pt>
                <c:pt idx="311">
                  <c:v>8.3059622930761332</c:v>
                </c:pt>
                <c:pt idx="312">
                  <c:v>8.4219494170979363</c:v>
                </c:pt>
                <c:pt idx="313">
                  <c:v>8.5393870321255108</c:v>
                </c:pt>
                <c:pt idx="314">
                  <c:v>8.6582176762050089</c:v>
                </c:pt>
                <c:pt idx="315">
                  <c:v>8.7783817230901668</c:v>
                </c:pt>
                <c:pt idx="316">
                  <c:v>8.8998174861445367</c:v>
                </c:pt>
                <c:pt idx="317">
                  <c:v>9.0224613254071482</c:v>
                </c:pt>
                <c:pt idx="318">
                  <c:v>9.1462477572689842</c:v>
                </c:pt>
                <c:pt idx="319">
                  <c:v>9.271109566241007</c:v>
                </c:pt>
                <c:pt idx="320">
                  <c:v>9.3969779183394184</c:v>
                </c:pt>
                <c:pt idx="321">
                  <c:v>9.5237824756588729</c:v>
                </c:pt>
                <c:pt idx="322">
                  <c:v>9.6514515117543027</c:v>
                </c:pt>
                <c:pt idx="323">
                  <c:v>9.7799120275033893</c:v>
                </c:pt>
                <c:pt idx="324">
                  <c:v>9.9090898671771566</c:v>
                </c:pt>
                <c:pt idx="325">
                  <c:v>10.038909834493353</c:v>
                </c:pt>
                <c:pt idx="326">
                  <c:v>10.169295808483596</c:v>
                </c:pt>
                <c:pt idx="327">
                  <c:v>10.300170859054061</c:v>
                </c:pt>
                <c:pt idx="328">
                  <c:v>10.431457362162483</c:v>
                </c:pt>
                <c:pt idx="329">
                  <c:v>10.563077114582365</c:v>
                </c:pt>
                <c:pt idx="330">
                  <c:v>10.694951448258077</c:v>
                </c:pt>
                <c:pt idx="331">
                  <c:v>10.82700134429134</c:v>
                </c:pt>
                <c:pt idx="332">
                  <c:v>10.959147546625935</c:v>
                </c:pt>
                <c:pt idx="333">
                  <c:v>11.091310675517432</c:v>
                </c:pt>
                <c:pt idx="334">
                  <c:v>11.223411340891547</c:v>
                </c:pt>
                <c:pt idx="335">
                  <c:v>11.355370255700244</c:v>
                </c:pt>
                <c:pt idx="336">
                  <c:v>11.487108349388699</c:v>
                </c:pt>
                <c:pt idx="337">
                  <c:v>11.618546881577922</c:v>
                </c:pt>
                <c:pt idx="338">
                  <c:v>11.74960755605721</c:v>
                </c:pt>
                <c:pt idx="339">
                  <c:v>11.880212635160261</c:v>
                </c:pt>
                <c:pt idx="340">
                  <c:v>12.010285054574672</c:v>
                </c:pt>
                <c:pt idx="341">
                  <c:v>12.139748538602401</c:v>
                </c:pt>
                <c:pt idx="342">
                  <c:v>12.268527715852775</c:v>
                </c:pt>
                <c:pt idx="343">
                  <c:v>12.396548235308149</c:v>
                </c:pt>
                <c:pt idx="344">
                  <c:v>12.52373688265719</c:v>
                </c:pt>
                <c:pt idx="345">
                  <c:v>12.65002169674219</c:v>
                </c:pt>
                <c:pt idx="346">
                  <c:v>12.775332085916402</c:v>
                </c:pt>
                <c:pt idx="347">
                  <c:v>12.899598944053366</c:v>
                </c:pt>
                <c:pt idx="348">
                  <c:v>13.022754765900403</c:v>
                </c:pt>
                <c:pt idx="349">
                  <c:v>13.144733761413267</c:v>
                </c:pt>
                <c:pt idx="350">
                  <c:v>13.265471968661062</c:v>
                </c:pt>
                <c:pt idx="351">
                  <c:v>13.384907364841077</c:v>
                </c:pt>
                <c:pt idx="352">
                  <c:v>13.502979974900187</c:v>
                </c:pt>
                <c:pt idx="353">
                  <c:v>13.619631977221889</c:v>
                </c:pt>
                <c:pt idx="354">
                  <c:v>13.73480780580241</c:v>
                </c:pt>
                <c:pt idx="355">
                  <c:v>13.848454248316017</c:v>
                </c:pt>
                <c:pt idx="356">
                  <c:v>13.960520539449925</c:v>
                </c:pt>
                <c:pt idx="357">
                  <c:v>14.070958448879452</c:v>
                </c:pt>
                <c:pt idx="358">
                  <c:v>14.179722363253397</c:v>
                </c:pt>
                <c:pt idx="359">
                  <c:v>14.286769361567986</c:v>
                </c:pt>
                <c:pt idx="360">
                  <c:v>14.392059283325661</c:v>
                </c:pt>
                <c:pt idx="361">
                  <c:v>14.495554788902812</c:v>
                </c:pt>
                <c:pt idx="362">
                  <c:v>14.597221411587727</c:v>
                </c:pt>
                <c:pt idx="363">
                  <c:v>14.697027600797099</c:v>
                </c:pt>
                <c:pt idx="364">
                  <c:v>14.794944756033408</c:v>
                </c:pt>
                <c:pt idx="365">
                  <c:v>14.890947251209909</c:v>
                </c:pt>
                <c:pt idx="366">
                  <c:v>14.985012449039255</c:v>
                </c:pt>
                <c:pt idx="367">
                  <c:v>15.077120705257904</c:v>
                </c:pt>
                <c:pt idx="368">
                  <c:v>15.167255362540306</c:v>
                </c:pt>
                <c:pt idx="369">
                  <c:v>15.255402734039826</c:v>
                </c:pt>
                <c:pt idx="370">
                  <c:v>15.341552076581404</c:v>
                </c:pt>
                <c:pt idx="371">
                  <c:v>15.425695553617283</c:v>
                </c:pt>
                <c:pt idx="372">
                  <c:v>15.507828188143964</c:v>
                </c:pt>
                <c:pt idx="373">
                  <c:v>15.587947805863273</c:v>
                </c:pt>
                <c:pt idx="374">
                  <c:v>15.66605496895102</c:v>
                </c:pt>
                <c:pt idx="375">
                  <c:v>15.742152900872524</c:v>
                </c:pt>
                <c:pt idx="376">
                  <c:v>15.816247402756009</c:v>
                </c:pt>
                <c:pt idx="377">
                  <c:v>15.888346761896381</c:v>
                </c:pt>
                <c:pt idx="378">
                  <c:v>15.958461653019004</c:v>
                </c:pt>
                <c:pt idx="379">
                  <c:v>16.026605032979237</c:v>
                </c:pt>
                <c:pt idx="380">
                  <c:v>16.09279202961179</c:v>
                </c:pt>
                <c:pt idx="381">
                  <c:v>16.15703982547473</c:v>
                </c:pt>
                <c:pt idx="382">
                  <c:v>16.219367537247575</c:v>
                </c:pt>
                <c:pt idx="383">
                  <c:v>16.279796091561138</c:v>
                </c:pt>
                <c:pt idx="384">
                  <c:v>16.338348098028291</c:v>
                </c:pt>
                <c:pt idx="385">
                  <c:v>16.395047720245802</c:v>
                </c:pt>
                <c:pt idx="386">
                  <c:v>16.449920545517131</c:v>
                </c:pt>
                <c:pt idx="387">
                  <c:v>16.5029934540221</c:v>
                </c:pt>
                <c:pt idx="388">
                  <c:v>16.554294488133525</c:v>
                </c:pt>
                <c:pt idx="389">
                  <c:v>16.603852722540154</c:v>
                </c:pt>
                <c:pt idx="390">
                  <c:v>16.651698135796856</c:v>
                </c:pt>
                <c:pt idx="391">
                  <c:v>16.697861483877062</c:v>
                </c:pt>
                <c:pt idx="392">
                  <c:v>16.742374176253335</c:v>
                </c:pt>
                <c:pt idx="393">
                  <c:v>16.785268154981193</c:v>
                </c:pt>
                <c:pt idx="394">
                  <c:v>16.826575777208074</c:v>
                </c:pt>
                <c:pt idx="395">
                  <c:v>16.866329701476754</c:v>
                </c:pt>
                <c:pt idx="396">
                  <c:v>16.904562778137127</c:v>
                </c:pt>
                <c:pt idx="397">
                  <c:v>16.941307944131093</c:v>
                </c:pt>
                <c:pt idx="398">
                  <c:v>16.976598122358769</c:v>
                </c:pt>
                <c:pt idx="399">
                  <c:v>17.010466125789044</c:v>
                </c:pt>
                <c:pt idx="400">
                  <c:v>17.042944566427444</c:v>
                </c:pt>
                <c:pt idx="401">
                  <c:v>17.074065769210758</c:v>
                </c:pt>
                <c:pt idx="402">
                  <c:v>17.103861690856668</c:v>
                </c:pt>
                <c:pt idx="403">
                  <c:v>17.132363843655245</c:v>
                </c:pt>
                <c:pt idx="404">
                  <c:v>17.159603224158843</c:v>
                </c:pt>
                <c:pt idx="405">
                  <c:v>17.185610246691027</c:v>
                </c:pt>
                <c:pt idx="406">
                  <c:v>17.210414681569596</c:v>
                </c:pt>
                <c:pt idx="407">
                  <c:v>17.234045597912658</c:v>
                </c:pt>
                <c:pt idx="408">
                  <c:v>17.256531310876689</c:v>
                </c:pt>
                <c:pt idx="409">
                  <c:v>17.277899333157141</c:v>
                </c:pt>
                <c:pt idx="410">
                  <c:v>17.298176330566822</c:v>
                </c:pt>
                <c:pt idx="411">
                  <c:v>17.317388081496638</c:v>
                </c:pt>
                <c:pt idx="412">
                  <c:v>17.335559440053913</c:v>
                </c:pt>
                <c:pt idx="413">
                  <c:v>17.352714302667323</c:v>
                </c:pt>
                <c:pt idx="414">
                  <c:v>17.368875577943289</c:v>
                </c:pt>
                <c:pt idx="415">
                  <c:v>17.384065159559032</c:v>
                </c:pt>
                <c:pt idx="416">
                  <c:v>17.398303901974078</c:v>
                </c:pt>
                <c:pt idx="417">
                  <c:v>17.411611598750223</c:v>
                </c:pt>
                <c:pt idx="418">
                  <c:v>17.42400696326732</c:v>
                </c:pt>
                <c:pt idx="419">
                  <c:v>17.435507611633231</c:v>
                </c:pt>
                <c:pt idx="420">
                  <c:v>17.446130047589989</c:v>
                </c:pt>
                <c:pt idx="421">
                  <c:v>17.455889649226734</c:v>
                </c:pt>
                <c:pt idx="422">
                  <c:v>17.464800657318946</c:v>
                </c:pt>
                <c:pt idx="423">
                  <c:v>17.472876165123331</c:v>
                </c:pt>
                <c:pt idx="424">
                  <c:v>17.48012810946663</c:v>
                </c:pt>
                <c:pt idx="425">
                  <c:v>17.486567262980493</c:v>
                </c:pt>
                <c:pt idx="426">
                  <c:v>17.492203227341513</c:v>
                </c:pt>
                <c:pt idx="427">
                  <c:v>17.497044427391867</c:v>
                </c:pt>
                <c:pt idx="428">
                  <c:v>17.501098106023893</c:v>
                </c:pt>
                <c:pt idx="429">
                  <c:v>17.504370319728409</c:v>
                </c:pt>
                <c:pt idx="430">
                  <c:v>17.50686593471481</c:v>
                </c:pt>
                <c:pt idx="431">
                  <c:v>17.508588623526695</c:v>
                </c:pt>
                <c:pt idx="432">
                  <c:v>17.509540862088638</c:v>
                </c:pt>
                <c:pt idx="433">
                  <c:v>17.509723927132221</c:v>
                </c:pt>
                <c:pt idx="434">
                  <c:v>17.509137893962084</c:v>
                </c:pt>
                <c:pt idx="435">
                  <c:v>17.507781634537267</c:v>
                </c:pt>
                <c:pt idx="436">
                  <c:v>17.505652815853416</c:v>
                </c:pt>
                <c:pt idx="437">
                  <c:v>17.502747898627817</c:v>
                </c:pt>
                <c:pt idx="438">
                  <c:v>17.49906213629869</c:v>
                </c:pt>
                <c:pt idx="439">
                  <c:v>17.494589574365182</c:v>
                </c:pt>
                <c:pt idx="440">
                  <c:v>17.489323050107608</c:v>
                </c:pt>
                <c:pt idx="441">
                  <c:v>17.48325419273856</c:v>
                </c:pt>
                <c:pt idx="442">
                  <c:v>17.476373424050127</c:v>
                </c:pt>
                <c:pt idx="443">
                  <c:v>17.468669959633999</c:v>
                </c:pt>
                <c:pt idx="444">
                  <c:v>17.460131810764061</c:v>
                </c:pt>
                <c:pt idx="445">
                  <c:v>17.450745787043299</c:v>
                </c:pt>
                <c:pt idx="446">
                  <c:v>17.440497499930149</c:v>
                </c:pt>
                <c:pt idx="447">
                  <c:v>17.429371367268299</c:v>
                </c:pt>
                <c:pt idx="448">
                  <c:v>17.41735061895891</c:v>
                </c:pt>
                <c:pt idx="449">
                  <c:v>17.404417303922774</c:v>
                </c:pt>
                <c:pt idx="450">
                  <c:v>17.390552298511921</c:v>
                </c:pt>
                <c:pt idx="451">
                  <c:v>17.37573531653851</c:v>
                </c:pt>
                <c:pt idx="452">
                  <c:v>17.35994492109932</c:v>
                </c:pt>
                <c:pt idx="453">
                  <c:v>17.343158538382156</c:v>
                </c:pt>
                <c:pt idx="454">
                  <c:v>17.325352473646134</c:v>
                </c:pt>
                <c:pt idx="455">
                  <c:v>17.306501929576605</c:v>
                </c:pt>
                <c:pt idx="456">
                  <c:v>17.286581027216624</c:v>
                </c:pt>
                <c:pt idx="457">
                  <c:v>17.265562829683265</c:v>
                </c:pt>
                <c:pt idx="458">
                  <c:v>17.243419368875937</c:v>
                </c:pt>
                <c:pt idx="459">
                  <c:v>17.220121675383975</c:v>
                </c:pt>
                <c:pt idx="460">
                  <c:v>17.195639811799232</c:v>
                </c:pt>
                <c:pt idx="461">
                  <c:v>17.169942909632095</c:v>
                </c:pt>
                <c:pt idx="462">
                  <c:v>17.142999210023319</c:v>
                </c:pt>
                <c:pt idx="463">
                  <c:v>17.114776108433347</c:v>
                </c:pt>
                <c:pt idx="464">
                  <c:v>17.085240203476911</c:v>
                </c:pt>
                <c:pt idx="465">
                  <c:v>17.054357350055028</c:v>
                </c:pt>
                <c:pt idx="466">
                  <c:v>17.022092716916205</c:v>
                </c:pt>
                <c:pt idx="467">
                  <c:v>16.988410848756491</c:v>
                </c:pt>
                <c:pt idx="468">
                  <c:v>16.953275732939947</c:v>
                </c:pt>
                <c:pt idx="469">
                  <c:v>16.916650870893843</c:v>
                </c:pt>
                <c:pt idx="470">
                  <c:v>16.878499354196027</c:v>
                </c:pt>
                <c:pt idx="471">
                  <c:v>16.838783945338722</c:v>
                </c:pt>
                <c:pt idx="472">
                  <c:v>16.797467163110042</c:v>
                </c:pt>
                <c:pt idx="473">
                  <c:v>16.754511372492654</c:v>
                </c:pt>
                <c:pt idx="474">
                  <c:v>16.70987887893369</c:v>
                </c:pt>
                <c:pt idx="475">
                  <c:v>16.663532026789326</c:v>
                </c:pt>
                <c:pt idx="476">
                  <c:v>16.615433301700232</c:v>
                </c:pt>
                <c:pt idx="477">
                  <c:v>16.565545436598633</c:v>
                </c:pt>
                <c:pt idx="478">
                  <c:v>16.513831520998128</c:v>
                </c:pt>
                <c:pt idx="479">
                  <c:v>16.460255113161729</c:v>
                </c:pt>
                <c:pt idx="480">
                  <c:v>16.404780354691194</c:v>
                </c:pt>
                <c:pt idx="481">
                  <c:v>16.347372087032269</c:v>
                </c:pt>
                <c:pt idx="482">
                  <c:v>16.287995969335839</c:v>
                </c:pt>
                <c:pt idx="483">
                  <c:v>16.226618597073699</c:v>
                </c:pt>
                <c:pt idx="484">
                  <c:v>16.163207620762247</c:v>
                </c:pt>
                <c:pt idx="485">
                  <c:v>16.097731864110091</c:v>
                </c:pt>
                <c:pt idx="486">
                  <c:v>16.03016144087562</c:v>
                </c:pt>
                <c:pt idx="487">
                  <c:v>15.96046786969219</c:v>
                </c:pt>
                <c:pt idx="488">
                  <c:v>15.888624186102989</c:v>
                </c:pt>
                <c:pt idx="489">
                  <c:v>15.814605051036219</c:v>
                </c:pt>
                <c:pt idx="490">
                  <c:v>15.738386854950283</c:v>
                </c:pt>
                <c:pt idx="491">
                  <c:v>15.659947816887287</c:v>
                </c:pt>
                <c:pt idx="492">
                  <c:v>15.579268077688187</c:v>
                </c:pt>
                <c:pt idx="493">
                  <c:v>15.496329786652064</c:v>
                </c:pt>
                <c:pt idx="494">
                  <c:v>15.411117180956918</c:v>
                </c:pt>
                <c:pt idx="495">
                  <c:v>15.323616657205152</c:v>
                </c:pt>
                <c:pt idx="496">
                  <c:v>15.233816834512233</c:v>
                </c:pt>
                <c:pt idx="497">
                  <c:v>15.14170860861908</c:v>
                </c:pt>
                <c:pt idx="498">
                  <c:v>15.047285196581603</c:v>
                </c:pt>
                <c:pt idx="499">
                  <c:v>14.95054217166482</c:v>
                </c:pt>
                <c:pt idx="500">
                  <c:v>14.851477488154007</c:v>
                </c:pt>
                <c:pt idx="501">
                  <c:v>14.750091495885357</c:v>
                </c:pt>
                <c:pt idx="502">
                  <c:v>14.646386944382952</c:v>
                </c:pt>
                <c:pt idx="503">
                  <c:v>14.540368976587432</c:v>
                </c:pt>
                <c:pt idx="504">
                  <c:v>14.432045112250764</c:v>
                </c:pt>
                <c:pt idx="505">
                  <c:v>14.321425221164665</c:v>
                </c:pt>
                <c:pt idx="506">
                  <c:v>14.208521486478354</c:v>
                </c:pt>
                <c:pt idx="507">
                  <c:v>14.093348358447145</c:v>
                </c:pt>
                <c:pt idx="508">
                  <c:v>13.975922499033528</c:v>
                </c:pt>
                <c:pt idx="509">
                  <c:v>13.856262717855589</c:v>
                </c:pt>
                <c:pt idx="510">
                  <c:v>13.734389900045532</c:v>
                </c:pt>
                <c:pt idx="511">
                  <c:v>13.610326926637002</c:v>
                </c:pt>
                <c:pt idx="512">
                  <c:v>13.484098588154016</c:v>
                </c:pt>
                <c:pt idx="513">
                  <c:v>13.355731492109637</c:v>
                </c:pt>
                <c:pt idx="514">
                  <c:v>13.225253965158476</c:v>
                </c:pt>
                <c:pt idx="515">
                  <c:v>13.092695950664986</c:v>
                </c:pt>
                <c:pt idx="516">
                  <c:v>12.95808890246404</c:v>
                </c:pt>
                <c:pt idx="517">
                  <c:v>12.821465675591719</c:v>
                </c:pt>
                <c:pt idx="518">
                  <c:v>12.682860414756332</c:v>
                </c:pt>
                <c:pt idx="519">
                  <c:v>12.542308441311752</c:v>
                </c:pt>
                <c:pt idx="520">
                  <c:v>12.399846139462866</c:v>
                </c:pt>
                <c:pt idx="521">
                  <c:v>12.255510842413651</c:v>
                </c:pt>
                <c:pt idx="522">
                  <c:v>12.10934071912753</c:v>
                </c:pt>
                <c:pt idx="523">
                  <c:v>11.961374662330666</c:v>
                </c:pt>
                <c:pt idx="524">
                  <c:v>11.81165217834527</c:v>
                </c:pt>
                <c:pt idx="525">
                  <c:v>11.660213279290268</c:v>
                </c:pt>
                <c:pt idx="526">
                  <c:v>11.507098378138016</c:v>
                </c:pt>
                <c:pt idx="527">
                  <c:v>11.352348187061637</c:v>
                </c:pt>
                <c:pt idx="528">
                  <c:v>11.196003619456508</c:v>
                </c:pt>
                <c:pt idx="529">
                  <c:v>11.038105695963761</c:v>
                </c:pt>
                <c:pt idx="530">
                  <c:v>10.878695454775817</c:v>
                </c:pt>
                <c:pt idx="531">
                  <c:v>10.71781386644539</c:v>
                </c:pt>
                <c:pt idx="532">
                  <c:v>10.555501753379318</c:v>
                </c:pt>
                <c:pt idx="533">
                  <c:v>10.391799714142513</c:v>
                </c:pt>
                <c:pt idx="534">
                  <c:v>10.226748052659822</c:v>
                </c:pt>
                <c:pt idx="535">
                  <c:v>10.060386712356891</c:v>
                </c:pt>
                <c:pt idx="536">
                  <c:v>9.892755215246849</c:v>
                </c:pt>
                <c:pt idx="537">
                  <c:v>9.7238926059311268</c:v>
                </c:pt>
                <c:pt idx="538">
                  <c:v>9.5538374004533484</c:v>
                </c:pt>
                <c:pt idx="539">
                  <c:v>9.3826275399161538</c:v>
                </c:pt>
                <c:pt idx="540">
                  <c:v>9.2103003487461805</c:v>
                </c:pt>
                <c:pt idx="541">
                  <c:v>9.036892497469637</c:v>
                </c:pt>
              </c:numCache>
            </c:numRef>
          </c:yVal>
          <c:smooth val="1"/>
          <c:extLst>
            <c:ext xmlns:c16="http://schemas.microsoft.com/office/drawing/2014/chart" uri="{C3380CC4-5D6E-409C-BE32-E72D297353CC}">
              <c16:uniqueId val="{00000000-69E5-488F-8178-EA81D5C894E7}"/>
            </c:ext>
          </c:extLst>
        </c:ser>
        <c:dLbls>
          <c:showLegendKey val="0"/>
          <c:showVal val="0"/>
          <c:showCatName val="0"/>
          <c:showSerName val="0"/>
          <c:showPercent val="0"/>
          <c:showBubbleSize val="0"/>
        </c:dLbls>
        <c:axId val="555231872"/>
        <c:axId val="555234048"/>
      </c:scatterChart>
      <c:scatterChart>
        <c:scatterStyle val="smoothMarker"/>
        <c:varyColors val="0"/>
        <c:ser>
          <c:idx val="1"/>
          <c:order val="1"/>
          <c:tx>
            <c:v>Phase (deg)</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Loop_Modeling!$AE$19:$AE$560</c:f>
              <c:numCache>
                <c:formatCode>General</c:formatCode>
                <c:ptCount val="542"/>
                <c:pt idx="0">
                  <c:v>-10.318541854342133</c:v>
                </c:pt>
                <c:pt idx="1">
                  <c:v>-10.554786823854046</c:v>
                </c:pt>
                <c:pt idx="2">
                  <c:v>-10.796247924474258</c:v>
                </c:pt>
                <c:pt idx="3">
                  <c:v>-11.043026963081886</c:v>
                </c:pt>
                <c:pt idx="4">
                  <c:v>-11.295226805125846</c:v>
                </c:pt>
                <c:pt idx="5">
                  <c:v>-11.552951316427064</c:v>
                </c:pt>
                <c:pt idx="6">
                  <c:v>-11.816305298941355</c:v>
                </c:pt>
                <c:pt idx="7">
                  <c:v>-12.085394420143881</c:v>
                </c:pt>
                <c:pt idx="8">
                  <c:v>-12.360325135683134</c:v>
                </c:pt>
                <c:pt idx="9">
                  <c:v>-12.641204604948973</c:v>
                </c:pt>
                <c:pt idx="10">
                  <c:v>-12.928140599192105</c:v>
                </c:pt>
                <c:pt idx="11">
                  <c:v>-13.221241401824228</c:v>
                </c:pt>
                <c:pt idx="12">
                  <c:v>-13.520615700529104</c:v>
                </c:pt>
                <c:pt idx="13">
                  <c:v>-13.826372470811384</c:v>
                </c:pt>
                <c:pt idx="14">
                  <c:v>-14.138620850610238</c:v>
                </c:pt>
                <c:pt idx="15">
                  <c:v>-14.457470005610842</c:v>
                </c:pt>
                <c:pt idx="16">
                  <c:v>-14.783028984889098</c:v>
                </c:pt>
                <c:pt idx="17">
                  <c:v>-15.115406566538866</c:v>
                </c:pt>
                <c:pt idx="18">
                  <c:v>-15.454711092940249</c:v>
                </c:pt>
                <c:pt idx="19">
                  <c:v>-15.801050295346309</c:v>
                </c:pt>
                <c:pt idx="20">
                  <c:v>-16.154531107487031</c:v>
                </c:pt>
                <c:pt idx="21">
                  <c:v>-16.515259467913683</c:v>
                </c:pt>
                <c:pt idx="22">
                  <c:v>-16.883340110839665</c:v>
                </c:pt>
                <c:pt idx="23">
                  <c:v>-17.258876345271517</c:v>
                </c:pt>
                <c:pt idx="24">
                  <c:v>-17.64196982226143</c:v>
                </c:pt>
                <c:pt idx="25">
                  <c:v>-18.032720290171486</c:v>
                </c:pt>
                <c:pt idx="26">
                  <c:v>-18.431225337884001</c:v>
                </c:pt>
                <c:pt idx="27">
                  <c:v>-18.837580125968568</c:v>
                </c:pt>
                <c:pt idx="28">
                  <c:v>-19.251877105876822</c:v>
                </c:pt>
                <c:pt idx="29">
                  <c:v>-19.674205727323148</c:v>
                </c:pt>
                <c:pt idx="30">
                  <c:v>-20.104652134089356</c:v>
                </c:pt>
                <c:pt idx="31">
                  <c:v>-20.543298848598226</c:v>
                </c:pt>
                <c:pt idx="32">
                  <c:v>-20.990224445690451</c:v>
                </c:pt>
                <c:pt idx="33">
                  <c:v>-21.445503216169037</c:v>
                </c:pt>
                <c:pt idx="34">
                  <c:v>-21.909204820781362</c:v>
                </c:pt>
                <c:pt idx="35">
                  <c:v>-22.381393935452977</c:v>
                </c:pt>
                <c:pt idx="36">
                  <c:v>-22.862129888713174</c:v>
                </c:pt>
                <c:pt idx="37">
                  <c:v>-23.351466292406258</c:v>
                </c:pt>
                <c:pt idx="38">
                  <c:v>-23.849450666930906</c:v>
                </c:pt>
                <c:pt idx="39">
                  <c:v>-24.356124062406863</c:v>
                </c:pt>
                <c:pt idx="40">
                  <c:v>-24.871520677332899</c:v>
                </c:pt>
                <c:pt idx="41">
                  <c:v>-25.395667476466489</c:v>
                </c:pt>
                <c:pt idx="42">
                  <c:v>-25.928583809818452</c:v>
                </c:pt>
                <c:pt idx="43">
                  <c:v>-26.470281034829373</c:v>
                </c:pt>
                <c:pt idx="44">
                  <c:v>-27.020762143956027</c:v>
                </c:pt>
                <c:pt idx="45">
                  <c:v>-27.58002140005625</c:v>
                </c:pt>
                <c:pt idx="46">
                  <c:v>-28.148043982118452</c:v>
                </c:pt>
                <c:pt idx="47">
                  <c:v>-28.724805644021153</c:v>
                </c:pt>
                <c:pt idx="48">
                  <c:v>-29.310272389140952</c:v>
                </c:pt>
                <c:pt idx="49">
                  <c:v>-29.904400163743965</c:v>
                </c:pt>
                <c:pt idx="50">
                  <c:v>-30.507134572188022</c:v>
                </c:pt>
                <c:pt idx="51">
                  <c:v>-31.118410617039022</c:v>
                </c:pt>
                <c:pt idx="52">
                  <c:v>-31.738152467250931</c:v>
                </c:pt>
                <c:pt idx="53">
                  <c:v>-32.366273257580467</c:v>
                </c:pt>
                <c:pt idx="54">
                  <c:v>-33.002674922385744</c:v>
                </c:pt>
                <c:pt idx="55">
                  <c:v>-33.647248066918884</c:v>
                </c:pt>
                <c:pt idx="56">
                  <c:v>-34.299871879129647</c:v>
                </c:pt>
                <c:pt idx="57">
                  <c:v>-34.960414084869115</c:v>
                </c:pt>
                <c:pt idx="58">
                  <c:v>-35.628730949219701</c:v>
                </c:pt>
                <c:pt idx="59">
                  <c:v>-36.304667326457356</c:v>
                </c:pt>
                <c:pt idx="60">
                  <c:v>-36.988056760905543</c:v>
                </c:pt>
                <c:pt idx="61">
                  <c:v>-37.678721640634585</c:v>
                </c:pt>
                <c:pt idx="62">
                  <c:v>-38.376473405620906</c:v>
                </c:pt>
                <c:pt idx="63">
                  <c:v>-39.081112811605031</c:v>
                </c:pt>
                <c:pt idx="64">
                  <c:v>-39.79243025045794</c:v>
                </c:pt>
                <c:pt idx="65">
                  <c:v>-40.510206127422443</c:v>
                </c:pt>
                <c:pt idx="66">
                  <c:v>-41.23421129510799</c:v>
                </c:pt>
                <c:pt idx="67">
                  <c:v>-41.964207543618393</c:v>
                </c:pt>
                <c:pt idx="68">
                  <c:v>-42.699948145658198</c:v>
                </c:pt>
                <c:pt idx="69">
                  <c:v>-43.441178454942744</c:v>
                </c:pt>
                <c:pt idx="70">
                  <c:v>-44.187636555690517</c:v>
                </c:pt>
                <c:pt idx="71">
                  <c:v>-44.939053960449471</c:v>
                </c:pt>
                <c:pt idx="72">
                  <c:v>-45.69515635299026</c:v>
                </c:pt>
                <c:pt idx="73">
                  <c:v>-46.455664372504302</c:v>
                </c:pt>
                <c:pt idx="74">
                  <c:v>-47.220294434873914</c:v>
                </c:pt>
                <c:pt idx="75">
                  <c:v>-47.988759586362313</c:v>
                </c:pt>
                <c:pt idx="76">
                  <c:v>-48.760770384679951</c:v>
                </c:pt>
                <c:pt idx="77">
                  <c:v>-49.536035802061768</c:v>
                </c:pt>
                <c:pt idx="78">
                  <c:v>-50.314264144714834</c:v>
                </c:pt>
                <c:pt idx="79">
                  <c:v>-51.095163982788755</c:v>
                </c:pt>
                <c:pt idx="80">
                  <c:v>-51.87844508488957</c:v>
                </c:pt>
                <c:pt idx="81">
                  <c:v>-52.663819351070131</c:v>
                </c:pt>
                <c:pt idx="82">
                  <c:v>-53.451001738255478</c:v>
                </c:pt>
                <c:pt idx="83">
                  <c:v>-54.239711172115712</c:v>
                </c:pt>
                <c:pt idx="84">
                  <c:v>-55.029671439548309</c:v>
                </c:pt>
                <c:pt idx="85">
                  <c:v>-55.82061205614265</c:v>
                </c:pt>
                <c:pt idx="86">
                  <c:v>-56.612269103269078</c:v>
                </c:pt>
                <c:pt idx="87">
                  <c:v>-57.404386029761561</c:v>
                </c:pt>
                <c:pt idx="88">
                  <c:v>-58.196714413550495</c:v>
                </c:pt>
                <c:pt idx="89">
                  <c:v>-58.989014679014304</c:v>
                </c:pt>
                <c:pt idx="90">
                  <c:v>-59.781056766298661</c:v>
                </c:pt>
                <c:pt idx="91">
                  <c:v>-60.572620749316144</c:v>
                </c:pt>
                <c:pt idx="92">
                  <c:v>-61.363497399672852</c:v>
                </c:pt>
                <c:pt idx="93">
                  <c:v>-62.153488694270649</c:v>
                </c:pt>
                <c:pt idx="94">
                  <c:v>-62.942408264867062</c:v>
                </c:pt>
                <c:pt idx="95">
                  <c:v>-63.730081788393278</c:v>
                </c:pt>
                <c:pt idx="96">
                  <c:v>-64.516347317330016</c:v>
                </c:pt>
                <c:pt idx="97">
                  <c:v>-65.301055549940685</c:v>
                </c:pt>
                <c:pt idx="98">
                  <c:v>-66.084070040616169</c:v>
                </c:pt>
                <c:pt idx="99">
                  <c:v>-66.865267351015007</c:v>
                </c:pt>
                <c:pt idx="100">
                  <c:v>-67.644537143095434</c:v>
                </c:pt>
                <c:pt idx="101">
                  <c:v>-68.421782215474408</c:v>
                </c:pt>
                <c:pt idx="102">
                  <c:v>-69.19691848488722</c:v>
                </c:pt>
                <c:pt idx="103">
                  <c:v>-69.969874914784995</c:v>
                </c:pt>
                <c:pt idx="104">
                  <c:v>-70.740593393345634</c:v>
                </c:pt>
                <c:pt idx="105">
                  <c:v>-71.509028563365604</c:v>
                </c:pt>
                <c:pt idx="106">
                  <c:v>-72.275147606641895</c:v>
                </c:pt>
                <c:pt idx="107">
                  <c:v>-73.038929985568672</c:v>
                </c:pt>
                <c:pt idx="108">
                  <c:v>-73.800367144731595</c:v>
                </c:pt>
                <c:pt idx="109">
                  <c:v>-74.559462175324128</c:v>
                </c:pt>
                <c:pt idx="110">
                  <c:v>-75.316229445197976</c:v>
                </c:pt>
                <c:pt idx="111">
                  <c:v>-76.070694197337318</c:v>
                </c:pt>
                <c:pt idx="112">
                  <c:v>-76.822892119476137</c:v>
                </c:pt>
                <c:pt idx="113">
                  <c:v>-77.572868887504853</c:v>
                </c:pt>
                <c:pt idx="114">
                  <c:v>-78.3206796852011</c:v>
                </c:pt>
                <c:pt idx="115">
                  <c:v>-79.066388702705936</c:v>
                </c:pt>
                <c:pt idx="116">
                  <c:v>-79.810068616028843</c:v>
                </c:pt>
                <c:pt idx="117">
                  <c:v>-80.551800049728712</c:v>
                </c:pt>
                <c:pt idx="118">
                  <c:v>-81.291671024765591</c:v>
                </c:pt>
                <c:pt idx="119">
                  <c:v>-82.029776393366745</c:v>
                </c:pt>
                <c:pt idx="120">
                  <c:v>-82.766217262603746</c:v>
                </c:pt>
                <c:pt idx="121">
                  <c:v>-83.501100408224175</c:v>
                </c:pt>
                <c:pt idx="122">
                  <c:v>-84.234537680134693</c:v>
                </c:pt>
                <c:pt idx="123">
                  <c:v>-84.966645400807707</c:v>
                </c:pt>
                <c:pt idx="124">
                  <c:v>-85.697543757737037</c:v>
                </c:pt>
                <c:pt idx="125">
                  <c:v>-86.427356190969647</c:v>
                </c:pt>
                <c:pt idx="126">
                  <c:v>-87.156208776624609</c:v>
                </c:pt>
                <c:pt idx="127">
                  <c:v>-87.88422960721816</c:v>
                </c:pt>
                <c:pt idx="128">
                  <c:v>-88.611548169547007</c:v>
                </c:pt>
                <c:pt idx="129">
                  <c:v>-89.338294720813394</c:v>
                </c:pt>
                <c:pt idx="130">
                  <c:v>-90.064599663628641</c:v>
                </c:pt>
                <c:pt idx="131">
                  <c:v>-90.790592920514143</c:v>
                </c:pt>
                <c:pt idx="132">
                  <c:v>-91.51640330849429</c:v>
                </c:pt>
                <c:pt idx="133">
                  <c:v>-92.242157914397453</c:v>
                </c:pt>
                <c:pt idx="134">
                  <c:v>-92.967981471486681</c:v>
                </c:pt>
                <c:pt idx="135">
                  <c:v>-93.693995738098778</c:v>
                </c:pt>
                <c:pt idx="136">
                  <c:v>-94.420318879015326</c:v>
                </c:pt>
                <c:pt idx="137">
                  <c:v>-95.14706485036686</c:v>
                </c:pt>
                <c:pt idx="138">
                  <c:v>-95.874342788954607</c:v>
                </c:pt>
                <c:pt idx="139">
                  <c:v>-96.602256406982548</c:v>
                </c:pt>
                <c:pt idx="140">
                  <c:v>-97.330903393295429</c:v>
                </c:pt>
                <c:pt idx="141">
                  <c:v>-98.060374822355953</c:v>
                </c:pt>
                <c:pt idx="142">
                  <c:v>-98.790754572316288</c:v>
                </c:pt>
                <c:pt idx="143">
                  <c:v>-99.522118753692425</c:v>
                </c:pt>
                <c:pt idx="144">
                  <c:v>-100.25453515029092</c:v>
                </c:pt>
                <c:pt idx="145">
                  <c:v>-100.98806267419123</c:v>
                </c:pt>
                <c:pt idx="146">
                  <c:v>-101.72275083673671</c:v>
                </c:pt>
                <c:pt idx="147">
                  <c:v>-102.45863923764067</c:v>
                </c:pt>
                <c:pt idx="148">
                  <c:v>-103.19575707445128</c:v>
                </c:pt>
                <c:pt idx="149">
                  <c:v>-103.93412267476273</c:v>
                </c:pt>
                <c:pt idx="150">
                  <c:v>-104.67374305367652</c:v>
                </c:pt>
                <c:pt idx="151">
                  <c:v>-105.41461349912991</c:v>
                </c:pt>
                <c:pt idx="152">
                  <c:v>-106.156717187796</c:v>
                </c:pt>
                <c:pt idx="153">
                  <c:v>-106.90002483432752</c:v>
                </c:pt>
                <c:pt idx="154">
                  <c:v>-107.64449437675501</c:v>
                </c:pt>
                <c:pt idx="155">
                  <c:v>-108.39007070086718</c:v>
                </c:pt>
                <c:pt idx="156">
                  <c:v>-109.13668540637191</c:v>
                </c:pt>
                <c:pt idx="157">
                  <c:v>-109.8842566175863</c:v>
                </c:pt>
                <c:pt idx="158">
                  <c:v>-110.63268884130531</c:v>
                </c:pt>
                <c:pt idx="159">
                  <c:v>-111.38187287436118</c:v>
                </c:pt>
                <c:pt idx="160">
                  <c:v>-112.13168576321587</c:v>
                </c:pt>
                <c:pt idx="161">
                  <c:v>-112.88199081769476</c:v>
                </c:pt>
                <c:pt idx="162">
                  <c:v>-113.63263768071975</c:v>
                </c:pt>
                <c:pt idx="163">
                  <c:v>-114.38346245558569</c:v>
                </c:pt>
                <c:pt idx="164">
                  <c:v>-115.13428789197452</c:v>
                </c:pt>
                <c:pt idx="165">
                  <c:v>-115.88492363152255</c:v>
                </c:pt>
                <c:pt idx="166">
                  <c:v>-116.6351665133232</c:v>
                </c:pt>
                <c:pt idx="167">
                  <c:v>-117.3848009393076</c:v>
                </c:pt>
                <c:pt idx="168">
                  <c:v>-118.13359929894631</c:v>
                </c:pt>
                <c:pt idx="169">
                  <c:v>-118.88132245223144</c:v>
                </c:pt>
                <c:pt idx="170">
                  <c:v>-119.62772026937404</c:v>
                </c:pt>
                <c:pt idx="171">
                  <c:v>-120.37253222512769</c:v>
                </c:pt>
                <c:pt idx="172">
                  <c:v>-121.11548804513448</c:v>
                </c:pt>
                <c:pt idx="173">
                  <c:v>-121.85630840117361</c:v>
                </c:pt>
                <c:pt idx="174">
                  <c:v>-122.59470565169566</c:v>
                </c:pt>
                <c:pt idx="175">
                  <c:v>-123.33038462356683</c:v>
                </c:pt>
                <c:pt idx="176">
                  <c:v>-124.06304343049824</c:v>
                </c:pt>
                <c:pt idx="177">
                  <c:v>-124.79237432325877</c:v>
                </c:pt>
                <c:pt idx="178">
                  <c:v>-125.51806456641799</c:v>
                </c:pt>
                <c:pt idx="179">
                  <c:v>-126.23979733607808</c:v>
                </c:pt>
                <c:pt idx="180">
                  <c:v>-126.95725263283613</c:v>
                </c:pt>
                <c:pt idx="181">
                  <c:v>-127.67010820404647</c:v>
                </c:pt>
                <c:pt idx="182">
                  <c:v>-128.37804046937708</c:v>
                </c:pt>
                <c:pt idx="183">
                  <c:v>-129.08072544361704</c:v>
                </c:pt>
                <c:pt idx="184">
                  <c:v>-129.77783965075972</c:v>
                </c:pt>
                <c:pt idx="185">
                  <c:v>-130.4690610234951</c:v>
                </c:pt>
                <c:pt idx="186">
                  <c:v>-131.15406978245056</c:v>
                </c:pt>
                <c:pt idx="187">
                  <c:v>-131.83254928975487</c:v>
                </c:pt>
                <c:pt idx="188">
                  <c:v>-132.50418687184089</c:v>
                </c:pt>
                <c:pt idx="189">
                  <c:v>-133.16867460675024</c:v>
                </c:pt>
                <c:pt idx="190">
                  <c:v>-133.82571007163901</c:v>
                </c:pt>
                <c:pt idx="191">
                  <c:v>-134.47499704663312</c:v>
                </c:pt>
                <c:pt idx="192">
                  <c:v>-135.11624617168039</c:v>
                </c:pt>
                <c:pt idx="193">
                  <c:v>-135.74917555355529</c:v>
                </c:pt>
                <c:pt idx="194">
                  <c:v>-136.37351132071439</c:v>
                </c:pt>
                <c:pt idx="195">
                  <c:v>-136.98898812423349</c:v>
                </c:pt>
                <c:pt idx="196">
                  <c:v>-137.59534958360257</c:v>
                </c:pt>
                <c:pt idx="197">
                  <c:v>-138.19234867667663</c:v>
                </c:pt>
                <c:pt idx="198">
                  <c:v>-138.77974807361286</c:v>
                </c:pt>
                <c:pt idx="199">
                  <c:v>-139.3573204151042</c:v>
                </c:pt>
                <c:pt idx="200">
                  <c:v>-139.92484853569459</c:v>
                </c:pt>
                <c:pt idx="201">
                  <c:v>-140.48212563339243</c:v>
                </c:pt>
                <c:pt idx="202">
                  <c:v>-141.02895538720094</c:v>
                </c:pt>
                <c:pt idx="203">
                  <c:v>-141.56515202453997</c:v>
                </c:pt>
                <c:pt idx="204">
                  <c:v>-142.09054034085304</c:v>
                </c:pt>
                <c:pt idx="205">
                  <c:v>-142.60495567396822</c:v>
                </c:pt>
                <c:pt idx="206">
                  <c:v>-143.10824383601454</c:v>
                </c:pt>
                <c:pt idx="207">
                  <c:v>-143.60026100588431</c:v>
                </c:pt>
                <c:pt idx="208">
                  <c:v>-144.08087358537409</c:v>
                </c:pt>
                <c:pt idx="209">
                  <c:v>-144.54995802225349</c:v>
                </c:pt>
                <c:pt idx="210">
                  <c:v>-145.00740060357253</c:v>
                </c:pt>
                <c:pt idx="211">
                  <c:v>-145.45309722254984</c:v>
                </c:pt>
                <c:pt idx="212">
                  <c:v>-145.88695312239327</c:v>
                </c:pt>
                <c:pt idx="213">
                  <c:v>-146.30888262036521</c:v>
                </c:pt>
                <c:pt idx="214">
                  <c:v>-146.71880881535355</c:v>
                </c:pt>
                <c:pt idx="215">
                  <c:v>-147.11666328213187</c:v>
                </c:pt>
                <c:pt idx="216">
                  <c:v>-147.5023857553881</c:v>
                </c:pt>
                <c:pt idx="217">
                  <c:v>-147.87592380648968</c:v>
                </c:pt>
                <c:pt idx="218">
                  <c:v>-148.23723251582146</c:v>
                </c:pt>
                <c:pt idx="219">
                  <c:v>-148.586274143396</c:v>
                </c:pt>
                <c:pt idx="220">
                  <c:v>-148.92301780028234</c:v>
                </c:pt>
                <c:pt idx="221">
                  <c:v>-149.24743912325258</c:v>
                </c:pt>
                <c:pt idx="222">
                  <c:v>-149.55951995488635</c:v>
                </c:pt>
                <c:pt idx="223">
                  <c:v>-149.85924803121688</c:v>
                </c:pt>
                <c:pt idx="224">
                  <c:v>-150.14661667884965</c:v>
                </c:pt>
                <c:pt idx="225">
                  <c:v>-150.42162452332346</c:v>
                </c:pt>
                <c:pt idx="226">
                  <c:v>-150.68427521034425</c:v>
                </c:pt>
                <c:pt idx="227">
                  <c:v>-150.93457714137085</c:v>
                </c:pt>
                <c:pt idx="228">
                  <c:v>-151.17254322488924</c:v>
                </c:pt>
                <c:pt idx="229">
                  <c:v>-151.39819064459166</c:v>
                </c:pt>
                <c:pt idx="230">
                  <c:v>-151.61154064553241</c:v>
                </c:pt>
                <c:pt idx="231">
                  <c:v>-151.81261833922895</c:v>
                </c:pt>
                <c:pt idx="232">
                  <c:v>-152.00145252855017</c:v>
                </c:pt>
                <c:pt idx="233">
                  <c:v>-152.17807555313757</c:v>
                </c:pt>
                <c:pt idx="234">
                  <c:v>-152.34252315599613</c:v>
                </c:pt>
                <c:pt idx="235">
                  <c:v>-152.49483437180129</c:v>
                </c:pt>
                <c:pt idx="236">
                  <c:v>-152.63505143738078</c:v>
                </c:pt>
                <c:pt idx="237">
                  <c:v>-152.7632197247386</c:v>
                </c:pt>
                <c:pt idx="238">
                  <c:v>-152.87938769691485</c:v>
                </c:pt>
                <c:pt idx="239">
                  <c:v>-152.98360688689465</c:v>
                </c:pt>
                <c:pt idx="240">
                  <c:v>-153.0759318997037</c:v>
                </c:pt>
                <c:pt idx="241">
                  <c:v>-153.15642043775523</c:v>
                </c:pt>
                <c:pt idx="242">
                  <c:v>-153.22513334944315</c:v>
                </c:pt>
                <c:pt idx="243">
                  <c:v>-153.28213470089813</c:v>
                </c:pt>
                <c:pt idx="244">
                  <c:v>-153.32749187075592</c:v>
                </c:pt>
                <c:pt idx="245">
                  <c:v>-153.36127566770693</c:v>
                </c:pt>
                <c:pt idx="246">
                  <c:v>-153.38356047051985</c:v>
                </c:pt>
                <c:pt idx="247">
                  <c:v>-153.39442439015184</c:v>
                </c:pt>
                <c:pt idx="248">
                  <c:v>-153.39394945346797</c:v>
                </c:pt>
                <c:pt idx="249">
                  <c:v>-153.3822218080067</c:v>
                </c:pt>
                <c:pt idx="250">
                  <c:v>-153.35933194712928</c:v>
                </c:pt>
                <c:pt idx="251">
                  <c:v>-153.3253749547861</c:v>
                </c:pt>
                <c:pt idx="252">
                  <c:v>-153.28045076903209</c:v>
                </c:pt>
                <c:pt idx="253">
                  <c:v>-153.22466446329705</c:v>
                </c:pt>
                <c:pt idx="254">
                  <c:v>-153.15812654430533</c:v>
                </c:pt>
                <c:pt idx="255">
                  <c:v>-153.08095326539936</c:v>
                </c:pt>
                <c:pt idx="256">
                  <c:v>-152.99326695389573</c:v>
                </c:pt>
                <c:pt idx="257">
                  <c:v>-152.89519635095127</c:v>
                </c:pt>
                <c:pt idx="258">
                  <c:v>-152.78687696227385</c:v>
                </c:pt>
                <c:pt idx="259">
                  <c:v>-152.66845141785956</c:v>
                </c:pt>
                <c:pt idx="260">
                  <c:v>-152.54006983877488</c:v>
                </c:pt>
                <c:pt idx="261">
                  <c:v>-152.4018902088533</c:v>
                </c:pt>
                <c:pt idx="262">
                  <c:v>-152.2540787490027</c:v>
                </c:pt>
                <c:pt idx="263">
                  <c:v>-152.0968102916716</c:v>
                </c:pt>
                <c:pt idx="264">
                  <c:v>-151.93026865285529</c:v>
                </c:pt>
                <c:pt idx="265">
                  <c:v>-151.75464699887721</c:v>
                </c:pt>
                <c:pt idx="266">
                  <c:v>-151.57014820503272</c:v>
                </c:pt>
                <c:pt idx="267">
                  <c:v>-151.37698520304977</c:v>
                </c:pt>
                <c:pt idx="268">
                  <c:v>-151.17538131419909</c:v>
                </c:pt>
                <c:pt idx="269">
                  <c:v>-150.96557056478224</c:v>
                </c:pt>
                <c:pt idx="270">
                  <c:v>-150.74779798064247</c:v>
                </c:pt>
                <c:pt idx="271">
                  <c:v>-150.52231985727525</c:v>
                </c:pt>
                <c:pt idx="272">
                  <c:v>-150.28940400209405</c:v>
                </c:pt>
                <c:pt idx="273">
                  <c:v>-150.04932994537839</c:v>
                </c:pt>
                <c:pt idx="274">
                  <c:v>-149.8023891164832</c:v>
                </c:pt>
                <c:pt idx="275">
                  <c:v>-149.54888498192767</c:v>
                </c:pt>
                <c:pt idx="276">
                  <c:v>-149.28913314209652</c:v>
                </c:pt>
                <c:pt idx="277">
                  <c:v>-149.02346138341784</c:v>
                </c:pt>
                <c:pt idx="278">
                  <c:v>-148.75220968306795</c:v>
                </c:pt>
                <c:pt idx="279">
                  <c:v>-148.47573016347107</c:v>
                </c:pt>
                <c:pt idx="280">
                  <c:v>-148.19438699413593</c:v>
                </c:pt>
                <c:pt idx="281">
                  <c:v>-147.90855623866949</c:v>
                </c:pt>
                <c:pt idx="282">
                  <c:v>-147.61862564516727</c:v>
                </c:pt>
                <c:pt idx="283">
                  <c:v>-147.32499437856279</c:v>
                </c:pt>
                <c:pt idx="284">
                  <c:v>-147.02807269393995</c:v>
                </c:pt>
                <c:pt idx="285">
                  <c:v>-146.72828155027531</c:v>
                </c:pt>
                <c:pt idx="286">
                  <c:v>-146.42605216455087</c:v>
                </c:pt>
                <c:pt idx="287">
                  <c:v>-146.12182550668979</c:v>
                </c:pt>
                <c:pt idx="288">
                  <c:v>-145.81605173627523</c:v>
                </c:pt>
                <c:pt idx="289">
                  <c:v>-145.50918958255241</c:v>
                </c:pt>
                <c:pt idx="290">
                  <c:v>-145.20170566972433</c:v>
                </c:pt>
                <c:pt idx="291">
                  <c:v>-144.89407379007989</c:v>
                </c:pt>
                <c:pt idx="292">
                  <c:v>-144.58677412799037</c:v>
                </c:pt>
                <c:pt idx="293">
                  <c:v>-144.28029243828621</c:v>
                </c:pt>
                <c:pt idx="294">
                  <c:v>-143.97511918297107</c:v>
                </c:pt>
                <c:pt idx="295">
                  <c:v>-143.67174863062661</c:v>
                </c:pt>
                <c:pt idx="296">
                  <c:v>-143.37067792323109</c:v>
                </c:pt>
                <c:pt idx="297">
                  <c:v>-143.07240611539675</c:v>
                </c:pt>
                <c:pt idx="298">
                  <c:v>-142.7774331912847</c:v>
                </c:pt>
                <c:pt idx="299">
                  <c:v>-142.48625906462826</c:v>
                </c:pt>
                <c:pt idx="300">
                  <c:v>-142.19938256740457</c:v>
                </c:pt>
                <c:pt idx="301">
                  <c:v>-141.91730043273577</c:v>
                </c:pt>
                <c:pt idx="302">
                  <c:v>-141.64050627756413</c:v>
                </c:pt>
                <c:pt idx="303">
                  <c:v>-141.36948959056201</c:v>
                </c:pt>
                <c:pt idx="304">
                  <c:v>-141.10473473055058</c:v>
                </c:pt>
                <c:pt idx="305">
                  <c:v>-140.84671994048938</c:v>
                </c:pt>
                <c:pt idx="306">
                  <c:v>-140.59591638180498</c:v>
                </c:pt>
                <c:pt idx="307">
                  <c:v>-140.35278719348878</c:v>
                </c:pt>
                <c:pt idx="308">
                  <c:v>-140.11778658000483</c:v>
                </c:pt>
                <c:pt idx="309">
                  <c:v>-139.89135893163731</c:v>
                </c:pt>
                <c:pt idx="310">
                  <c:v>-139.67393798043972</c:v>
                </c:pt>
                <c:pt idx="311">
                  <c:v>-139.46594599449355</c:v>
                </c:pt>
                <c:pt idx="312">
                  <c:v>-139.26779301267942</c:v>
                </c:pt>
                <c:pt idx="313">
                  <c:v>-139.07987612169947</c:v>
                </c:pt>
                <c:pt idx="314">
                  <c:v>-138.9025787765809</c:v>
                </c:pt>
                <c:pt idx="315">
                  <c:v>-138.73627016545299</c:v>
                </c:pt>
                <c:pt idx="316">
                  <c:v>-138.58130461891108</c:v>
                </c:pt>
                <c:pt idx="317">
                  <c:v>-138.43802106389469</c:v>
                </c:pt>
                <c:pt idx="318">
                  <c:v>-138.30674252159477</c:v>
                </c:pt>
                <c:pt idx="319">
                  <c:v>-138.18777564858519</c:v>
                </c:pt>
                <c:pt idx="320">
                  <c:v>-138.08141032005452</c:v>
                </c:pt>
                <c:pt idx="321">
                  <c:v>-137.9879192537812</c:v>
                </c:pt>
                <c:pt idx="322">
                  <c:v>-137.90755767327508</c:v>
                </c:pt>
                <c:pt idx="323">
                  <c:v>-137.84056300837526</c:v>
                </c:pt>
                <c:pt idx="324">
                  <c:v>-137.78715463147768</c:v>
                </c:pt>
                <c:pt idx="325">
                  <c:v>-137.74753362753654</c:v>
                </c:pt>
                <c:pt idx="326">
                  <c:v>-137.72188259597146</c:v>
                </c:pt>
                <c:pt idx="327">
                  <c:v>-137.710365482665</c:v>
                </c:pt>
                <c:pt idx="328">
                  <c:v>-137.71312744033784</c:v>
                </c:pt>
                <c:pt idx="329">
                  <c:v>-137.7302947157082</c:v>
                </c:pt>
                <c:pt idx="330">
                  <c:v>-137.76197456202885</c:v>
                </c:pt>
                <c:pt idx="331">
                  <c:v>-137.80825517578856</c:v>
                </c:pt>
                <c:pt idx="332">
                  <c:v>-137.86920565659892</c:v>
                </c:pt>
                <c:pt idx="333">
                  <c:v>-137.94487598954092</c:v>
                </c:pt>
                <c:pt idx="334">
                  <c:v>-138.03529704950941</c:v>
                </c:pt>
                <c:pt idx="335">
                  <c:v>-138.14048062737712</c:v>
                </c:pt>
                <c:pt idx="336">
                  <c:v>-138.26041947807423</c:v>
                </c:pt>
                <c:pt idx="337">
                  <c:v>-138.39508739096976</c:v>
                </c:pt>
                <c:pt idx="338">
                  <c:v>-138.54443928319913</c:v>
                </c:pt>
                <c:pt idx="339">
                  <c:v>-138.70841131685555</c:v>
                </c:pt>
                <c:pt idx="340">
                  <c:v>-138.88692104118519</c:v>
                </c:pt>
                <c:pt idx="341">
                  <c:v>-139.07986756115321</c:v>
                </c:pt>
                <c:pt idx="342">
                  <c:v>-139.28713173391978</c:v>
                </c:pt>
                <c:pt idx="343">
                  <c:v>-139.50857639491613</c:v>
                </c:pt>
                <c:pt idx="344">
                  <c:v>-139.74404661531992</c:v>
                </c:pt>
                <c:pt idx="345">
                  <c:v>-139.99336999279086</c:v>
                </c:pt>
                <c:pt idx="346">
                  <c:v>-140.25635697734219</c:v>
                </c:pt>
                <c:pt idx="347">
                  <c:v>-140.53280123420095</c:v>
                </c:pt>
                <c:pt idx="348">
                  <c:v>-140.82248004541685</c:v>
                </c:pt>
                <c:pt idx="349">
                  <c:v>-141.1251547518533</c:v>
                </c:pt>
                <c:pt idx="350">
                  <c:v>-141.44057123700398</c:v>
                </c:pt>
                <c:pt idx="351">
                  <c:v>-141.76846045384465</c:v>
                </c:pt>
                <c:pt idx="352">
                  <c:v>-142.10853899564597</c:v>
                </c:pt>
                <c:pt idx="353">
                  <c:v>-142.46050971133653</c:v>
                </c:pt>
                <c:pt idx="354">
                  <c:v>-142.82406236564546</c:v>
                </c:pt>
                <c:pt idx="355">
                  <c:v>-143.19887434383222</c:v>
                </c:pt>
                <c:pt idx="356">
                  <c:v>-143.58461140038094</c:v>
                </c:pt>
                <c:pt idx="357">
                  <c:v>-143.98092845057272</c:v>
                </c:pt>
                <c:pt idx="358">
                  <c:v>-144.38747040336668</c:v>
                </c:pt>
                <c:pt idx="359">
                  <c:v>-144.80387303353498</c:v>
                </c:pt>
                <c:pt idx="360">
                  <c:v>-145.2297638905103</c:v>
                </c:pt>
                <c:pt idx="361">
                  <c:v>-145.66476324092196</c:v>
                </c:pt>
                <c:pt idx="362">
                  <c:v>-146.10848504134046</c:v>
                </c:pt>
                <c:pt idx="363">
                  <c:v>-146.56053793731095</c:v>
                </c:pt>
                <c:pt idx="364">
                  <c:v>-147.02052628436002</c:v>
                </c:pt>
                <c:pt idx="365">
                  <c:v>-147.48805118629963</c:v>
                </c:pt>
                <c:pt idx="366">
                  <c:v>-147.96271154585156</c:v>
                </c:pt>
                <c:pt idx="367">
                  <c:v>-148.44410512235373</c:v>
                </c:pt>
                <c:pt idx="368">
                  <c:v>-148.93182959113398</c:v>
                </c:pt>
                <c:pt idx="369">
                  <c:v>-149.42548359900277</c:v>
                </c:pt>
                <c:pt idx="370">
                  <c:v>-149.92466781026471</c:v>
                </c:pt>
                <c:pt idx="371">
                  <c:v>-150.42898593766247</c:v>
                </c:pt>
                <c:pt idx="372">
                  <c:v>-150.93804575275104</c:v>
                </c:pt>
                <c:pt idx="373">
                  <c:v>-151.45146007034742</c:v>
                </c:pt>
                <c:pt idx="374">
                  <c:v>-151.96884770192167</c:v>
                </c:pt>
                <c:pt idx="375">
                  <c:v>-152.48983437307334</c:v>
                </c:pt>
                <c:pt idx="376">
                  <c:v>-153.01405360056427</c:v>
                </c:pt>
                <c:pt idx="377">
                  <c:v>-153.54114752477281</c:v>
                </c:pt>
                <c:pt idx="378">
                  <c:v>-154.07076769384875</c:v>
                </c:pt>
                <c:pt idx="379">
                  <c:v>-154.60257579632142</c:v>
                </c:pt>
                <c:pt idx="380">
                  <c:v>-155.13624433939245</c:v>
                </c:pt>
                <c:pt idx="381">
                  <c:v>-155.67145727065665</c:v>
                </c:pt>
                <c:pt idx="382">
                  <c:v>-156.20791054151596</c:v>
                </c:pt>
                <c:pt idx="383">
                  <c:v>-156.74531261105784</c:v>
                </c:pt>
                <c:pt idx="384">
                  <c:v>-157.28338488970661</c:v>
                </c:pt>
                <c:pt idx="385">
                  <c:v>-157.82186212243084</c:v>
                </c:pt>
                <c:pt idx="386">
                  <c:v>-158.3604927118015</c:v>
                </c:pt>
                <c:pt idx="387">
                  <c:v>-158.89903898162316</c:v>
                </c:pt>
                <c:pt idx="388">
                  <c:v>-159.43727738231235</c:v>
                </c:pt>
                <c:pt idx="389">
                  <c:v>-159.97499863957199</c:v>
                </c:pt>
                <c:pt idx="390">
                  <c:v>-160.51200784826719</c:v>
                </c:pt>
                <c:pt idx="391">
                  <c:v>-161.04812451372618</c:v>
                </c:pt>
                <c:pt idx="392">
                  <c:v>-161.5831825429504</c:v>
                </c:pt>
                <c:pt idx="393">
                  <c:v>-162.11703018845031</c:v>
                </c:pt>
                <c:pt idx="394">
                  <c:v>-162.64952994760543</c:v>
                </c:pt>
                <c:pt idx="395">
                  <c:v>-163.18055842058496</c:v>
                </c:pt>
                <c:pt idx="396">
                  <c:v>-163.71000612996991</c:v>
                </c:pt>
                <c:pt idx="397">
                  <c:v>-164.23777730527422</c:v>
                </c:pt>
                <c:pt idx="398">
                  <c:v>-164.76378963558574</c:v>
                </c:pt>
                <c:pt idx="399">
                  <c:v>-165.28797399354167</c:v>
                </c:pt>
                <c:pt idx="400">
                  <c:v>-165.81027413380747</c:v>
                </c:pt>
                <c:pt idx="401">
                  <c:v>-166.33064636915964</c:v>
                </c:pt>
                <c:pt idx="402">
                  <c:v>-166.84905922718028</c:v>
                </c:pt>
                <c:pt idx="403">
                  <c:v>-167.36549309045424</c:v>
                </c:pt>
                <c:pt idx="404">
                  <c:v>-167.87993982302794</c:v>
                </c:pt>
                <c:pt idx="405">
                  <c:v>-168.39240238573737</c:v>
                </c:pt>
                <c:pt idx="406">
                  <c:v>-168.90289444285887</c:v>
                </c:pt>
                <c:pt idx="407">
                  <c:v>-169.41143996235832</c:v>
                </c:pt>
                <c:pt idx="408">
                  <c:v>-169.91807281184953</c:v>
                </c:pt>
                <c:pt idx="409">
                  <c:v>-170.42283635218593</c:v>
                </c:pt>
                <c:pt idx="410">
                  <c:v>-170.92578303043072</c:v>
                </c:pt>
                <c:pt idx="411">
                  <c:v>-171.42697397377538</c:v>
                </c:pt>
                <c:pt idx="412">
                  <c:v>-171.92647858579122</c:v>
                </c:pt>
                <c:pt idx="413">
                  <c:v>-172.42437414623129</c:v>
                </c:pt>
                <c:pt idx="414">
                  <c:v>-172.92074541542601</c:v>
                </c:pt>
                <c:pt idx="415">
                  <c:v>-173.41568424415638</c:v>
                </c:pt>
                <c:pt idx="416">
                  <c:v>-173.90928918972926</c:v>
                </c:pt>
                <c:pt idx="417">
                  <c:v>-174.40166513883335</c:v>
                </c:pt>
                <c:pt idx="418">
                  <c:v>-174.89292293761122</c:v>
                </c:pt>
                <c:pt idx="419">
                  <c:v>-175.38317902925314</c:v>
                </c:pt>
                <c:pt idx="420">
                  <c:v>-175.87255509929227</c:v>
                </c:pt>
                <c:pt idx="421">
                  <c:v>-176.3611777286676</c:v>
                </c:pt>
                <c:pt idx="422">
                  <c:v>-176.8491780545119</c:v>
                </c:pt>
                <c:pt idx="423">
                  <c:v>-177.33669143852896</c:v>
                </c:pt>
                <c:pt idx="424">
                  <c:v>-177.82385714272814</c:v>
                </c:pt>
                <c:pt idx="425">
                  <c:v>-178.31081801220893</c:v>
                </c:pt>
                <c:pt idx="426">
                  <c:v>-178.79772016461277</c:v>
                </c:pt>
                <c:pt idx="427">
                  <c:v>-179.28471268579003</c:v>
                </c:pt>
                <c:pt idx="428">
                  <c:v>-179.77194733117793</c:v>
                </c:pt>
                <c:pt idx="429">
                  <c:v>179.7404217676677</c:v>
                </c:pt>
                <c:pt idx="430">
                  <c:v>179.2522383919958</c:v>
                </c:pt>
                <c:pt idx="431">
                  <c:v>178.76334452087085</c:v>
                </c:pt>
                <c:pt idx="432">
                  <c:v>178.27358061295072</c:v>
                </c:pt>
                <c:pt idx="433">
                  <c:v>177.78278588572209</c:v>
                </c:pt>
                <c:pt idx="434">
                  <c:v>177.29079859291539</c:v>
                </c:pt>
                <c:pt idx="435">
                  <c:v>176.79745630082604</c:v>
                </c:pt>
                <c:pt idx="436">
                  <c:v>176.30259616427944</c:v>
                </c:pt>
                <c:pt idx="437">
                  <c:v>175.80605520298155</c:v>
                </c:pt>
                <c:pt idx="438">
                  <c:v>175.30767057898811</c:v>
                </c:pt>
                <c:pt idx="439">
                  <c:v>174.8072798760214</c:v>
                </c:pt>
                <c:pt idx="440">
                  <c:v>174.30472138134414</c:v>
                </c:pt>
                <c:pt idx="441">
                  <c:v>173.79983437088043</c:v>
                </c:pt>
                <c:pt idx="442">
                  <c:v>173.29245939824878</c:v>
                </c:pt>
                <c:pt idx="443">
                  <c:v>172.78243858833432</c:v>
                </c:pt>
                <c:pt idx="444">
                  <c:v>172.26961593599245</c:v>
                </c:pt>
                <c:pt idx="445">
                  <c:v>171.7538376104248</c:v>
                </c:pt>
                <c:pt idx="446">
                  <c:v>171.23495226572021</c:v>
                </c:pt>
                <c:pt idx="447">
                  <c:v>170.71281135798785</c:v>
                </c:pt>
                <c:pt idx="448">
                  <c:v>170.18726946944528</c:v>
                </c:pt>
                <c:pt idx="449">
                  <c:v>169.65818463974679</c:v>
                </c:pt>
                <c:pt idx="450">
                  <c:v>169.1254187047526</c:v>
                </c:pt>
                <c:pt idx="451">
                  <c:v>168.58883764285017</c:v>
                </c:pt>
                <c:pt idx="452">
                  <c:v>168.0483119288368</c:v>
                </c:pt>
                <c:pt idx="453">
                  <c:v>167.5037168952625</c:v>
                </c:pt>
                <c:pt idx="454">
                  <c:v>166.95493310101864</c:v>
                </c:pt>
                <c:pt idx="455">
                  <c:v>166.4018467068272</c:v>
                </c:pt>
                <c:pt idx="456">
                  <c:v>165.84434985715615</c:v>
                </c:pt>
                <c:pt idx="457">
                  <c:v>165.28234106793886</c:v>
                </c:pt>
                <c:pt idx="458">
                  <c:v>164.71572561933115</c:v>
                </c:pt>
                <c:pt idx="459">
                  <c:v>164.14441595257736</c:v>
                </c:pt>
                <c:pt idx="460">
                  <c:v>163.56833206989697</c:v>
                </c:pt>
                <c:pt idx="461">
                  <c:v>162.98740193613531</c:v>
                </c:pt>
                <c:pt idx="462">
                  <c:v>162.40156188074414</c:v>
                </c:pt>
                <c:pt idx="463">
                  <c:v>161.8107569984895</c:v>
                </c:pt>
                <c:pt idx="464">
                  <c:v>161.21494154710015</c:v>
                </c:pt>
                <c:pt idx="465">
                  <c:v>160.6140793399033</c:v>
                </c:pt>
                <c:pt idx="466">
                  <c:v>160.00814413130885</c:v>
                </c:pt>
                <c:pt idx="467">
                  <c:v>159.39711999284972</c:v>
                </c:pt>
                <c:pt idx="468">
                  <c:v>158.781001677315</c:v>
                </c:pt>
                <c:pt idx="469">
                  <c:v>158.15979496836783</c:v>
                </c:pt>
                <c:pt idx="470">
                  <c:v>157.53351701290669</c:v>
                </c:pt>
                <c:pt idx="471">
                  <c:v>156.9021966333016</c:v>
                </c:pt>
                <c:pt idx="472">
                  <c:v>156.26587461655151</c:v>
                </c:pt>
                <c:pt idx="473">
                  <c:v>155.62460397731826</c:v>
                </c:pt>
                <c:pt idx="474">
                  <c:v>154.97845019175497</c:v>
                </c:pt>
                <c:pt idx="475">
                  <c:v>154.32749139902276</c:v>
                </c:pt>
                <c:pt idx="476">
                  <c:v>153.671818567407</c:v>
                </c:pt>
                <c:pt idx="477">
                  <c:v>153.01153562198874</c:v>
                </c:pt>
                <c:pt idx="478">
                  <c:v>152.34675953092082</c:v>
                </c:pt>
                <c:pt idx="479">
                  <c:v>151.67762034748662</c:v>
                </c:pt>
                <c:pt idx="480">
                  <c:v>151.00426120528496</c:v>
                </c:pt>
                <c:pt idx="481">
                  <c:v>150.32683826410872</c:v>
                </c:pt>
                <c:pt idx="482">
                  <c:v>149.64552060433041</c:v>
                </c:pt>
                <c:pt idx="483">
                  <c:v>148.96049006792515</c:v>
                </c:pt>
                <c:pt idx="484">
                  <c:v>148.27194104458471</c:v>
                </c:pt>
                <c:pt idx="485">
                  <c:v>147.58008020178252</c:v>
                </c:pt>
                <c:pt idx="486">
                  <c:v>146.88512615804927</c:v>
                </c:pt>
                <c:pt idx="487">
                  <c:v>146.18730909918301</c:v>
                </c:pt>
                <c:pt idx="488">
                  <c:v>145.48687033760345</c:v>
                </c:pt>
                <c:pt idx="489">
                  <c:v>144.7840618155486</c:v>
                </c:pt>
                <c:pt idx="490">
                  <c:v>144.07914555335185</c:v>
                </c:pt>
                <c:pt idx="491">
                  <c:v>143.37239304455298</c:v>
                </c:pt>
                <c:pt idx="492">
                  <c:v>142.66408460013693</c:v>
                </c:pt>
                <c:pt idx="493">
                  <c:v>141.9545086447126</c:v>
                </c:pt>
                <c:pt idx="494">
                  <c:v>141.24396096796201</c:v>
                </c:pt>
                <c:pt idx="495">
                  <c:v>140.53274393516625</c:v>
                </c:pt>
                <c:pt idx="496">
                  <c:v>139.82116566107851</c:v>
                </c:pt>
                <c:pt idx="497">
                  <c:v>139.1095391518279</c:v>
                </c:pt>
                <c:pt idx="498">
                  <c:v>138.39818141989886</c:v>
                </c:pt>
                <c:pt idx="499">
                  <c:v>137.68741257755627</c:v>
                </c:pt>
                <c:pt idx="500">
                  <c:v>136.97755491433185</c:v>
                </c:pt>
                <c:pt idx="501">
                  <c:v>136.26893196437931</c:v>
                </c:pt>
                <c:pt idx="502">
                  <c:v>135.56186756963351</c:v>
                </c:pt>
                <c:pt idx="503">
                  <c:v>134.85668494474606</c:v>
                </c:pt>
                <c:pt idx="504">
                  <c:v>134.15370574976569</c:v>
                </c:pt>
                <c:pt idx="505">
                  <c:v>133.45324917642591</c:v>
                </c:pt>
                <c:pt idx="506">
                  <c:v>132.75563105375048</c:v>
                </c:pt>
                <c:pt idx="507">
                  <c:v>132.06116297845514</c:v>
                </c:pt>
                <c:pt idx="508">
                  <c:v>131.37015147533225</c:v>
                </c:pt>
                <c:pt idx="509">
                  <c:v>130.68289719246616</c:v>
                </c:pt>
                <c:pt idx="510">
                  <c:v>129.99969413572282</c:v>
                </c:pt>
                <c:pt idx="511">
                  <c:v>129.32082894651884</c:v>
                </c:pt>
                <c:pt idx="512">
                  <c:v>128.64658022640415</c:v>
                </c:pt>
                <c:pt idx="513">
                  <c:v>127.97721791148363</c:v>
                </c:pt>
                <c:pt idx="514">
                  <c:v>127.31300269918778</c:v>
                </c:pt>
                <c:pt idx="515">
                  <c:v>126.65418552936609</c:v>
                </c:pt>
                <c:pt idx="516">
                  <c:v>126.00100712114541</c:v>
                </c:pt>
                <c:pt idx="517">
                  <c:v>125.35369756646963</c:v>
                </c:pt>
                <c:pt idx="518">
                  <c:v>124.71247598071446</c:v>
                </c:pt>
                <c:pt idx="519">
                  <c:v>124.07755021028805</c:v>
                </c:pt>
                <c:pt idx="520">
                  <c:v>123.44911659664618</c:v>
                </c:pt>
                <c:pt idx="521">
                  <c:v>122.82735979572237</c:v>
                </c:pt>
                <c:pt idx="522">
                  <c:v>122.21245265136427</c:v>
                </c:pt>
                <c:pt idx="523">
                  <c:v>121.60455612100664</c:v>
                </c:pt>
                <c:pt idx="524">
                  <c:v>121.00381925148368</c:v>
                </c:pt>
                <c:pt idx="525">
                  <c:v>120.41037920260952</c:v>
                </c:pt>
                <c:pt idx="526">
                  <c:v>119.82436131591228</c:v>
                </c:pt>
                <c:pt idx="527">
                  <c:v>119.2458792257127</c:v>
                </c:pt>
                <c:pt idx="528">
                  <c:v>118.67503500959592</c:v>
                </c:pt>
                <c:pt idx="529">
                  <c:v>118.11191937519733</c:v>
                </c:pt>
                <c:pt idx="530">
                  <c:v>117.55661188017578</c:v>
                </c:pt>
                <c:pt idx="531">
                  <c:v>117.00918118218756</c:v>
                </c:pt>
                <c:pt idx="532">
                  <c:v>116.4696853156964</c:v>
                </c:pt>
                <c:pt idx="533">
                  <c:v>115.93817199246942</c:v>
                </c:pt>
                <c:pt idx="534">
                  <c:v>115.41467892267842</c:v>
                </c:pt>
                <c:pt idx="535">
                  <c:v>114.89923415359952</c:v>
                </c:pt>
                <c:pt idx="536">
                  <c:v>114.39185642302091</c:v>
                </c:pt>
                <c:pt idx="537">
                  <c:v>113.89255552457369</c:v>
                </c:pt>
                <c:pt idx="538">
                  <c:v>113.4013326823537</c:v>
                </c:pt>
                <c:pt idx="539">
                  <c:v>112.9181809323437</c:v>
                </c:pt>
                <c:pt idx="540">
                  <c:v>112.44308550829871</c:v>
                </c:pt>
                <c:pt idx="541">
                  <c:v>111.97602422992821</c:v>
                </c:pt>
              </c:numCache>
            </c:numRef>
          </c:yVal>
          <c:smooth val="1"/>
          <c:extLst>
            <c:ext xmlns:c16="http://schemas.microsoft.com/office/drawing/2014/chart" uri="{C3380CC4-5D6E-409C-BE32-E72D297353CC}">
              <c16:uniqueId val="{00000001-69E5-488F-8178-EA81D5C894E7}"/>
            </c:ext>
          </c:extLst>
        </c:ser>
        <c:dLbls>
          <c:showLegendKey val="0"/>
          <c:showVal val="0"/>
          <c:showCatName val="0"/>
          <c:showSerName val="0"/>
          <c:showPercent val="0"/>
          <c:showBubbleSize val="0"/>
        </c:dLbls>
        <c:axId val="555250048"/>
        <c:axId val="555235968"/>
      </c:scatterChart>
      <c:valAx>
        <c:axId val="555231872"/>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555234048"/>
        <c:crosses val="autoZero"/>
        <c:crossBetween val="midCat"/>
      </c:valAx>
      <c:valAx>
        <c:axId val="555234048"/>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555231872"/>
        <c:crosses val="autoZero"/>
        <c:crossBetween val="midCat"/>
        <c:majorUnit val="20"/>
        <c:minorUnit val="10"/>
      </c:valAx>
      <c:valAx>
        <c:axId val="555235968"/>
        <c:scaling>
          <c:orientation val="minMax"/>
          <c:max val="180"/>
          <c:min val="-180"/>
        </c:scaling>
        <c:delete val="0"/>
        <c:axPos val="r"/>
        <c:numFmt formatCode="General" sourceLinked="1"/>
        <c:majorTickMark val="out"/>
        <c:minorTickMark val="none"/>
        <c:tickLblPos val="nextTo"/>
        <c:crossAx val="555250048"/>
        <c:crosses val="max"/>
        <c:crossBetween val="midCat"/>
        <c:majorUnit val="90"/>
        <c:minorUnit val="45"/>
      </c:valAx>
      <c:valAx>
        <c:axId val="555250048"/>
        <c:scaling>
          <c:logBase val="10"/>
          <c:orientation val="minMax"/>
        </c:scaling>
        <c:delete val="1"/>
        <c:axPos val="b"/>
        <c:numFmt formatCode="0.00" sourceLinked="1"/>
        <c:majorTickMark val="out"/>
        <c:minorTickMark val="none"/>
        <c:tickLblPos val="nextTo"/>
        <c:crossAx val="555235968"/>
        <c:crosses val="autoZero"/>
        <c:crossBetween val="midCat"/>
      </c:valAx>
    </c:plotArea>
    <c:legend>
      <c:legendPos val="r"/>
      <c:layout>
        <c:manualLayout>
          <c:xMode val="edge"/>
          <c:yMode val="edge"/>
          <c:x val="0.79880558209512509"/>
          <c:y val="0.14321997959862004"/>
          <c:w val="0.13459449276057311"/>
          <c:h val="0.10691609861199437"/>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Error</a:t>
            </a:r>
            <a:r>
              <a:rPr lang="en-US" baseline="0"/>
              <a:t> Amplifier Transfer</a:t>
            </a:r>
          </a:p>
        </c:rich>
      </c:tx>
      <c:overlay val="0"/>
    </c:title>
    <c:autoTitleDeleted val="0"/>
    <c:plotArea>
      <c:layout/>
      <c:scatterChart>
        <c:scatterStyle val="smoothMarker"/>
        <c:varyColors val="0"/>
        <c:ser>
          <c:idx val="0"/>
          <c:order val="0"/>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Loop_Modeling!$BD$19:$BD$560</c:f>
              <c:numCache>
                <c:formatCode>General</c:formatCode>
                <c:ptCount val="542"/>
                <c:pt idx="0">
                  <c:v>37.644046846143986</c:v>
                </c:pt>
                <c:pt idx="1">
                  <c:v>37.444058513024508</c:v>
                </c:pt>
                <c:pt idx="2">
                  <c:v>37.244070729714529</c:v>
                </c:pt>
                <c:pt idx="3">
                  <c:v>37.044083522122484</c:v>
                </c:pt>
                <c:pt idx="4">
                  <c:v>36.844096917377648</c:v>
                </c:pt>
                <c:pt idx="5">
                  <c:v>36.644110943887341</c:v>
                </c:pt>
                <c:pt idx="6">
                  <c:v>36.444125631397476</c:v>
                </c:pt>
                <c:pt idx="7">
                  <c:v>36.244141011055248</c:v>
                </c:pt>
                <c:pt idx="8">
                  <c:v>36.044157115475528</c:v>
                </c:pt>
                <c:pt idx="9">
                  <c:v>35.844173978809621</c:v>
                </c:pt>
                <c:pt idx="10">
                  <c:v>35.644191636817851</c:v>
                </c:pt>
                <c:pt idx="11">
                  <c:v>35.444210126945329</c:v>
                </c:pt>
                <c:pt idx="12">
                  <c:v>35.244229488401103</c:v>
                </c:pt>
                <c:pt idx="13">
                  <c:v>35.044249762241513</c:v>
                </c:pt>
                <c:pt idx="14">
                  <c:v>34.844270991456973</c:v>
                </c:pt>
                <c:pt idx="15">
                  <c:v>34.644293221063116</c:v>
                </c:pt>
                <c:pt idx="16">
                  <c:v>34.444316498196152</c:v>
                </c:pt>
                <c:pt idx="17">
                  <c:v>34.244340872212774</c:v>
                </c:pt>
                <c:pt idx="18">
                  <c:v>34.044366394794466</c:v>
                </c:pt>
                <c:pt idx="19">
                  <c:v>33.844393120057376</c:v>
                </c:pt>
                <c:pt idx="20">
                  <c:v>33.644421104666542</c:v>
                </c:pt>
                <c:pt idx="21">
                  <c:v>33.444450407956076</c:v>
                </c:pt>
                <c:pt idx="22">
                  <c:v>33.244481092054855</c:v>
                </c:pt>
                <c:pt idx="23">
                  <c:v>33.044513222017898</c:v>
                </c:pt>
                <c:pt idx="24">
                  <c:v>32.844546865964212</c:v>
                </c:pt>
                <c:pt idx="25">
                  <c:v>32.64458209522104</c:v>
                </c:pt>
                <c:pt idx="26">
                  <c:v>32.444618984474786</c:v>
                </c:pt>
                <c:pt idx="27">
                  <c:v>32.2446576119291</c:v>
                </c:pt>
                <c:pt idx="28">
                  <c:v>32.044698059470342</c:v>
                </c:pt>
                <c:pt idx="29">
                  <c:v>31.844740412841052</c:v>
                </c:pt>
                <c:pt idx="30">
                  <c:v>31.644784761821143</c:v>
                </c:pt>
                <c:pt idx="31">
                  <c:v>31.444831200418054</c:v>
                </c:pt>
                <c:pt idx="32">
                  <c:v>31.244879827065478</c:v>
                </c:pt>
                <c:pt idx="33">
                  <c:v>31.044930744831664</c:v>
                </c:pt>
                <c:pt idx="34">
                  <c:v>30.844984061637266</c:v>
                </c:pt>
                <c:pt idx="35">
                  <c:v>30.645039890483758</c:v>
                </c:pt>
                <c:pt idx="36">
                  <c:v>30.445098349692181</c:v>
                </c:pt>
                <c:pt idx="37">
                  <c:v>30.245159563153369</c:v>
                </c:pt>
                <c:pt idx="38">
                  <c:v>30.045223660589762</c:v>
                </c:pt>
                <c:pt idx="39">
                  <c:v>29.845290777829575</c:v>
                </c:pt>
                <c:pt idx="40">
                  <c:v>29.645361057093851</c:v>
                </c:pt>
                <c:pt idx="41">
                  <c:v>29.445434647296711</c:v>
                </c:pt>
                <c:pt idx="42">
                  <c:v>29.245511704360272</c:v>
                </c:pt>
                <c:pt idx="43">
                  <c:v>29.045592391543416</c:v>
                </c:pt>
                <c:pt idx="44">
                  <c:v>28.845676879786815</c:v>
                </c:pt>
                <c:pt idx="45">
                  <c:v>28.645765348073809</c:v>
                </c:pt>
                <c:pt idx="46">
                  <c:v>28.445857983807858</c:v>
                </c:pt>
                <c:pt idx="47">
                  <c:v>28.245954983208108</c:v>
                </c:pt>
                <c:pt idx="48">
                  <c:v>28.046056551723243</c:v>
                </c:pt>
                <c:pt idx="49">
                  <c:v>27.846162904464776</c:v>
                </c:pt>
                <c:pt idx="50">
                  <c:v>27.64627426666037</c:v>
                </c:pt>
                <c:pt idx="51">
                  <c:v>27.446390874128678</c:v>
                </c:pt>
                <c:pt idx="52">
                  <c:v>27.246512973776305</c:v>
                </c:pt>
                <c:pt idx="53">
                  <c:v>27.046640824117503</c:v>
                </c:pt>
                <c:pt idx="54">
                  <c:v>26.846774695818809</c:v>
                </c:pt>
                <c:pt idx="55">
                  <c:v>26.646914872268582</c:v>
                </c:pt>
                <c:pt idx="56">
                  <c:v>26.447061650173282</c:v>
                </c:pt>
                <c:pt idx="57">
                  <c:v>26.247215340181743</c:v>
                </c:pt>
                <c:pt idx="58">
                  <c:v>26.047376267537871</c:v>
                </c:pt>
                <c:pt idx="59">
                  <c:v>25.84754477276444</c:v>
                </c:pt>
                <c:pt idx="60">
                  <c:v>25.647721212378443</c:v>
                </c:pt>
                <c:pt idx="61">
                  <c:v>25.447905959639399</c:v>
                </c:pt>
                <c:pt idx="62">
                  <c:v>25.24809940533288</c:v>
                </c:pt>
                <c:pt idx="63">
                  <c:v>25.048301958590194</c:v>
                </c:pt>
                <c:pt idx="64">
                  <c:v>24.848514047746097</c:v>
                </c:pt>
                <c:pt idx="65">
                  <c:v>24.64873612123607</c:v>
                </c:pt>
                <c:pt idx="66">
                  <c:v>24.448968648535839</c:v>
                </c:pt>
                <c:pt idx="67">
                  <c:v>24.249212121143454</c:v>
                </c:pt>
                <c:pt idx="68">
                  <c:v>24.049467053607465</c:v>
                </c:pt>
                <c:pt idx="69">
                  <c:v>23.849733984602434</c:v>
                </c:pt>
                <c:pt idx="70">
                  <c:v>23.650013478053772</c:v>
                </c:pt>
                <c:pt idx="71">
                  <c:v>23.450306124314896</c:v>
                </c:pt>
                <c:pt idx="72">
                  <c:v>23.250612541398649</c:v>
                </c:pt>
                <c:pt idx="73">
                  <c:v>23.050933376264421</c:v>
                </c:pt>
                <c:pt idx="74">
                  <c:v>22.85126930616595</c:v>
                </c:pt>
                <c:pt idx="75">
                  <c:v>22.651621040059755</c:v>
                </c:pt>
                <c:pt idx="76">
                  <c:v>22.451989320078614</c:v>
                </c:pt>
                <c:pt idx="77">
                  <c:v>22.25237492307247</c:v>
                </c:pt>
                <c:pt idx="78">
                  <c:v>22.052778662219819</c:v>
                </c:pt>
                <c:pt idx="79">
                  <c:v>21.853201388712659</c:v>
                </c:pt>
                <c:pt idx="80">
                  <c:v>21.653643993518124</c:v>
                </c:pt>
                <c:pt idx="81">
                  <c:v>21.454107409220384</c:v>
                </c:pt>
                <c:pt idx="82">
                  <c:v>21.254592611946066</c:v>
                </c:pt>
                <c:pt idx="83">
                  <c:v>21.055100623377491</c:v>
                </c:pt>
                <c:pt idx="84">
                  <c:v>20.855632512856161</c:v>
                </c:pt>
                <c:pt idx="85">
                  <c:v>20.656189399582363</c:v>
                </c:pt>
                <c:pt idx="86">
                  <c:v>20.456772454912887</c:v>
                </c:pt>
                <c:pt idx="87">
                  <c:v>20.257382904762661</c:v>
                </c:pt>
                <c:pt idx="88">
                  <c:v>20.058022032114508</c:v>
                </c:pt>
                <c:pt idx="89">
                  <c:v>19.858691179640189</c:v>
                </c:pt>
                <c:pt idx="90">
                  <c:v>19.659391752439653</c:v>
                </c:pt>
                <c:pt idx="91">
                  <c:v>19.460125220901709</c:v>
                </c:pt>
                <c:pt idx="92">
                  <c:v>19.260893123691783</c:v>
                </c:pt>
                <c:pt idx="93">
                  <c:v>19.061697070872082</c:v>
                </c:pt>
                <c:pt idx="94">
                  <c:v>18.862538747159721</c:v>
                </c:pt>
                <c:pt idx="95">
                  <c:v>18.663419915327644</c:v>
                </c:pt>
                <c:pt idx="96">
                  <c:v>18.464342419755532</c:v>
                </c:pt>
                <c:pt idx="97">
                  <c:v>18.265308190135009</c:v>
                </c:pt>
                <c:pt idx="98">
                  <c:v>18.066319245336796</c:v>
                </c:pt>
                <c:pt idx="99">
                  <c:v>17.867377697445207</c:v>
                </c:pt>
                <c:pt idx="100">
                  <c:v>17.668485755966966</c:v>
                </c:pt>
                <c:pt idx="101">
                  <c:v>17.469645732220847</c:v>
                </c:pt>
                <c:pt idx="102">
                  <c:v>17.270860043915143</c:v>
                </c:pt>
                <c:pt idx="103">
                  <c:v>17.072131219920028</c:v>
                </c:pt>
                <c:pt idx="104">
                  <c:v>16.873461905242003</c:v>
                </c:pt>
                <c:pt idx="105">
                  <c:v>16.674854866207586</c:v>
                </c:pt>
                <c:pt idx="106">
                  <c:v>16.476312995864628</c:v>
                </c:pt>
                <c:pt idx="107">
                  <c:v>16.277839319607533</c:v>
                </c:pt>
                <c:pt idx="108">
                  <c:v>16.079437001035856</c:v>
                </c:pt>
                <c:pt idx="109">
                  <c:v>15.881109348052615</c:v>
                </c:pt>
                <c:pt idx="110">
                  <c:v>15.682859819211854</c:v>
                </c:pt>
                <c:pt idx="111">
                  <c:v>15.484692030322229</c:v>
                </c:pt>
                <c:pt idx="112">
                  <c:v>15.286609761315725</c:v>
                </c:pt>
                <c:pt idx="113">
                  <c:v>15.088616963389423</c:v>
                </c:pt>
                <c:pt idx="114">
                  <c:v>14.890717766428466</c:v>
                </c:pt>
                <c:pt idx="115">
                  <c:v>14.69291648671836</c:v>
                </c:pt>
                <c:pt idx="116">
                  <c:v>14.495217634955132</c:v>
                </c:pt>
                <c:pt idx="117">
                  <c:v>14.297625924560762</c:v>
                </c:pt>
                <c:pt idx="118">
                  <c:v>14.100146280312504</c:v>
                </c:pt>
                <c:pt idx="119">
                  <c:v>13.902783847292838</c:v>
                </c:pt>
                <c:pt idx="120">
                  <c:v>13.705544000168672</c:v>
                </c:pt>
                <c:pt idx="121">
                  <c:v>13.508432352805656</c:v>
                </c:pt>
                <c:pt idx="122">
                  <c:v>13.311454768225206</c:v>
                </c:pt>
                <c:pt idx="123">
                  <c:v>13.114617368910332</c:v>
                </c:pt>
                <c:pt idx="124">
                  <c:v>12.917926547465425</c:v>
                </c:pt>
                <c:pt idx="125">
                  <c:v>12.721388977636028</c:v>
                </c:pt>
                <c:pt idx="126">
                  <c:v>12.525011625691931</c:v>
                </c:pt>
                <c:pt idx="127">
                  <c:v>12.328801762177882</c:v>
                </c:pt>
                <c:pt idx="128">
                  <c:v>12.132766974034194</c:v>
                </c:pt>
                <c:pt idx="129">
                  <c:v>11.936915177088061</c:v>
                </c:pt>
                <c:pt idx="130">
                  <c:v>11.741254628917211</c:v>
                </c:pt>
                <c:pt idx="131">
                  <c:v>11.545793942082927</c:v>
                </c:pt>
                <c:pt idx="132">
                  <c:v>11.350542097731433</c:v>
                </c:pt>
                <c:pt idx="133">
                  <c:v>11.155508459557982</c:v>
                </c:pt>
                <c:pt idx="134">
                  <c:v>10.960702788127756</c:v>
                </c:pt>
                <c:pt idx="135">
                  <c:v>10.766135255545354</c:v>
                </c:pt>
                <c:pt idx="136">
                  <c:v>10.571816460461548</c:v>
                </c:pt>
                <c:pt idx="137">
                  <c:v>10.377757443404604</c:v>
                </c:pt>
                <c:pt idx="138">
                  <c:v>10.183969702419427</c:v>
                </c:pt>
                <c:pt idx="139">
                  <c:v>9.9904652089962802</c:v>
                </c:pt>
                <c:pt idx="140">
                  <c:v>9.7972564242653579</c:v>
                </c:pt>
                <c:pt idx="141">
                  <c:v>9.6043563154325895</c:v>
                </c:pt>
                <c:pt idx="142">
                  <c:v>9.411778372425367</c:v>
                </c:pt>
                <c:pt idx="143">
                  <c:v>9.2195366247156656</c:v>
                </c:pt>
                <c:pt idx="144">
                  <c:v>9.0276456582802389</c:v>
                </c:pt>
                <c:pt idx="145">
                  <c:v>8.8361206326556534</c:v>
                </c:pt>
                <c:pt idx="146">
                  <c:v>8.6449772980393575</c:v>
                </c:pt>
                <c:pt idx="147">
                  <c:v>8.4542320123819685</c:v>
                </c:pt>
                <c:pt idx="148">
                  <c:v>8.2639017584121408</c:v>
                </c:pt>
                <c:pt idx="149">
                  <c:v>8.0740041605264494</c:v>
                </c:pt>
                <c:pt idx="150">
                  <c:v>7.8845575014726945</c:v>
                </c:pt>
                <c:pt idx="151">
                  <c:v>7.6955807387469433</c:v>
                </c:pt>
                <c:pt idx="152">
                  <c:v>7.5070935206169445</c:v>
                </c:pt>
                <c:pt idx="153">
                  <c:v>7.3191162016792504</c:v>
                </c:pt>
                <c:pt idx="154">
                  <c:v>7.1316698578465418</c:v>
                </c:pt>
                <c:pt idx="155">
                  <c:v>6.9447763006567653</c:v>
                </c:pt>
                <c:pt idx="156">
                  <c:v>6.7584580907851048</c:v>
                </c:pt>
                <c:pt idx="157">
                  <c:v>6.5727385506334759</c:v>
                </c:pt>
                <c:pt idx="158">
                  <c:v>6.3876417758615043</c:v>
                </c:pt>
                <c:pt idx="159">
                  <c:v>6.2031926457174622</c:v>
                </c:pt>
                <c:pt idx="160">
                  <c:v>6.0194168320157448</c:v>
                </c:pt>
                <c:pt idx="161">
                  <c:v>5.8363408066030198</c:v>
                </c:pt>
                <c:pt idx="162">
                  <c:v>5.6539918471433017</c:v>
                </c:pt>
                <c:pt idx="163">
                  <c:v>5.4723980410480557</c:v>
                </c:pt>
                <c:pt idx="164">
                  <c:v>5.2915882873672517</c:v>
                </c:pt>
                <c:pt idx="165">
                  <c:v>5.1115922964527556</c:v>
                </c:pt>
                <c:pt idx="166">
                  <c:v>4.9324405871993529</c:v>
                </c:pt>
                <c:pt idx="167">
                  <c:v>4.7541644816621602</c:v>
                </c:pt>
                <c:pt idx="168">
                  <c:v>4.5767960968482013</c:v>
                </c:pt>
                <c:pt idx="169">
                  <c:v>4.4003683334746988</c:v>
                </c:pt>
                <c:pt idx="170">
                  <c:v>4.224914861487866</c:v>
                </c:pt>
                <c:pt idx="171">
                  <c:v>4.0504701021352414</c:v>
                </c:pt>
                <c:pt idx="172">
                  <c:v>3.8770692063889216</c:v>
                </c:pt>
                <c:pt idx="173">
                  <c:v>3.7047480295187722</c:v>
                </c:pt>
                <c:pt idx="174">
                  <c:v>3.5335431016268664</c:v>
                </c:pt>
                <c:pt idx="175">
                  <c:v>3.3634915939586247</c:v>
                </c:pt>
                <c:pt idx="176">
                  <c:v>3.1946312808224766</c:v>
                </c:pt>
                <c:pt idx="177">
                  <c:v>3.0270004969634283</c:v>
                </c:pt>
                <c:pt idx="178">
                  <c:v>2.8606380902561042</c:v>
                </c:pt>
                <c:pt idx="179">
                  <c:v>2.6955833696015912</c:v>
                </c:pt>
                <c:pt idx="180">
                  <c:v>2.5318760479408438</c:v>
                </c:pt>
                <c:pt idx="181">
                  <c:v>2.3695561803241989</c:v>
                </c:pt>
                <c:pt idx="182">
                  <c:v>2.2086640970082252</c:v>
                </c:pt>
                <c:pt idx="183">
                  <c:v>2.0492403315874883</c:v>
                </c:pt>
                <c:pt idx="184">
                  <c:v>1.8913255442071184</c:v>
                </c:pt>
                <c:pt idx="185">
                  <c:v>1.7349604399429528</c:v>
                </c:pt>
                <c:pt idx="186">
                  <c:v>1.580185682481926</c:v>
                </c:pt>
                <c:pt idx="187">
                  <c:v>1.4270418032825327</c:v>
                </c:pt>
                <c:pt idx="188">
                  <c:v>1.275569106443952</c:v>
                </c:pt>
                <c:pt idx="189">
                  <c:v>1.1258075695632765</c:v>
                </c:pt>
                <c:pt idx="190">
                  <c:v>0.9777967409155498</c:v>
                </c:pt>
                <c:pt idx="191">
                  <c:v>0.83157563334026396</c:v>
                </c:pt>
                <c:pt idx="192">
                  <c:v>0.68718261527382518</c:v>
                </c:pt>
                <c:pt idx="193">
                  <c:v>0.54465529941848045</c:v>
                </c:pt>
                <c:pt idx="194">
                  <c:v>0.40403042958852764</c:v>
                </c:pt>
                <c:pt idx="195">
                  <c:v>0.26534376632163853</c:v>
                </c:pt>
                <c:pt idx="196">
                  <c:v>0.12862997188915193</c:v>
                </c:pt>
                <c:pt idx="197">
                  <c:v>-6.0775046237352189E-3</c:v>
                </c:pt>
                <c:pt idx="198">
                  <c:v>-0.13874654145964938</c:v>
                </c:pt>
                <c:pt idx="199">
                  <c:v>-0.26934645681814984</c:v>
                </c:pt>
                <c:pt idx="200">
                  <c:v>-0.39784811921525509</c:v>
                </c:pt>
                <c:pt idx="201">
                  <c:v>-0.52422405480363077</c:v>
                </c:pt>
                <c:pt idx="202">
                  <c:v>-0.64844855087744524</c:v>
                </c:pt>
                <c:pt idx="203">
                  <c:v>-0.77049775479051996</c:v>
                </c:pt>
                <c:pt idx="204">
                  <c:v>-0.89034976752893669</c:v>
                </c:pt>
                <c:pt idx="205">
                  <c:v>-1.0079847312018886</c:v>
                </c:pt>
                <c:pt idx="206">
                  <c:v>-1.123384909746034</c:v>
                </c:pt>
                <c:pt idx="207">
                  <c:v>-1.2365347621821219</c:v>
                </c:pt>
                <c:pt idx="208">
                  <c:v>-1.3474210078105453</c:v>
                </c:pt>
                <c:pt idx="209">
                  <c:v>-1.4560326827946271</c:v>
                </c:pt>
                <c:pt idx="210">
                  <c:v>-1.5623611876467935</c:v>
                </c:pt>
                <c:pt idx="211">
                  <c:v>-1.6664003252064372</c:v>
                </c:pt>
                <c:pt idx="212">
                  <c:v>-1.7681463287815573</c:v>
                </c:pt>
                <c:pt idx="213">
                  <c:v>-1.8675978802095337</c:v>
                </c:pt>
                <c:pt idx="214">
                  <c:v>-1.9647561176832682</c:v>
                </c:pt>
                <c:pt idx="215">
                  <c:v>-2.0596246332810622</c:v>
                </c:pt>
                <c:pt idx="216">
                  <c:v>-2.152209460229856</c:v>
                </c:pt>
                <c:pt idx="217">
                  <c:v>-2.2425190500267753</c:v>
                </c:pt>
                <c:pt idx="218">
                  <c:v>-2.3305642396309647</c:v>
                </c:pt>
                <c:pt idx="219">
                  <c:v>-2.4163582090285134</c:v>
                </c:pt>
                <c:pt idx="220">
                  <c:v>-2.4999164295533722</c:v>
                </c:pt>
                <c:pt idx="221">
                  <c:v>-2.5812566034256044</c:v>
                </c:pt>
                <c:pt idx="222">
                  <c:v>-2.6603985950391937</c:v>
                </c:pt>
                <c:pt idx="223">
                  <c:v>-2.7373643545916071</c:v>
                </c:pt>
                <c:pt idx="224">
                  <c:v>-2.8121778347051798</c:v>
                </c:pt>
                <c:pt idx="225">
                  <c:v>-2.8848649007316918</c:v>
                </c:pt>
                <c:pt idx="226">
                  <c:v>-2.9554532354700642</c:v>
                </c:pt>
                <c:pt idx="227">
                  <c:v>-3.0239722390522301</c:v>
                </c:pt>
                <c:pt idx="228">
                  <c:v>-3.0904529247680115</c:v>
                </c:pt>
                <c:pt idx="229">
                  <c:v>-3.154927811608403</c:v>
                </c:pt>
                <c:pt idx="230">
                  <c:v>-3.2174308143038162</c:v>
                </c:pt>
                <c:pt idx="231">
                  <c:v>-3.2779971316235876</c:v>
                </c:pt>
                <c:pt idx="232">
                  <c:v>-3.3366631336853998</c:v>
                </c:pt>
                <c:pt idx="233">
                  <c:v>-3.3934662489949274</c:v>
                </c:pt>
                <c:pt idx="234">
                  <c:v>-3.4484448519080462</c:v>
                </c:pt>
                <c:pt idx="235">
                  <c:v>-3.5016381511656016</c:v>
                </c:pt>
                <c:pt idx="236">
                  <c:v>-3.5530860801119282</c:v>
                </c:pt>
                <c:pt idx="237">
                  <c:v>-3.6028291891590909</c:v>
                </c:pt>
                <c:pt idx="238">
                  <c:v>-3.6509085410114572</c:v>
                </c:pt>
                <c:pt idx="239">
                  <c:v>-3.6973656091132758</c:v>
                </c:pt>
                <c:pt idx="240">
                  <c:v>-3.7422421797292085</c:v>
                </c:pt>
                <c:pt idx="241">
                  <c:v>-3.7855802580144502</c:v>
                </c:pt>
                <c:pt idx="242">
                  <c:v>-3.8274219783803636</c:v>
                </c:pt>
                <c:pt idx="243">
                  <c:v>-3.8678095194073983</c:v>
                </c:pt>
                <c:pt idx="244">
                  <c:v>-3.9067850235088937</c:v>
                </c:pt>
                <c:pt idx="245">
                  <c:v>-3.9443905215005777</c:v>
                </c:pt>
                <c:pt idx="246">
                  <c:v>-3.9806678621851521</c:v>
                </c:pt>
                <c:pt idx="247">
                  <c:v>-4.0156586470184736</c:v>
                </c:pt>
                <c:pt idx="248">
                  <c:v>-4.0494041698848502</c:v>
                </c:pt>
                <c:pt idx="249">
                  <c:v>-4.0819453619713926</c:v>
                </c:pt>
                <c:pt idx="250">
                  <c:v>-4.1133227416995997</c:v>
                </c:pt>
                <c:pt idx="251">
                  <c:v>-4.1435763696416137</c:v>
                </c:pt>
                <c:pt idx="252">
                  <c:v>-4.1727458083235138</c:v>
                </c:pt>
                <c:pt idx="253">
                  <c:v>-4.2008700867936746</c:v>
                </c:pt>
                <c:pt idx="254">
                  <c:v>-4.2279876698167387</c:v>
                </c:pt>
                <c:pt idx="255">
                  <c:v>-4.2541364315353007</c:v>
                </c:pt>
                <c:pt idx="256">
                  <c:v>-4.2793536334293387</c:v>
                </c:pt>
                <c:pt idx="257">
                  <c:v>-4.3036759063925869</c:v>
                </c:pt>
                <c:pt idx="258">
                  <c:v>-4.3271392367367687</c:v>
                </c:pt>
                <c:pt idx="259">
                  <c:v>-4.3497789559293381</c:v>
                </c:pt>
                <c:pt idx="260">
                  <c:v>-4.3716297338673149</c:v>
                </c:pt>
                <c:pt idx="261">
                  <c:v>-4.3927255754878312</c:v>
                </c:pt>
                <c:pt idx="262">
                  <c:v>-4.413099820517024</c:v>
                </c:pt>
                <c:pt idx="263">
                  <c:v>-4.4327851461609162</c:v>
                </c:pt>
                <c:pt idx="264">
                  <c:v>-4.4518135725443493</c:v>
                </c:pt>
                <c:pt idx="265">
                  <c:v>-4.4702164707103078</c:v>
                </c:pt>
                <c:pt idx="266">
                  <c:v>-4.4880245729957204</c:v>
                </c:pt>
                <c:pt idx="267">
                  <c:v>-4.5052679856070323</c:v>
                </c:pt>
                <c:pt idx="268">
                  <c:v>-4.5219762032258721</c:v>
                </c:pt>
                <c:pt idx="269">
                  <c:v>-4.5381781254821014</c:v>
                </c:pt>
                <c:pt idx="270">
                  <c:v>-4.5539020751399031</c:v>
                </c:pt>
                <c:pt idx="271">
                  <c:v>-4.5691758178495281</c:v>
                </c:pt>
                <c:pt idx="272">
                  <c:v>-4.5840265833274092</c:v>
                </c:pt>
                <c:pt idx="273">
                  <c:v>-4.5984810878337887</c:v>
                </c:pt>
                <c:pt idx="274">
                  <c:v>-4.612565557825274</c:v>
                </c:pt>
                <c:pt idx="275">
                  <c:v>-4.6263057546688584</c:v>
                </c:pt>
                <c:pt idx="276">
                  <c:v>-4.6397270003110318</c:v>
                </c:pt>
                <c:pt idx="277">
                  <c:v>-4.6528542038031988</c:v>
                </c:pt>
                <c:pt idx="278">
                  <c:v>-4.6657118885903763</c:v>
                </c:pt>
                <c:pt idx="279">
                  <c:v>-4.6783242204809703</c:v>
                </c:pt>
                <c:pt idx="280">
                  <c:v>-4.6907150362168384</c:v>
                </c:pt>
                <c:pt idx="281">
                  <c:v>-4.7029078725727134</c:v>
                </c:pt>
                <c:pt idx="282">
                  <c:v>-4.7149259959173753</c:v>
                </c:pt>
                <c:pt idx="283">
                  <c:v>-4.7267924321758201</c:v>
                </c:pt>
                <c:pt idx="284">
                  <c:v>-4.7385299971340515</c:v>
                </c:pt>
                <c:pt idx="285">
                  <c:v>-4.7501613270348724</c:v>
                </c:pt>
                <c:pt idx="286">
                  <c:v>-4.7617089094145753</c:v>
                </c:pt>
                <c:pt idx="287">
                  <c:v>-4.7731951141337241</c:v>
                </c:pt>
                <c:pt idx="288">
                  <c:v>-4.7846422245596223</c:v>
                </c:pt>
                <c:pt idx="289">
                  <c:v>-4.7960724688575205</c:v>
                </c:pt>
                <c:pt idx="290">
                  <c:v>-4.8075080513506885</c:v>
                </c:pt>
                <c:pt idx="291">
                  <c:v>-4.8189711839101923</c:v>
                </c:pt>
                <c:pt idx="292">
                  <c:v>-4.8304841173352333</c:v>
                </c:pt>
                <c:pt idx="293">
                  <c:v>-4.8420691726853518</c:v>
                </c:pt>
                <c:pt idx="294">
                  <c:v>-4.8537487725238702</c:v>
                </c:pt>
                <c:pt idx="295">
                  <c:v>-4.8655454720333227</c:v>
                </c:pt>
                <c:pt idx="296">
                  <c:v>-4.8774819899580812</c:v>
                </c:pt>
                <c:pt idx="297">
                  <c:v>-4.8895812393315268</c:v>
                </c:pt>
                <c:pt idx="298">
                  <c:v>-4.9018663579379655</c:v>
                </c:pt>
                <c:pt idx="299">
                  <c:v>-4.914360738459763</c:v>
                </c:pt>
                <c:pt idx="300">
                  <c:v>-4.927088058253835</c:v>
                </c:pt>
                <c:pt idx="301">
                  <c:v>-4.940072308699003</c:v>
                </c:pt>
                <c:pt idx="302">
                  <c:v>-4.9533378240494903</c:v>
                </c:pt>
                <c:pt idx="303">
                  <c:v>-4.9669093097256658</c:v>
                </c:pt>
                <c:pt idx="304">
                  <c:v>-4.9808118699662387</c:v>
                </c:pt>
                <c:pt idx="305">
                  <c:v>-4.9950710347615743</c:v>
                </c:pt>
                <c:pt idx="306">
                  <c:v>-5.0097127859786204</c:v>
                </c:pt>
                <c:pt idx="307">
                  <c:v>-5.0247635825835504</c:v>
                </c:pt>
                <c:pt idx="308">
                  <c:v>-5.0402503848594549</c:v>
                </c:pt>
                <c:pt idx="309">
                  <c:v>-5.0562006775085777</c:v>
                </c:pt>
                <c:pt idx="310">
                  <c:v>-5.0726424915214521</c:v>
                </c:pt>
                <c:pt idx="311">
                  <c:v>-5.0896044246870726</c:v>
                </c:pt>
                <c:pt idx="312">
                  <c:v>-5.1071156606096935</c:v>
                </c:pt>
                <c:pt idx="313">
                  <c:v>-5.125205986089874</c:v>
                </c:pt>
                <c:pt idx="314">
                  <c:v>-5.1439058067192702</c:v>
                </c:pt>
                <c:pt idx="315">
                  <c:v>-5.1632461605308979</c:v>
                </c:pt>
                <c:pt idx="316">
                  <c:v>-5.183258729538557</c:v>
                </c:pt>
                <c:pt idx="317">
                  <c:v>-5.2039758489924504</c:v>
                </c:pt>
                <c:pt idx="318">
                  <c:v>-5.225430514170192</c:v>
                </c:pt>
                <c:pt idx="319">
                  <c:v>-5.2476563845184634</c:v>
                </c:pt>
                <c:pt idx="320">
                  <c:v>-5.2706877849535703</c:v>
                </c:pt>
                <c:pt idx="321">
                  <c:v>-5.2945597041254091</c:v>
                </c:pt>
                <c:pt idx="322">
                  <c:v>-5.3193077894489171</c:v>
                </c:pt>
                <c:pt idx="323">
                  <c:v>-5.3449683387020297</c:v>
                </c:pt>
                <c:pt idx="324">
                  <c:v>-5.3715782879927145</c:v>
                </c:pt>
                <c:pt idx="325">
                  <c:v>-5.3991751958979508</c:v>
                </c:pt>
                <c:pt idx="326">
                  <c:v>-5.4277972235844167</c:v>
                </c:pt>
                <c:pt idx="327">
                  <c:v>-5.457483110722487</c:v>
                </c:pt>
                <c:pt idx="328">
                  <c:v>-5.4882721470202647</c:v>
                </c:pt>
                <c:pt idx="329">
                  <c:v>-5.5202041392120114</c:v>
                </c:pt>
                <c:pt idx="330">
                  <c:v>-5.5533193733514779</c:v>
                </c:pt>
                <c:pt idx="331">
                  <c:v>-5.5876585722787562</c:v>
                </c:pt>
                <c:pt idx="332">
                  <c:v>-5.6232628481507705</c:v>
                </c:pt>
                <c:pt idx="333">
                  <c:v>-5.6601736499477457</c:v>
                </c:pt>
                <c:pt idx="334">
                  <c:v>-5.6984327058990738</c:v>
                </c:pt>
                <c:pt idx="335">
                  <c:v>-5.7380819608009412</c:v>
                </c:pt>
                <c:pt idx="336">
                  <c:v>-5.7791635082330419</c:v>
                </c:pt>
                <c:pt idx="337">
                  <c:v>-5.8217195177208039</c:v>
                </c:pt>
                <c:pt idx="338">
                  <c:v>-5.8657921569291895</c:v>
                </c:pt>
                <c:pt idx="339">
                  <c:v>-5.9114235090200538</c:v>
                </c:pt>
                <c:pt idx="340">
                  <c:v>-5.958655485349917</c:v>
                </c:pt>
                <c:pt idx="341">
                  <c:v>-6.0075297337351135</c:v>
                </c:pt>
                <c:pt idx="342">
                  <c:v>-6.0580875425624834</c:v>
                </c:pt>
                <c:pt idx="343">
                  <c:v>-6.1103697410749716</c:v>
                </c:pt>
                <c:pt idx="344">
                  <c:v>-6.1644165962147515</c:v>
                </c:pt>
                <c:pt idx="345">
                  <c:v>-6.2202677064596745</c:v>
                </c:pt>
                <c:pt idx="346">
                  <c:v>-6.2779618931402599</c:v>
                </c:pt>
                <c:pt idx="347">
                  <c:v>-6.3375370897756689</c:v>
                </c:pt>
                <c:pt idx="348">
                  <c:v>-6.3990302300132491</c:v>
                </c:pt>
                <c:pt idx="349">
                  <c:v>-6.4624771348042751</c:v>
                </c:pt>
                <c:pt idx="350">
                  <c:v>-6.5279123994847978</c:v>
                </c:pt>
                <c:pt idx="351">
                  <c:v>-6.5953692814694476</c:v>
                </c:pt>
                <c:pt idx="352">
                  <c:v>-6.6648795892922035</c:v>
                </c:pt>
                <c:pt idx="353">
                  <c:v>-6.7364735737529537</c:v>
                </c:pt>
                <c:pt idx="354">
                  <c:v>-6.8101798219411647</c:v>
                </c:pt>
                <c:pt idx="355">
                  <c:v>-6.8860251549171885</c:v>
                </c:pt>
                <c:pt idx="356">
                  <c:v>-6.9640345298252724</c:v>
                </c:pt>
                <c:pt idx="357">
                  <c:v>-7.0442309472057456</c:v>
                </c:pt>
                <c:pt idx="358">
                  <c:v>-7.1266353642477229</c:v>
                </c:pt>
                <c:pt idx="359">
                  <c:v>-7.2112666146966609</c:v>
                </c:pt>
                <c:pt idx="360">
                  <c:v>-7.2981413360888698</c:v>
                </c:pt>
                <c:pt idx="361">
                  <c:v>-7.3872739049359968</c:v>
                </c:pt>
                <c:pt idx="362">
                  <c:v>-7.4786763804246199</c:v>
                </c:pt>
                <c:pt idx="363">
                  <c:v>-7.5723584571295133</c:v>
                </c:pt>
                <c:pt idx="364">
                  <c:v>-7.6683274271645443</c:v>
                </c:pt>
                <c:pt idx="365">
                  <c:v>-7.7665881521174587</c:v>
                </c:pt>
                <c:pt idx="366">
                  <c:v>-7.8671430450266886</c:v>
                </c:pt>
                <c:pt idx="367">
                  <c:v>-7.9699920625723202</c:v>
                </c:pt>
                <c:pt idx="368">
                  <c:v>-8.0751327075584616</c:v>
                </c:pt>
                <c:pt idx="369">
                  <c:v>-8.1825600416748117</c:v>
                </c:pt>
                <c:pt idx="370">
                  <c:v>-8.2922667084295796</c:v>
                </c:pt>
                <c:pt idx="371">
                  <c:v>-8.4042429660570175</c:v>
                </c:pt>
                <c:pt idx="372">
                  <c:v>-8.5184767301134929</c:v>
                </c:pt>
                <c:pt idx="373">
                  <c:v>-8.6349536253942887</c:v>
                </c:pt>
                <c:pt idx="374">
                  <c:v>-8.7536570467235961</c:v>
                </c:pt>
                <c:pt idx="375">
                  <c:v>-8.8745682280980809</c:v>
                </c:pt>
                <c:pt idx="376">
                  <c:v>-8.9976663196056101</c:v>
                </c:pt>
                <c:pt idx="377">
                  <c:v>-9.1229284714782803</c:v>
                </c:pt>
                <c:pt idx="378">
                  <c:v>-9.2503299245973576</c:v>
                </c:pt>
                <c:pt idx="379">
                  <c:v>-9.3798441067304807</c:v>
                </c:pt>
                <c:pt idx="380">
                  <c:v>-9.5114427337510286</c:v>
                </c:pt>
                <c:pt idx="381">
                  <c:v>-9.6450959150742719</c:v>
                </c:pt>
                <c:pt idx="382">
                  <c:v>-9.7807722625359368</c:v>
                </c:pt>
                <c:pt idx="383">
                  <c:v>-9.9184390019382036</c:v>
                </c:pt>
                <c:pt idx="384">
                  <c:v>-10.058062086500176</c:v>
                </c:pt>
                <c:pt idx="385">
                  <c:v>-10.199606311463167</c:v>
                </c:pt>
                <c:pt idx="386">
                  <c:v>-10.34303542913079</c:v>
                </c:pt>
                <c:pt idx="387">
                  <c:v>-10.488312263651141</c:v>
                </c:pt>
                <c:pt idx="388">
                  <c:v>-10.635398824887934</c:v>
                </c:pt>
                <c:pt idx="389">
                  <c:v>-10.784256420768513</c:v>
                </c:pt>
                <c:pt idx="390">
                  <c:v>-10.934845767542852</c:v>
                </c:pt>
                <c:pt idx="391">
                  <c:v>-11.087127097436287</c:v>
                </c:pt>
                <c:pt idx="392">
                  <c:v>-11.241060263231359</c:v>
                </c:pt>
                <c:pt idx="393">
                  <c:v>-11.396604839364137</c:v>
                </c:pt>
                <c:pt idx="394">
                  <c:v>-11.553720219175807</c:v>
                </c:pt>
                <c:pt idx="395">
                  <c:v>-11.712365708012271</c:v>
                </c:pt>
                <c:pt idx="396">
                  <c:v>-11.872500611915296</c:v>
                </c:pt>
                <c:pt idx="397">
                  <c:v>-12.034084321701673</c:v>
                </c:pt>
                <c:pt idx="398">
                  <c:v>-12.197076392273035</c:v>
                </c:pt>
                <c:pt idx="399">
                  <c:v>-12.36143661704601</c:v>
                </c:pt>
                <c:pt idx="400">
                  <c:v>-12.527125097436226</c:v>
                </c:pt>
                <c:pt idx="401">
                  <c:v>-12.694102307368913</c:v>
                </c:pt>
                <c:pt idx="402">
                  <c:v>-12.86232915282627</c:v>
                </c:pt>
                <c:pt idx="403">
                  <c:v>-13.031767026476738</c:v>
                </c:pt>
                <c:pt idx="404">
                  <c:v>-13.202377857458512</c:v>
                </c:pt>
                <c:pt idx="405">
                  <c:v>-13.37412415642085</c:v>
                </c:pt>
                <c:pt idx="406">
                  <c:v>-13.546969055946247</c:v>
                </c:pt>
                <c:pt idx="407">
                  <c:v>-13.720876346497889</c:v>
                </c:pt>
                <c:pt idx="408">
                  <c:v>-13.895810508056909</c:v>
                </c:pt>
                <c:pt idx="409">
                  <c:v>-14.071736737621476</c:v>
                </c:pt>
                <c:pt idx="410">
                  <c:v>-14.248620972758527</c:v>
                </c:pt>
                <c:pt idx="411">
                  <c:v>-14.426429911399916</c:v>
                </c:pt>
                <c:pt idx="412">
                  <c:v>-14.605131028087879</c:v>
                </c:pt>
                <c:pt idx="413">
                  <c:v>-14.784692586872064</c:v>
                </c:pt>
                <c:pt idx="414">
                  <c:v>-14.965083651067069</c:v>
                </c:pt>
                <c:pt idx="415">
                  <c:v>-15.146274090076266</c:v>
                </c:pt>
                <c:pt idx="416">
                  <c:v>-15.328234583487577</c:v>
                </c:pt>
                <c:pt idx="417">
                  <c:v>-15.51093662264333</c:v>
                </c:pt>
                <c:pt idx="418">
                  <c:v>-15.694352509880662</c:v>
                </c:pt>
                <c:pt idx="419">
                  <c:v>-15.878455355637682</c:v>
                </c:pt>
                <c:pt idx="420">
                  <c:v>-16.0632190736086</c:v>
                </c:pt>
                <c:pt idx="421">
                  <c:v>-16.248618374128622</c:v>
                </c:pt>
                <c:pt idx="422">
                  <c:v>-16.434628755961118</c:v>
                </c:pt>
                <c:pt idx="423">
                  <c:v>-16.621226496649331</c:v>
                </c:pt>
                <c:pt idx="424">
                  <c:v>-16.80838864159039</c:v>
                </c:pt>
                <c:pt idx="425">
                  <c:v>-16.996092991977473</c:v>
                </c:pt>
                <c:pt idx="426">
                  <c:v>-17.184318091751017</c:v>
                </c:pt>
                <c:pt idx="427">
                  <c:v>-17.373043213687826</c:v>
                </c:pt>
                <c:pt idx="428">
                  <c:v>-17.562248344751442</c:v>
                </c:pt>
                <c:pt idx="429">
                  <c:v>-17.751914170818111</c:v>
                </c:pt>
                <c:pt idx="430">
                  <c:v>-17.942022060882742</c:v>
                </c:pt>
                <c:pt idx="431">
                  <c:v>-18.132554050844764</c:v>
                </c:pt>
                <c:pt idx="432">
                  <c:v>-18.323492826963157</c:v>
                </c:pt>
                <c:pt idx="433">
                  <c:v>-18.514821709063959</c:v>
                </c:pt>
                <c:pt idx="434">
                  <c:v>-18.706524633577093</c:v>
                </c:pt>
                <c:pt idx="435">
                  <c:v>-18.898586136471412</c:v>
                </c:pt>
                <c:pt idx="436">
                  <c:v>-19.090991336150481</c:v>
                </c:pt>
                <c:pt idx="437">
                  <c:v>-19.283725916367832</c:v>
                </c:pt>
                <c:pt idx="438">
                  <c:v>-19.476776109211468</c:v>
                </c:pt>
                <c:pt idx="439">
                  <c:v>-19.670128678204549</c:v>
                </c:pt>
                <c:pt idx="440">
                  <c:v>-19.863770901563026</c:v>
                </c:pt>
                <c:pt idx="441">
                  <c:v>-20.057690555646825</c:v>
                </c:pt>
                <c:pt idx="442">
                  <c:v>-20.251875898636822</c:v>
                </c:pt>
                <c:pt idx="443">
                  <c:v>-20.446315654464655</c:v>
                </c:pt>
                <c:pt idx="444">
                  <c:v>-20.640998997020951</c:v>
                </c:pt>
                <c:pt idx="445">
                  <c:v>-20.835915534661975</c:v>
                </c:pt>
                <c:pt idx="446">
                  <c:v>-21.031055295032498</c:v>
                </c:pt>
                <c:pt idx="447">
                  <c:v>-21.226408710219772</c:v>
                </c:pt>
                <c:pt idx="448">
                  <c:v>-21.421966602250361</c:v>
                </c:pt>
                <c:pt idx="449">
                  <c:v>-21.617720168940057</c:v>
                </c:pt>
                <c:pt idx="450">
                  <c:v>-21.813660970103406</c:v>
                </c:pt>
                <c:pt idx="451">
                  <c:v>-22.009780914129145</c:v>
                </c:pt>
                <c:pt idx="452">
                  <c:v>-22.206072244924368</c:v>
                </c:pt>
                <c:pt idx="453">
                  <c:v>-22.40252752923012</c:v>
                </c:pt>
                <c:pt idx="454">
                  <c:v>-22.599139644308082</c:v>
                </c:pt>
                <c:pt idx="455">
                  <c:v>-22.795901765998604</c:v>
                </c:pt>
                <c:pt idx="456">
                  <c:v>-22.992807357146567</c:v>
                </c:pt>
                <c:pt idx="457">
                  <c:v>-23.189850156393938</c:v>
                </c:pt>
                <c:pt idx="458">
                  <c:v>-23.387024167333447</c:v>
                </c:pt>
                <c:pt idx="459">
                  <c:v>-23.584323648019762</c:v>
                </c:pt>
                <c:pt idx="460">
                  <c:v>-23.781743100832298</c:v>
                </c:pt>
                <c:pt idx="461">
                  <c:v>-23.979277262683382</c:v>
                </c:pt>
                <c:pt idx="462">
                  <c:v>-24.176921095566382</c:v>
                </c:pt>
                <c:pt idx="463">
                  <c:v>-24.37466977743561</c:v>
                </c:pt>
                <c:pt idx="464">
                  <c:v>-24.572518693411347</c:v>
                </c:pt>
                <c:pt idx="465">
                  <c:v>-24.770463427302531</c:v>
                </c:pt>
                <c:pt idx="466">
                  <c:v>-24.968499753439247</c:v>
                </c:pt>
                <c:pt idx="467">
                  <c:v>-25.166623628806551</c:v>
                </c:pt>
                <c:pt idx="468">
                  <c:v>-25.364831185472593</c:v>
                </c:pt>
                <c:pt idx="469">
                  <c:v>-25.563118723301493</c:v>
                </c:pt>
                <c:pt idx="470">
                  <c:v>-25.761482702944537</c:v>
                </c:pt>
                <c:pt idx="471">
                  <c:v>-25.959919739099554</c:v>
                </c:pt>
                <c:pt idx="472">
                  <c:v>-26.158426594031212</c:v>
                </c:pt>
                <c:pt idx="473">
                  <c:v>-26.357000171344733</c:v>
                </c:pt>
                <c:pt idx="474">
                  <c:v>-26.555637510004185</c:v>
                </c:pt>
                <c:pt idx="475">
                  <c:v>-26.754335778585904</c:v>
                </c:pt>
                <c:pt idx="476">
                  <c:v>-26.953092269763246</c:v>
                </c:pt>
                <c:pt idx="477">
                  <c:v>-27.151904395010135</c:v>
                </c:pt>
                <c:pt idx="478">
                  <c:v>-27.350769679518908</c:v>
                </c:pt>
                <c:pt idx="479">
                  <c:v>-27.549685757324319</c:v>
                </c:pt>
                <c:pt idx="480">
                  <c:v>-27.748650366625441</c:v>
                </c:pt>
                <c:pt idx="481">
                  <c:v>-27.947661345299682</c:v>
                </c:pt>
                <c:pt idx="482">
                  <c:v>-28.146716626600824</c:v>
                </c:pt>
                <c:pt idx="483">
                  <c:v>-28.345814235034599</c:v>
                </c:pt>
                <c:pt idx="484">
                  <c:v>-28.544952282405966</c:v>
                </c:pt>
                <c:pt idx="485">
                  <c:v>-28.74412896403031</c:v>
                </c:pt>
                <c:pt idx="486">
                  <c:v>-28.94334255510298</c:v>
                </c:pt>
                <c:pt idx="487">
                  <c:v>-29.142591407221943</c:v>
                </c:pt>
                <c:pt idx="488">
                  <c:v>-29.341873945055369</c:v>
                </c:pt>
                <c:pt idx="489">
                  <c:v>-29.541188663151374</c:v>
                </c:pt>
                <c:pt idx="490">
                  <c:v>-29.740534122881236</c:v>
                </c:pt>
                <c:pt idx="491">
                  <c:v>-29.939908949514539</c:v>
                </c:pt>
                <c:pt idx="492">
                  <c:v>-30.139311829416542</c:v>
                </c:pt>
                <c:pt idx="493">
                  <c:v>-30.338741507366809</c:v>
                </c:pt>
                <c:pt idx="494">
                  <c:v>-30.538196783992223</c:v>
                </c:pt>
                <c:pt idx="495">
                  <c:v>-30.737676513309815</c:v>
                </c:pt>
                <c:pt idx="496">
                  <c:v>-30.93717960037544</c:v>
                </c:pt>
                <c:pt idx="497">
                  <c:v>-31.136704999034002</c:v>
                </c:pt>
                <c:pt idx="498">
                  <c:v>-31.336251709766472</c:v>
                </c:pt>
                <c:pt idx="499">
                  <c:v>-31.535818777630173</c:v>
                </c:pt>
                <c:pt idx="500">
                  <c:v>-31.735405290288373</c:v>
                </c:pt>
                <c:pt idx="501">
                  <c:v>-31.935010376125582</c:v>
                </c:pt>
                <c:pt idx="502">
                  <c:v>-32.134633202444427</c:v>
                </c:pt>
                <c:pt idx="503">
                  <c:v>-32.334272973741264</c:v>
                </c:pt>
                <c:pt idx="504">
                  <c:v>-32.533928930057371</c:v>
                </c:pt>
                <c:pt idx="505">
                  <c:v>-32.733600345401527</c:v>
                </c:pt>
                <c:pt idx="506">
                  <c:v>-32.933286526242014</c:v>
                </c:pt>
                <c:pt idx="507">
                  <c:v>-33.132986810064594</c:v>
                </c:pt>
                <c:pt idx="508">
                  <c:v>-33.332700563993868</c:v>
                </c:pt>
                <c:pt idx="509">
                  <c:v>-33.532427183474873</c:v>
                </c:pt>
                <c:pt idx="510">
                  <c:v>-33.732166091012694</c:v>
                </c:pt>
                <c:pt idx="511">
                  <c:v>-33.931916734968112</c:v>
                </c:pt>
                <c:pt idx="512">
                  <c:v>-34.1316785884053</c:v>
                </c:pt>
                <c:pt idx="513">
                  <c:v>-34.331451147991075</c:v>
                </c:pt>
                <c:pt idx="514">
                  <c:v>-34.531233932942946</c:v>
                </c:pt>
                <c:pt idx="515">
                  <c:v>-34.731026484022635</c:v>
                </c:pt>
                <c:pt idx="516">
                  <c:v>-34.930828362575099</c:v>
                </c:pt>
                <c:pt idx="517">
                  <c:v>-35.130639149609394</c:v>
                </c:pt>
                <c:pt idx="518">
                  <c:v>-35.33045844492095</c:v>
                </c:pt>
                <c:pt idx="519">
                  <c:v>-35.530285866251816</c:v>
                </c:pt>
                <c:pt idx="520">
                  <c:v>-35.73012104848911</c:v>
                </c:pt>
                <c:pt idx="521">
                  <c:v>-35.929963642898329</c:v>
                </c:pt>
                <c:pt idx="522">
                  <c:v>-36.129813316391115</c:v>
                </c:pt>
                <c:pt idx="523">
                  <c:v>-36.329669750825182</c:v>
                </c:pt>
                <c:pt idx="524">
                  <c:v>-36.529532642336207</c:v>
                </c:pt>
                <c:pt idx="525">
                  <c:v>-36.729401700697672</c:v>
                </c:pt>
                <c:pt idx="526">
                  <c:v>-36.929276648711856</c:v>
                </c:pt>
                <c:pt idx="527">
                  <c:v>-37.129157221625363</c:v>
                </c:pt>
                <c:pt idx="528">
                  <c:v>-37.329043166571985</c:v>
                </c:pt>
                <c:pt idx="529">
                  <c:v>-37.528934242040521</c:v>
                </c:pt>
                <c:pt idx="530">
                  <c:v>-37.728830217365903</c:v>
                </c:pt>
                <c:pt idx="531">
                  <c:v>-37.928730872242696</c:v>
                </c:pt>
                <c:pt idx="532">
                  <c:v>-38.128635996261515</c:v>
                </c:pt>
                <c:pt idx="533">
                  <c:v>-38.328545388464711</c:v>
                </c:pt>
                <c:pt idx="534">
                  <c:v>-38.528458856922697</c:v>
                </c:pt>
                <c:pt idx="535">
                  <c:v>-38.728376218329366</c:v>
                </c:pt>
                <c:pt idx="536">
                  <c:v>-38.928297297614968</c:v>
                </c:pt>
                <c:pt idx="537">
                  <c:v>-39.128221927576668</c:v>
                </c:pt>
                <c:pt idx="538">
                  <c:v>-39.32814994852577</c:v>
                </c:pt>
                <c:pt idx="539">
                  <c:v>-39.528081207950187</c:v>
                </c:pt>
                <c:pt idx="540">
                  <c:v>-39.728015560192702</c:v>
                </c:pt>
                <c:pt idx="541">
                  <c:v>-39.927952866142974</c:v>
                </c:pt>
              </c:numCache>
            </c:numRef>
          </c:yVal>
          <c:smooth val="1"/>
          <c:extLst>
            <c:ext xmlns:c16="http://schemas.microsoft.com/office/drawing/2014/chart" uri="{C3380CC4-5D6E-409C-BE32-E72D297353CC}">
              <c16:uniqueId val="{00000000-0B5D-4E78-BD48-CC54C4E43363}"/>
            </c:ext>
          </c:extLst>
        </c:ser>
        <c:dLbls>
          <c:showLegendKey val="0"/>
          <c:showVal val="0"/>
          <c:showCatName val="0"/>
          <c:showSerName val="0"/>
          <c:showPercent val="0"/>
          <c:showBubbleSize val="0"/>
        </c:dLbls>
        <c:axId val="555280640"/>
        <c:axId val="365437312"/>
      </c:scatterChart>
      <c:scatterChart>
        <c:scatterStyle val="smoothMarker"/>
        <c:varyColors val="0"/>
        <c:ser>
          <c:idx val="1"/>
          <c:order val="1"/>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Loop_Modeling!$BE$19:$BE$560</c:f>
              <c:numCache>
                <c:formatCode>General</c:formatCode>
                <c:ptCount val="542"/>
                <c:pt idx="0">
                  <c:v>90.420042226781135</c:v>
                </c:pt>
                <c:pt idx="1">
                  <c:v>90.429825870232378</c:v>
                </c:pt>
                <c:pt idx="2">
                  <c:v>90.439837375630759</c:v>
                </c:pt>
                <c:pt idx="3">
                  <c:v>90.450082048533034</c:v>
                </c:pt>
                <c:pt idx="4">
                  <c:v>90.46056531793306</c:v>
                </c:pt>
                <c:pt idx="5">
                  <c:v>90.471292739126667</c:v>
                </c:pt>
                <c:pt idx="6">
                  <c:v>90.482269996642529</c:v>
                </c:pt>
                <c:pt idx="7">
                  <c:v>90.493502907240426</c:v>
                </c:pt>
                <c:pt idx="8">
                  <c:v>90.504997422978533</c:v>
                </c:pt>
                <c:pt idx="9">
                  <c:v>90.516759634351246</c:v>
                </c:pt>
                <c:pt idx="10">
                  <c:v>90.528795773499141</c:v>
                </c:pt>
                <c:pt idx="11">
                  <c:v>90.541112217492639</c:v>
                </c:pt>
                <c:pt idx="12">
                  <c:v>90.55371549169098</c:v>
                </c:pt>
                <c:pt idx="13">
                  <c:v>90.566612273178293</c:v>
                </c:pt>
                <c:pt idx="14">
                  <c:v>90.57980939427847</c:v>
                </c:pt>
                <c:pt idx="15">
                  <c:v>90.593313846150323</c:v>
                </c:pt>
                <c:pt idx="16">
                  <c:v>90.607132782465357</c:v>
                </c:pt>
                <c:pt idx="17">
                  <c:v>90.621273523169151</c:v>
                </c:pt>
                <c:pt idx="18">
                  <c:v>90.635743558329182</c:v>
                </c:pt>
                <c:pt idx="19">
                  <c:v>90.650550552069959</c:v>
                </c:pt>
                <c:pt idx="20">
                  <c:v>90.665702346598209</c:v>
                </c:pt>
                <c:pt idx="21">
                  <c:v>90.681206966319664</c:v>
                </c:pt>
                <c:pt idx="22">
                  <c:v>90.697072622049362</c:v>
                </c:pt>
                <c:pt idx="23">
                  <c:v>90.713307715317782</c:v>
                </c:pt>
                <c:pt idx="24">
                  <c:v>90.72992084277459</c:v>
                </c:pt>
                <c:pt idx="25">
                  <c:v>90.746920800692351</c:v>
                </c:pt>
                <c:pt idx="26">
                  <c:v>90.764316589572076</c:v>
                </c:pt>
                <c:pt idx="27">
                  <c:v>90.782117418852863</c:v>
                </c:pt>
                <c:pt idx="28">
                  <c:v>90.800332711728018</c:v>
                </c:pt>
                <c:pt idx="29">
                  <c:v>90.818972110069538</c:v>
                </c:pt>
                <c:pt idx="30">
                  <c:v>90.838045479463588</c:v>
                </c:pt>
                <c:pt idx="31">
                  <c:v>90.857562914358937</c:v>
                </c:pt>
                <c:pt idx="32">
                  <c:v>90.877534743330997</c:v>
                </c:pt>
                <c:pt idx="33">
                  <c:v>90.897971534463622</c:v>
                </c:pt>
                <c:pt idx="34">
                  <c:v>90.918884100851187</c:v>
                </c:pt>
                <c:pt idx="35">
                  <c:v>90.940283506223267</c:v>
                </c:pt>
                <c:pt idx="36">
                  <c:v>90.962181070694584</c:v>
                </c:pt>
                <c:pt idx="37">
                  <c:v>90.984588376642449</c:v>
                </c:pt>
                <c:pt idx="38">
                  <c:v>91.007517274714502</c:v>
                </c:pt>
                <c:pt idx="39">
                  <c:v>91.030979889969046</c:v>
                </c:pt>
                <c:pt idx="40">
                  <c:v>91.054988628150724</c:v>
                </c:pt>
                <c:pt idx="41">
                  <c:v>91.079556182104099</c:v>
                </c:pt>
                <c:pt idx="42">
                  <c:v>91.104695538327704</c:v>
                </c:pt>
                <c:pt idx="43">
                  <c:v>91.130419983671302</c:v>
                </c:pt>
                <c:pt idx="44">
                  <c:v>91.156743112178845</c:v>
                </c:pt>
                <c:pt idx="45">
                  <c:v>91.183678832080034</c:v>
                </c:pt>
                <c:pt idx="46">
                  <c:v>91.211241372932918</c:v>
                </c:pt>
                <c:pt idx="47">
                  <c:v>91.23944529292045</c:v>
                </c:pt>
                <c:pt idx="48">
                  <c:v>91.268305486303504</c:v>
                </c:pt>
                <c:pt idx="49">
                  <c:v>91.297837191033125</c:v>
                </c:pt>
                <c:pt idx="50">
                  <c:v>91.328055996524753</c:v>
                </c:pt>
                <c:pt idx="51">
                  <c:v>91.358977851596933</c:v>
                </c:pt>
                <c:pt idx="52">
                  <c:v>91.390619072577351</c:v>
                </c:pt>
                <c:pt idx="53">
                  <c:v>91.422996351578817</c:v>
                </c:pt>
                <c:pt idx="54">
                  <c:v>91.456126764947584</c:v>
                </c:pt>
                <c:pt idx="55">
                  <c:v>91.490027781886894</c:v>
                </c:pt>
                <c:pt idx="56">
                  <c:v>91.524717273258062</c:v>
                </c:pt>
                <c:pt idx="57">
                  <c:v>91.560213520561717</c:v>
                </c:pt>
                <c:pt idx="58">
                  <c:v>91.596535225101576</c:v>
                </c:pt>
                <c:pt idx="59">
                  <c:v>91.633701517332995</c:v>
                </c:pt>
                <c:pt idx="60">
                  <c:v>91.671731966398866</c:v>
                </c:pt>
                <c:pt idx="61">
                  <c:v>91.710646589854747</c:v>
                </c:pt>
                <c:pt idx="62">
                  <c:v>91.750465863585518</c:v>
                </c:pt>
                <c:pt idx="63">
                  <c:v>91.791210731915371</c:v>
                </c:pt>
                <c:pt idx="64">
                  <c:v>91.832902617913163</c:v>
                </c:pt>
                <c:pt idx="65">
                  <c:v>91.875563433894825</c:v>
                </c:pt>
                <c:pt idx="66">
                  <c:v>91.919215592123962</c:v>
                </c:pt>
                <c:pt idx="67">
                  <c:v>91.963882015712727</c:v>
                </c:pt>
                <c:pt idx="68">
                  <c:v>92.009586149723489</c:v>
                </c:pt>
                <c:pt idx="69">
                  <c:v>92.056351972472527</c:v>
                </c:pt>
                <c:pt idx="70">
                  <c:v>92.104204007036586</c:v>
                </c:pt>
                <c:pt idx="71">
                  <c:v>92.153167332962354</c:v>
                </c:pt>
                <c:pt idx="72">
                  <c:v>92.203267598179409</c:v>
                </c:pt>
                <c:pt idx="73">
                  <c:v>92.254531031116315</c:v>
                </c:pt>
                <c:pt idx="74">
                  <c:v>92.306984453019226</c:v>
                </c:pt>
                <c:pt idx="75">
                  <c:v>92.360655290472593</c:v>
                </c:pt>
                <c:pt idx="76">
                  <c:v>92.415571588119903</c:v>
                </c:pt>
                <c:pt idx="77">
                  <c:v>92.471762021583572</c:v>
                </c:pt>
                <c:pt idx="78">
                  <c:v>92.529255910581284</c:v>
                </c:pt>
                <c:pt idx="79">
                  <c:v>92.588083232236002</c:v>
                </c:pt>
                <c:pt idx="80">
                  <c:v>92.648274634576637</c:v>
                </c:pt>
                <c:pt idx="81">
                  <c:v>92.709861450225176</c:v>
                </c:pt>
                <c:pt idx="82">
                  <c:v>92.772875710265993</c:v>
                </c:pt>
                <c:pt idx="83">
                  <c:v>92.837350158291457</c:v>
                </c:pt>
                <c:pt idx="84">
                  <c:v>92.903318264618619</c:v>
                </c:pt>
                <c:pt idx="85">
                  <c:v>92.970814240669014</c:v>
                </c:pt>
                <c:pt idx="86">
                  <c:v>93.039873053504678</c:v>
                </c:pt>
                <c:pt idx="87">
                  <c:v>93.110530440510985</c:v>
                </c:pt>
                <c:pt idx="88">
                  <c:v>93.182822924216538</c:v>
                </c:pt>
                <c:pt idx="89">
                  <c:v>93.256787827239322</c:v>
                </c:pt>
                <c:pt idx="90">
                  <c:v>93.332463287346755</c:v>
                </c:pt>
                <c:pt idx="91">
                  <c:v>93.409888272616016</c:v>
                </c:pt>
                <c:pt idx="92">
                  <c:v>93.489102596680013</c:v>
                </c:pt>
                <c:pt idx="93">
                  <c:v>93.570146934042214</c:v>
                </c:pt>
                <c:pt idx="94">
                  <c:v>93.653062835442697</c:v>
                </c:pt>
                <c:pt idx="95">
                  <c:v>93.737892743255358</c:v>
                </c:pt>
                <c:pt idx="96">
                  <c:v>93.82468000689461</c:v>
                </c:pt>
                <c:pt idx="97">
                  <c:v>93.913468898208507</c:v>
                </c:pt>
                <c:pt idx="98">
                  <c:v>94.004304626831725</c:v>
                </c:pt>
                <c:pt idx="99">
                  <c:v>94.097233355471445</c:v>
                </c:pt>
                <c:pt idx="100">
                  <c:v>94.192302215094642</c:v>
                </c:pt>
                <c:pt idx="101">
                  <c:v>94.289559319984889</c:v>
                </c:pt>
                <c:pt idx="102">
                  <c:v>94.389053782632246</c:v>
                </c:pt>
                <c:pt idx="103">
                  <c:v>94.490835728417778</c:v>
                </c:pt>
                <c:pt idx="104">
                  <c:v>94.594956310051117</c:v>
                </c:pt>
                <c:pt idx="105">
                  <c:v>94.701467721715844</c:v>
                </c:pt>
                <c:pt idx="106">
                  <c:v>94.810423212873928</c:v>
                </c:pt>
                <c:pt idx="107">
                  <c:v>94.921877101677282</c:v>
                </c:pt>
                <c:pt idx="108">
                  <c:v>95.03588478792966</c:v>
                </c:pt>
                <c:pt idx="109">
                  <c:v>95.152502765538642</c:v>
                </c:pt>
                <c:pt idx="110">
                  <c:v>95.271788634392323</c:v>
                </c:pt>
                <c:pt idx="111">
                  <c:v>95.393801111591557</c:v>
                </c:pt>
                <c:pt idx="112">
                  <c:v>95.518600041962017</c:v>
                </c:pt>
                <c:pt idx="113">
                  <c:v>95.646246407766867</c:v>
                </c:pt>
                <c:pt idx="114">
                  <c:v>95.776802337533908</c:v>
                </c:pt>
                <c:pt idx="115">
                  <c:v>95.9103311139054</c:v>
                </c:pt>
                <c:pt idx="116">
                  <c:v>96.046897180413396</c:v>
                </c:pt>
                <c:pt idx="117">
                  <c:v>96.18656614707551</c:v>
                </c:pt>
                <c:pt idx="118">
                  <c:v>96.329404794700181</c:v>
                </c:pt>
                <c:pt idx="119">
                  <c:v>96.475481077783314</c:v>
                </c:pt>
                <c:pt idx="120">
                  <c:v>96.624864125869138</c:v>
                </c:pt>
                <c:pt idx="121">
                  <c:v>96.777624243243395</c:v>
                </c:pt>
                <c:pt idx="122">
                  <c:v>96.933832906813905</c:v>
                </c:pt>
                <c:pt idx="123">
                  <c:v>97.093562762030203</c:v>
                </c:pt>
                <c:pt idx="124">
                  <c:v>97.256887616680743</c:v>
                </c:pt>
                <c:pt idx="125">
                  <c:v>97.423882432399665</c:v>
                </c:pt>
                <c:pt idx="126">
                  <c:v>97.594623313703693</c:v>
                </c:pt>
                <c:pt idx="127">
                  <c:v>97.769187494370087</c:v>
                </c:pt>
                <c:pt idx="128">
                  <c:v>97.947653320957599</c:v>
                </c:pt>
                <c:pt idx="129">
                  <c:v>98.130100233260109</c:v>
                </c:pt>
                <c:pt idx="130">
                  <c:v>98.316608741472294</c:v>
                </c:pt>
                <c:pt idx="131">
                  <c:v>98.507260399836682</c:v>
                </c:pt>
                <c:pt idx="132">
                  <c:v>98.702137776527152</c:v>
                </c:pt>
                <c:pt idx="133">
                  <c:v>98.901324419517891</c:v>
                </c:pt>
                <c:pt idx="134">
                  <c:v>99.104904818168905</c:v>
                </c:pt>
                <c:pt idx="135">
                  <c:v>99.312964360252408</c:v>
                </c:pt>
                <c:pt idx="136">
                  <c:v>99.525589284131271</c:v>
                </c:pt>
                <c:pt idx="137">
                  <c:v>99.74286662578919</c:v>
                </c:pt>
                <c:pt idx="138">
                  <c:v>99.964884160400928</c:v>
                </c:pt>
                <c:pt idx="139">
                  <c:v>100.19173033812218</c:v>
                </c:pt>
                <c:pt idx="140">
                  <c:v>100.4234942137648</c:v>
                </c:pt>
                <c:pt idx="141">
                  <c:v>100.6602653700178</c:v>
                </c:pt>
                <c:pt idx="142">
                  <c:v>100.90213383386194</c:v>
                </c:pt>
                <c:pt idx="143">
                  <c:v>101.14918998581925</c:v>
                </c:pt>
                <c:pt idx="144">
                  <c:v>101.40152446167357</c:v>
                </c:pt>
                <c:pt idx="145">
                  <c:v>101.65922804629</c:v>
                </c:pt>
                <c:pt idx="146">
                  <c:v>101.92239155915874</c:v>
                </c:pt>
                <c:pt idx="147">
                  <c:v>102.19110573128832</c:v>
                </c:pt>
                <c:pt idx="148">
                  <c:v>102.46546107306948</c:v>
                </c:pt>
                <c:pt idx="149">
                  <c:v>102.7455477327385</c:v>
                </c:pt>
                <c:pt idx="150">
                  <c:v>103.03145534507006</c:v>
                </c:pt>
                <c:pt idx="151">
                  <c:v>103.32327286993925</c:v>
                </c:pt>
                <c:pt idx="152">
                  <c:v>103.62108842040777</c:v>
                </c:pt>
                <c:pt idx="153">
                  <c:v>103.92498907999729</c:v>
                </c:pt>
                <c:pt idx="154">
                  <c:v>104.23506070884247</c:v>
                </c:pt>
                <c:pt idx="155">
                  <c:v>104.55138773843203</c:v>
                </c:pt>
                <c:pt idx="156">
                  <c:v>104.8740529546827</c:v>
                </c:pt>
                <c:pt idx="157">
                  <c:v>105.20313726912087</c:v>
                </c:pt>
                <c:pt idx="158">
                  <c:v>105.53871947799232</c:v>
                </c:pt>
                <c:pt idx="159">
                  <c:v>105.88087600916303</c:v>
                </c:pt>
                <c:pt idx="160">
                  <c:v>106.22968065673498</c:v>
                </c:pt>
                <c:pt idx="161">
                  <c:v>106.5852043033528</c:v>
                </c:pt>
                <c:pt idx="162">
                  <c:v>106.94751463025761</c:v>
                </c:pt>
                <c:pt idx="163">
                  <c:v>107.31667581521006</c:v>
                </c:pt>
                <c:pt idx="164">
                  <c:v>107.69274821849964</c:v>
                </c:pt>
                <c:pt idx="165">
                  <c:v>108.07578805734259</c:v>
                </c:pt>
                <c:pt idx="166">
                  <c:v>108.46584706907761</c:v>
                </c:pt>
                <c:pt idx="167">
                  <c:v>108.86297216368011</c:v>
                </c:pt>
                <c:pt idx="168">
                  <c:v>109.26720506622995</c:v>
                </c:pt>
                <c:pt idx="169">
                  <c:v>109.67858195010068</c:v>
                </c:pt>
                <c:pt idx="170">
                  <c:v>110.09713306177163</c:v>
                </c:pt>
                <c:pt idx="171">
                  <c:v>110.52288233830795</c:v>
                </c:pt>
                <c:pt idx="172">
                  <c:v>110.9558470187026</c:v>
                </c:pt>
                <c:pt idx="173">
                  <c:v>111.39603725043597</c:v>
                </c:pt>
                <c:pt idx="174">
                  <c:v>111.84345569276179</c:v>
                </c:pt>
                <c:pt idx="175">
                  <c:v>112.29809711840302</c:v>
                </c:pt>
                <c:pt idx="176">
                  <c:v>112.75994801550006</c:v>
                </c:pt>
                <c:pt idx="177">
                  <c:v>113.22898619182888</c:v>
                </c:pt>
                <c:pt idx="178">
                  <c:v>113.70518038346771</c:v>
                </c:pt>
                <c:pt idx="179">
                  <c:v>114.18848987025697</c:v>
                </c:pt>
                <c:pt idx="180">
                  <c:v>114.67886410055283</c:v>
                </c:pt>
                <c:pt idx="181">
                  <c:v>115.1762423279213</c:v>
                </c:pt>
                <c:pt idx="182">
                  <c:v>115.68055326255606</c:v>
                </c:pt>
                <c:pt idx="183">
                  <c:v>116.191714740325</c:v>
                </c:pt>
                <c:pt idx="184">
                  <c:v>116.70963341244979</c:v>
                </c:pt>
                <c:pt idx="185">
                  <c:v>117.23420445890734</c:v>
                </c:pt>
                <c:pt idx="186">
                  <c:v>117.76531132869654</c:v>
                </c:pt>
                <c:pt idx="187">
                  <c:v>118.30282551014031</c:v>
                </c:pt>
                <c:pt idx="188">
                  <c:v>118.84660633439047</c:v>
                </c:pt>
                <c:pt idx="189">
                  <c:v>119.39650081527083</c:v>
                </c:pt>
                <c:pt idx="190">
                  <c:v>119.95234352850579</c:v>
                </c:pt>
                <c:pt idx="191">
                  <c:v>120.51395653328478</c:v>
                </c:pt>
                <c:pt idx="192">
                  <c:v>121.08114933894259</c:v>
                </c:pt>
                <c:pt idx="193">
                  <c:v>121.65371891934713</c:v>
                </c:pt>
                <c:pt idx="194">
                  <c:v>122.23144977734189</c:v>
                </c:pt>
                <c:pt idx="195">
                  <c:v>122.814114061303</c:v>
                </c:pt>
                <c:pt idx="196">
                  <c:v>123.40147173554963</c:v>
                </c:pt>
                <c:pt idx="197">
                  <c:v>123.99327080597276</c:v>
                </c:pt>
                <c:pt idx="198">
                  <c:v>124.58924760184408</c:v>
                </c:pt>
                <c:pt idx="199">
                  <c:v>125.18912711432517</c:v>
                </c:pt>
                <c:pt idx="200">
                  <c:v>125.79262339172539</c:v>
                </c:pt>
                <c:pt idx="201">
                  <c:v>126.39943999105873</c:v>
                </c:pt>
                <c:pt idx="202">
                  <c:v>127.00927048493554</c:v>
                </c:pt>
                <c:pt idx="203">
                  <c:v>127.62179902229629</c:v>
                </c:pt>
                <c:pt idx="204">
                  <c:v>128.2367009409582</c:v>
                </c:pt>
                <c:pt idx="205">
                  <c:v>128.8536434294202</c:v>
                </c:pt>
                <c:pt idx="206">
                  <c:v>129.47228623484489</c:v>
                </c:pt>
                <c:pt idx="207">
                  <c:v>130.09228241364463</c:v>
                </c:pt>
                <c:pt idx="208">
                  <c:v>130.71327912061884</c:v>
                </c:pt>
                <c:pt idx="209">
                  <c:v>131.33491843216115</c:v>
                </c:pt>
                <c:pt idx="210">
                  <c:v>131.95683819865607</c:v>
                </c:pt>
                <c:pt idx="211">
                  <c:v>132.57867292084993</c:v>
                </c:pt>
                <c:pt idx="212">
                  <c:v>133.20005464469406</c:v>
                </c:pt>
                <c:pt idx="213">
                  <c:v>133.82061386893662</c:v>
                </c:pt>
                <c:pt idx="214">
                  <c:v>134.43998045958793</c:v>
                </c:pt>
                <c:pt idx="215">
                  <c:v>135.05778456529595</c:v>
                </c:pt>
                <c:pt idx="216">
                  <c:v>135.67365752765957</c:v>
                </c:pt>
                <c:pt idx="217">
                  <c:v>136.28723278056194</c:v>
                </c:pt>
                <c:pt idx="218">
                  <c:v>136.89814673273582</c:v>
                </c:pt>
                <c:pt idx="219">
                  <c:v>137.50603962797447</c:v>
                </c:pt>
                <c:pt idx="220">
                  <c:v>138.11055637765267</c:v>
                </c:pt>
                <c:pt idx="221">
                  <c:v>138.71134736055768</c:v>
                </c:pt>
                <c:pt idx="222">
                  <c:v>139.30806918538482</c:v>
                </c:pt>
                <c:pt idx="223">
                  <c:v>139.90038541169758</c:v>
                </c:pt>
                <c:pt idx="224">
                  <c:v>140.4879672255835</c:v>
                </c:pt>
                <c:pt idx="225">
                  <c:v>141.0704940667554</c:v>
                </c:pt>
                <c:pt idx="226">
                  <c:v>141.64765420434034</c:v>
                </c:pt>
                <c:pt idx="227">
                  <c:v>142.21914525913678</c:v>
                </c:pt>
                <c:pt idx="228">
                  <c:v>142.78467467065295</c:v>
                </c:pt>
                <c:pt idx="229">
                  <c:v>143.34396010776851</c:v>
                </c:pt>
                <c:pt idx="230">
                  <c:v>143.8967298223877</c:v>
                </c:pt>
                <c:pt idx="231">
                  <c:v>144.44272294595217</c:v>
                </c:pt>
                <c:pt idx="232">
                  <c:v>144.98168972916676</c:v>
                </c:pt>
                <c:pt idx="233">
                  <c:v>145.5133917257514</c:v>
                </c:pt>
                <c:pt idx="234">
                  <c:v>146.03760192143591</c:v>
                </c:pt>
                <c:pt idx="235">
                  <c:v>146.55410480981683</c:v>
                </c:pt>
                <c:pt idx="236">
                  <c:v>147.06269641702639</c:v>
                </c:pt>
                <c:pt idx="237">
                  <c:v>147.56318427746777</c:v>
                </c:pt>
                <c:pt idx="238">
                  <c:v>148.05538736313258</c:v>
                </c:pt>
                <c:pt idx="239">
                  <c:v>148.53913596922533</c:v>
                </c:pt>
                <c:pt idx="240">
                  <c:v>149.0142715589962</c:v>
                </c:pt>
                <c:pt idx="241">
                  <c:v>149.4806465708142</c:v>
                </c:pt>
                <c:pt idx="242">
                  <c:v>149.93812419059756</c:v>
                </c:pt>
                <c:pt idx="243">
                  <c:v>150.38657809277501</c:v>
                </c:pt>
                <c:pt idx="244">
                  <c:v>150.82589215296949</c:v>
                </c:pt>
                <c:pt idx="245">
                  <c:v>151.25596013557484</c:v>
                </c:pt>
                <c:pt idx="246">
                  <c:v>151.67668535935758</c:v>
                </c:pt>
                <c:pt idx="247">
                  <c:v>152.08798034414093</c:v>
                </c:pt>
                <c:pt idx="248">
                  <c:v>152.48976644153873</c:v>
                </c:pt>
                <c:pt idx="249">
                  <c:v>152.88197345258934</c:v>
                </c:pt>
                <c:pt idx="250">
                  <c:v>153.2645392350172</c:v>
                </c:pt>
                <c:pt idx="251">
                  <c:v>153.63740930270433</c:v>
                </c:pt>
                <c:pt idx="252">
                  <c:v>154.00053641980298</c:v>
                </c:pt>
                <c:pt idx="253">
                  <c:v>154.35388019176423</c:v>
                </c:pt>
                <c:pt idx="254">
                  <c:v>154.69740665539348</c:v>
                </c:pt>
                <c:pt idx="255">
                  <c:v>155.03108786987639</c:v>
                </c:pt>
                <c:pt idx="256">
                  <c:v>155.35490151056001</c:v>
                </c:pt>
                <c:pt idx="257">
                  <c:v>155.66883046710282</c:v>
                </c:pt>
                <c:pt idx="258">
                  <c:v>155.972862447452</c:v>
                </c:pt>
                <c:pt idx="259">
                  <c:v>156.26698958895309</c:v>
                </c:pt>
                <c:pt idx="260">
                  <c:v>156.55120807774179</c:v>
                </c:pt>
                <c:pt idx="261">
                  <c:v>156.82551777743117</c:v>
                </c:pt>
                <c:pt idx="262">
                  <c:v>157.08992186797124</c:v>
                </c:pt>
                <c:pt idx="263">
                  <c:v>157.3444264954295</c:v>
                </c:pt>
                <c:pt idx="264">
                  <c:v>157.58904043332655</c:v>
                </c:pt>
                <c:pt idx="265">
                  <c:v>157.8237747560494</c:v>
                </c:pt>
                <c:pt idx="266">
                  <c:v>158.048642524766</c:v>
                </c:pt>
                <c:pt idx="267">
                  <c:v>158.26365848617237</c:v>
                </c:pt>
                <c:pt idx="268">
                  <c:v>158.46883878432436</c:v>
                </c:pt>
                <c:pt idx="269">
                  <c:v>158.66420068572663</c:v>
                </c:pt>
                <c:pt idx="270">
                  <c:v>158.84976231779174</c:v>
                </c:pt>
                <c:pt idx="271">
                  <c:v>159.02554242072208</c:v>
                </c:pt>
                <c:pt idx="272">
                  <c:v>159.19156011281675</c:v>
                </c:pt>
                <c:pt idx="273">
                  <c:v>159.34783466916511</c:v>
                </c:pt>
                <c:pt idx="274">
                  <c:v>159.494385313652</c:v>
                </c:pt>
                <c:pt idx="275">
                  <c:v>159.63123102417131</c:v>
                </c:pt>
                <c:pt idx="276">
                  <c:v>159.75839035091875</c:v>
                </c:pt>
                <c:pt idx="277">
                  <c:v>159.87588124762189</c:v>
                </c:pt>
                <c:pt idx="278">
                  <c:v>159.98372091554947</c:v>
                </c:pt>
                <c:pt idx="279">
                  <c:v>160.08192566013278</c:v>
                </c:pt>
                <c:pt idx="280">
                  <c:v>160.17051076003585</c:v>
                </c:pt>
                <c:pt idx="281">
                  <c:v>160.24949034850292</c:v>
                </c:pt>
                <c:pt idx="282">
                  <c:v>160.31887730682001</c:v>
                </c:pt>
                <c:pt idx="283">
                  <c:v>160.37868316973774</c:v>
                </c:pt>
                <c:pt idx="284">
                  <c:v>160.42891804270326</c:v>
                </c:pt>
                <c:pt idx="285">
                  <c:v>160.46959053077344</c:v>
                </c:pt>
                <c:pt idx="286">
                  <c:v>160.50070767908394</c:v>
                </c:pt>
                <c:pt idx="287">
                  <c:v>160.52227492477624</c:v>
                </c:pt>
                <c:pt idx="288">
                  <c:v>160.53429606029295</c:v>
                </c:pt>
                <c:pt idx="289">
                  <c:v>160.53677320797703</c:v>
                </c:pt>
                <c:pt idx="290">
                  <c:v>160.52970680592892</c:v>
                </c:pt>
                <c:pt idx="291">
                  <c:v>160.51309560509191</c:v>
                </c:pt>
                <c:pt idx="292">
                  <c:v>160.48693667756467</c:v>
                </c:pt>
                <c:pt idx="293">
                  <c:v>160.45122543615366</c:v>
                </c:pt>
                <c:pt idx="294">
                  <c:v>160.40595566520193</c:v>
                </c:pt>
                <c:pt idx="295">
                  <c:v>160.35111956275117</c:v>
                </c:pt>
                <c:pt idx="296">
                  <c:v>160.28670779411266</c:v>
                </c:pt>
                <c:pt idx="297">
                  <c:v>160.21270955694135</c:v>
                </c:pt>
                <c:pt idx="298">
                  <c:v>160.12911265792326</c:v>
                </c:pt>
                <c:pt idx="299">
                  <c:v>160.03590360120577</c:v>
                </c:pt>
                <c:pt idx="300">
                  <c:v>159.93306768870676</c:v>
                </c:pt>
                <c:pt idx="301">
                  <c:v>159.82058913245851</c:v>
                </c:pt>
                <c:pt idx="302">
                  <c:v>159.69845117914352</c:v>
                </c:pt>
                <c:pt idx="303">
                  <c:v>159.56663624698948</c:v>
                </c:pt>
                <c:pt idx="304">
                  <c:v>159.4251260751914</c:v>
                </c:pt>
                <c:pt idx="305">
                  <c:v>159.27390188602763</c:v>
                </c:pt>
                <c:pt idx="306">
                  <c:v>159.11294455983221</c:v>
                </c:pt>
                <c:pt idx="307">
                  <c:v>158.94223482297349</c:v>
                </c:pt>
                <c:pt idx="308">
                  <c:v>158.76175344897848</c:v>
                </c:pt>
                <c:pt idx="309">
                  <c:v>158.57148147291727</c:v>
                </c:pt>
                <c:pt idx="310">
                  <c:v>158.37140041913912</c:v>
                </c:pt>
                <c:pt idx="311">
                  <c:v>158.16149254241856</c:v>
                </c:pt>
                <c:pt idx="312">
                  <c:v>157.94174108253216</c:v>
                </c:pt>
                <c:pt idx="313">
                  <c:v>157.71213053223806</c:v>
                </c:pt>
                <c:pt idx="314">
                  <c:v>157.4726469185801</c:v>
                </c:pt>
                <c:pt idx="315">
                  <c:v>157.22327809737362</c:v>
                </c:pt>
                <c:pt idx="316">
                  <c:v>156.96401406066622</c:v>
                </c:pt>
                <c:pt idx="317">
                  <c:v>156.69484725688045</c:v>
                </c:pt>
                <c:pt idx="318">
                  <c:v>156.41577292326809</c:v>
                </c:pt>
                <c:pt idx="319">
                  <c:v>156.12678943020228</c:v>
                </c:pt>
                <c:pt idx="320">
                  <c:v>155.82789863673398</c:v>
                </c:pt>
                <c:pt idx="321">
                  <c:v>155.51910625672735</c:v>
                </c:pt>
                <c:pt idx="322">
                  <c:v>155.20042223475704</c:v>
                </c:pt>
                <c:pt idx="323">
                  <c:v>154.87186113083604</c:v>
                </c:pt>
                <c:pt idx="324">
                  <c:v>154.53344251288763</c:v>
                </c:pt>
                <c:pt idx="325">
                  <c:v>154.18519135574323</c:v>
                </c:pt>
                <c:pt idx="326">
                  <c:v>153.82713844528328</c:v>
                </c:pt>
                <c:pt idx="327">
                  <c:v>153.45932078619472</c:v>
                </c:pt>
                <c:pt idx="328">
                  <c:v>153.08178201164353</c:v>
                </c:pt>
                <c:pt idx="329">
                  <c:v>152.69457279300306</c:v>
                </c:pt>
                <c:pt idx="330">
                  <c:v>152.29775124761824</c:v>
                </c:pt>
                <c:pt idx="331">
                  <c:v>151.89138334240727</c:v>
                </c:pt>
                <c:pt idx="332">
                  <c:v>151.47554329096013</c:v>
                </c:pt>
                <c:pt idx="333">
                  <c:v>151.0503139416175</c:v>
                </c:pt>
                <c:pt idx="334">
                  <c:v>150.61578715388816</c:v>
                </c:pt>
                <c:pt idx="335">
                  <c:v>150.17206416040688</c:v>
                </c:pt>
                <c:pt idx="336">
                  <c:v>149.7192559115322</c:v>
                </c:pt>
                <c:pt idx="337">
                  <c:v>149.25748339956141</c:v>
                </c:pt>
                <c:pt idx="338">
                  <c:v>148.78687795947695</c:v>
                </c:pt>
                <c:pt idx="339">
                  <c:v>148.30758154306139</c:v>
                </c:pt>
                <c:pt idx="340">
                  <c:v>147.81974696320211</c:v>
                </c:pt>
                <c:pt idx="341">
                  <c:v>147.32353810519552</c:v>
                </c:pt>
                <c:pt idx="342">
                  <c:v>146.81913010190169</c:v>
                </c:pt>
                <c:pt idx="343">
                  <c:v>146.30670946966663</c:v>
                </c:pt>
                <c:pt idx="344">
                  <c:v>145.78647420204013</c:v>
                </c:pt>
                <c:pt idx="345">
                  <c:v>145.25863381846571</c:v>
                </c:pt>
                <c:pt idx="346">
                  <c:v>144.7234093653118</c:v>
                </c:pt>
                <c:pt idx="347">
                  <c:v>144.18103336685527</c:v>
                </c:pt>
                <c:pt idx="348">
                  <c:v>143.63174972409243</c:v>
                </c:pt>
                <c:pt idx="349">
                  <c:v>143.07581355959314</c:v>
                </c:pt>
                <c:pt idx="350">
                  <c:v>142.51349100696126</c:v>
                </c:pt>
                <c:pt idx="351">
                  <c:v>141.94505894387416</c:v>
                </c:pt>
                <c:pt idx="352">
                  <c:v>141.37080466810792</c:v>
                </c:pt>
                <c:pt idx="353">
                  <c:v>140.79102551642555</c:v>
                </c:pt>
                <c:pt idx="354">
                  <c:v>140.20602842669123</c:v>
                </c:pt>
                <c:pt idx="355">
                  <c:v>139.61612944410578</c:v>
                </c:pt>
                <c:pt idx="356">
                  <c:v>139.02165317296055</c:v>
                </c:pt>
                <c:pt idx="357">
                  <c:v>138.42293217586621</c:v>
                </c:pt>
                <c:pt idx="358">
                  <c:v>137.82030632292674</c:v>
                </c:pt>
                <c:pt idx="359">
                  <c:v>137.21412209386054</c:v>
                </c:pt>
                <c:pt idx="360">
                  <c:v>136.60473183656867</c:v>
                </c:pt>
                <c:pt idx="361">
                  <c:v>135.99249298613401</c:v>
                </c:pt>
                <c:pt idx="362">
                  <c:v>135.37776724866711</c:v>
                </c:pt>
                <c:pt idx="363">
                  <c:v>134.7609197548237</c:v>
                </c:pt>
                <c:pt idx="364">
                  <c:v>134.14231818816256</c:v>
                </c:pt>
                <c:pt idx="365">
                  <c:v>133.52233189380425</c:v>
                </c:pt>
                <c:pt idx="366">
                  <c:v>132.90133097308654</c:v>
                </c:pt>
                <c:pt idx="367">
                  <c:v>132.27968537007322</c:v>
                </c:pt>
                <c:pt idx="368">
                  <c:v>131.65776395586926</c:v>
                </c:pt>
                <c:pt idx="369">
                  <c:v>131.03593361672094</c:v>
                </c:pt>
                <c:pt idx="370">
                  <c:v>130.41455835182765</c:v>
                </c:pt>
                <c:pt idx="371">
                  <c:v>129.79399838668104</c:v>
                </c:pt>
                <c:pt idx="372">
                  <c:v>129.17460930755013</c:v>
                </c:pt>
                <c:pt idx="373">
                  <c:v>128.55674122249079</c:v>
                </c:pt>
                <c:pt idx="374">
                  <c:v>127.94073795393435</c:v>
                </c:pt>
                <c:pt idx="375">
                  <c:v>127.32693626755797</c:v>
                </c:pt>
                <c:pt idx="376">
                  <c:v>126.71566514170404</c:v>
                </c:pt>
                <c:pt idx="377">
                  <c:v>126.10724508119054</c:v>
                </c:pt>
                <c:pt idx="378">
                  <c:v>125.50198747883866</c:v>
                </c:pt>
                <c:pt idx="379">
                  <c:v>124.90019402755597</c:v>
                </c:pt>
                <c:pt idx="380">
                  <c:v>124.30215618527161</c:v>
                </c:pt>
                <c:pt idx="381">
                  <c:v>123.70815469450213</c:v>
                </c:pt>
                <c:pt idx="382">
                  <c:v>123.11845915777725</c:v>
                </c:pt>
                <c:pt idx="383">
                  <c:v>122.53332766964621</c:v>
                </c:pt>
                <c:pt idx="384">
                  <c:v>121.9530065054695</c:v>
                </c:pt>
                <c:pt idx="385">
                  <c:v>121.37772986671958</c:v>
                </c:pt>
                <c:pt idx="386">
                  <c:v>120.8077196820483</c:v>
                </c:pt>
                <c:pt idx="387">
                  <c:v>120.24318546297019</c:v>
                </c:pt>
                <c:pt idx="388">
                  <c:v>119.68432421259976</c:v>
                </c:pt>
                <c:pt idx="389">
                  <c:v>119.13132038555841</c:v>
                </c:pt>
                <c:pt idx="390">
                  <c:v>118.5843458968349</c:v>
                </c:pt>
                <c:pt idx="391">
                  <c:v>118.04356017713556</c:v>
                </c:pt>
                <c:pt idx="392">
                  <c:v>117.50911027203794</c:v>
                </c:pt>
                <c:pt idx="393">
                  <c:v>116.98113098207475</c:v>
                </c:pt>
                <c:pt idx="394">
                  <c:v>116.45974504075289</c:v>
                </c:pt>
                <c:pt idx="395">
                  <c:v>115.94506332740916</c:v>
                </c:pt>
                <c:pt idx="396">
                  <c:v>115.43718511174504</c:v>
                </c:pt>
                <c:pt idx="397">
                  <c:v>114.93619832687673</c:v>
                </c:pt>
                <c:pt idx="398">
                  <c:v>114.44217986772837</c:v>
                </c:pt>
                <c:pt idx="399">
                  <c:v>113.95519591165562</c:v>
                </c:pt>
                <c:pt idx="400">
                  <c:v>113.47530225824575</c:v>
                </c:pt>
                <c:pt idx="401">
                  <c:v>113.00254468533538</c:v>
                </c:pt>
                <c:pt idx="402">
                  <c:v>112.53695931839673</c:v>
                </c:pt>
                <c:pt idx="403">
                  <c:v>112.07857301057682</c:v>
                </c:pt>
                <c:pt idx="404">
                  <c:v>111.62740373080432</c:v>
                </c:pt>
                <c:pt idx="405">
                  <c:v>111.18346095754615</c:v>
                </c:pt>
                <c:pt idx="406">
                  <c:v>110.74674607594291</c:v>
                </c:pt>
                <c:pt idx="407">
                  <c:v>110.31725277622188</c:v>
                </c:pt>
                <c:pt idx="408">
                  <c:v>109.89496745145843</c:v>
                </c:pt>
                <c:pt idx="409">
                  <c:v>109.47986959291345</c:v>
                </c:pt>
                <c:pt idx="410">
                  <c:v>109.07193218135444</c:v>
                </c:pt>
                <c:pt idx="411">
                  <c:v>108.67112207291909</c:v>
                </c:pt>
                <c:pt idx="412">
                  <c:v>108.27740037825144</c:v>
                </c:pt>
                <c:pt idx="413">
                  <c:v>107.89072283378106</c:v>
                </c:pt>
                <c:pt idx="414">
                  <c:v>107.51104016417715</c:v>
                </c:pt>
                <c:pt idx="415">
                  <c:v>107.13829843513666</c:v>
                </c:pt>
                <c:pt idx="416">
                  <c:v>106.77243939580667</c:v>
                </c:pt>
                <c:pt idx="417">
                  <c:v>106.41340081025787</c:v>
                </c:pt>
                <c:pt idx="418">
                  <c:v>106.06111677754937</c:v>
                </c:pt>
                <c:pt idx="419">
                  <c:v>105.71551804002189</c:v>
                </c:pt>
                <c:pt idx="420">
                  <c:v>105.37653227956243</c:v>
                </c:pt>
                <c:pt idx="421">
                  <c:v>105.04408440166883</c:v>
                </c:pt>
                <c:pt idx="422">
                  <c:v>104.71809680722765</c:v>
                </c:pt>
                <c:pt idx="423">
                  <c:v>104.3984896519824</c:v>
                </c:pt>
                <c:pt idx="424">
                  <c:v>104.08518109374977</c:v>
                </c:pt>
                <c:pt idx="425">
                  <c:v>103.77808752748496</c:v>
                </c:pt>
                <c:pt idx="426">
                  <c:v>103.47712380835507</c:v>
                </c:pt>
                <c:pt idx="427">
                  <c:v>103.18220346302553</c:v>
                </c:pt>
                <c:pt idx="428">
                  <c:v>102.8932388893974</c:v>
                </c:pt>
                <c:pt idx="429">
                  <c:v>102.61014154506844</c:v>
                </c:pt>
                <c:pt idx="430">
                  <c:v>102.3328221248203</c:v>
                </c:pt>
                <c:pt idx="431">
                  <c:v>102.06119072745274</c:v>
                </c:pt>
                <c:pt idx="432">
                  <c:v>101.7951570123054</c:v>
                </c:pt>
                <c:pt idx="433">
                  <c:v>101.53463034582066</c:v>
                </c:pt>
                <c:pt idx="434">
                  <c:v>101.27951993851417</c:v>
                </c:pt>
                <c:pt idx="435">
                  <c:v>101.02973497272197</c:v>
                </c:pt>
                <c:pt idx="436">
                  <c:v>100.78518472150009</c:v>
                </c:pt>
                <c:pt idx="437">
                  <c:v>100.5457786590546</c:v>
                </c:pt>
                <c:pt idx="438">
                  <c:v>100.31142656307658</c:v>
                </c:pt>
                <c:pt idx="439">
                  <c:v>100.08203860935402</c:v>
                </c:pt>
                <c:pt idx="440">
                  <c:v>99.857525459033013</c:v>
                </c:pt>
                <c:pt idx="441">
                  <c:v>99.637798338884735</c:v>
                </c:pt>
                <c:pt idx="442">
                  <c:v>99.422769114938063</c:v>
                </c:pt>
                <c:pt idx="443">
                  <c:v>99.212350359822125</c:v>
                </c:pt>
                <c:pt idx="444">
                  <c:v>99.006455414155567</c:v>
                </c:pt>
                <c:pt idx="445">
                  <c:v>98.804998442311458</c:v>
                </c:pt>
                <c:pt idx="446">
                  <c:v>98.607894482873277</c:v>
                </c:pt>
                <c:pt idx="447">
                  <c:v>98.41505949408851</c:v>
                </c:pt>
                <c:pt idx="448">
                  <c:v>98.226410394614476</c:v>
                </c:pt>
                <c:pt idx="449">
                  <c:v>98.041865099839313</c:v>
                </c:pt>
                <c:pt idx="450">
                  <c:v>97.861342554050026</c:v>
                </c:pt>
                <c:pt idx="451">
                  <c:v>97.684762758708032</c:v>
                </c:pt>
                <c:pt idx="452">
                  <c:v>97.512046797080814</c:v>
                </c:pt>
                <c:pt idx="453">
                  <c:v>97.343116855466405</c:v>
                </c:pt>
                <c:pt idx="454">
                  <c:v>97.177896241238685</c:v>
                </c:pt>
                <c:pt idx="455">
                  <c:v>97.016309397926406</c:v>
                </c:pt>
                <c:pt idx="456">
                  <c:v>96.858281917532722</c:v>
                </c:pt>
                <c:pt idx="457">
                  <c:v>96.703740550287691</c:v>
                </c:pt>
                <c:pt idx="458">
                  <c:v>96.552613212018201</c:v>
                </c:pt>
                <c:pt idx="459">
                  <c:v>96.404828989309934</c:v>
                </c:pt>
                <c:pt idx="460">
                  <c:v>96.260318142625096</c:v>
                </c:pt>
                <c:pt idx="461">
                  <c:v>96.119012107532015</c:v>
                </c:pt>
                <c:pt idx="462">
                  <c:v>95.980843494192939</c:v>
                </c:pt>
                <c:pt idx="463">
                  <c:v>95.845746085248209</c:v>
                </c:pt>
                <c:pt idx="464">
                  <c:v>95.713654832227192</c:v>
                </c:pt>
                <c:pt idx="465">
                  <c:v>95.584505850608053</c:v>
                </c:pt>
                <c:pt idx="466">
                  <c:v>95.458236413641146</c:v>
                </c:pt>
                <c:pt idx="467">
                  <c:v>95.334784945044802</c:v>
                </c:pt>
                <c:pt idx="468">
                  <c:v>95.214091010673087</c:v>
                </c:pt>
                <c:pt idx="469">
                  <c:v>95.096095309252533</c:v>
                </c:pt>
                <c:pt idx="470">
                  <c:v>94.980739662274175</c:v>
                </c:pt>
                <c:pt idx="471">
                  <c:v>94.867967003125386</c:v>
                </c:pt>
                <c:pt idx="472">
                  <c:v>94.757721365539382</c:v>
                </c:pt>
                <c:pt idx="473">
                  <c:v>94.649947871432943</c:v>
                </c:pt>
                <c:pt idx="474">
                  <c:v>94.544592718201429</c:v>
                </c:pt>
                <c:pt idx="475">
                  <c:v>94.441603165533706</c:v>
                </c:pt>
                <c:pt idx="476">
                  <c:v>94.340927521804403</c:v>
                </c:pt>
                <c:pt idx="477">
                  <c:v>94.242515130099648</c:v>
                </c:pt>
                <c:pt idx="478">
                  <c:v>94.14631635392503</c:v>
                </c:pt>
                <c:pt idx="479">
                  <c:v>94.052282562644152</c:v>
                </c:pt>
                <c:pt idx="480">
                  <c:v>93.960366116689983</c:v>
                </c:pt>
                <c:pt idx="481">
                  <c:v>93.870520352590404</c:v>
                </c:pt>
                <c:pt idx="482">
                  <c:v>93.782699567844276</c:v>
                </c:pt>
                <c:pt idx="483">
                  <c:v>93.696859005682683</c:v>
                </c:pt>
                <c:pt idx="484">
                  <c:v>93.612954839747132</c:v>
                </c:pt>
                <c:pt idx="485">
                  <c:v>93.530944158714178</c:v>
                </c:pt>
                <c:pt idx="486">
                  <c:v>93.450784950892469</c:v>
                </c:pt>
                <c:pt idx="487">
                  <c:v>93.372436088817693</c:v>
                </c:pt>
                <c:pt idx="488">
                  <c:v>93.295857313868169</c:v>
                </c:pt>
                <c:pt idx="489">
                  <c:v>93.221009220920607</c:v>
                </c:pt>
                <c:pt idx="490">
                  <c:v>93.147853243066592</c:v>
                </c:pt>
                <c:pt idx="491">
                  <c:v>93.076351636405676</c:v>
                </c:pt>
                <c:pt idx="492">
                  <c:v>93.006467464931418</c:v>
                </c:pt>
                <c:pt idx="493">
                  <c:v>92.938164585524802</c:v>
                </c:pt>
                <c:pt idx="494">
                  <c:v>92.871407633067022</c:v>
                </c:pt>
                <c:pt idx="495">
                  <c:v>92.806162005684399</c:v>
                </c:pt>
                <c:pt idx="496">
                  <c:v>92.742393850134818</c:v>
                </c:pt>
                <c:pt idx="497">
                  <c:v>92.680070047346007</c:v>
                </c:pt>
                <c:pt idx="498">
                  <c:v>92.619158198113112</c:v>
                </c:pt>
                <c:pt idx="499">
                  <c:v>92.559626608963384</c:v>
                </c:pt>
                <c:pt idx="500">
                  <c:v>92.501444278194839</c:v>
                </c:pt>
                <c:pt idx="501">
                  <c:v>92.444580882093788</c:v>
                </c:pt>
                <c:pt idx="502">
                  <c:v>92.389006761336915</c:v>
                </c:pt>
                <c:pt idx="503">
                  <c:v>92.334692907581754</c:v>
                </c:pt>
                <c:pt idx="504">
                  <c:v>92.281610950249529</c:v>
                </c:pt>
                <c:pt idx="505">
                  <c:v>92.229733143502941</c:v>
                </c:pt>
                <c:pt idx="506">
                  <c:v>92.179032353421761</c:v>
                </c:pt>
                <c:pt idx="507">
                  <c:v>92.129482045378083</c:v>
                </c:pt>
                <c:pt idx="508">
                  <c:v>92.081056271612781</c:v>
                </c:pt>
                <c:pt idx="509">
                  <c:v>92.033729659014043</c:v>
                </c:pt>
                <c:pt idx="510">
                  <c:v>91.987477397099042</c:v>
                </c:pt>
                <c:pt idx="511">
                  <c:v>91.942275226198802</c:v>
                </c:pt>
                <c:pt idx="512">
                  <c:v>91.898099425846283</c:v>
                </c:pt>
                <c:pt idx="513">
                  <c:v>91.854926803367505</c:v>
                </c:pt>
                <c:pt idx="514">
                  <c:v>91.812734682675085</c:v>
                </c:pt>
                <c:pt idx="515">
                  <c:v>91.771500893263266</c:v>
                </c:pt>
                <c:pt idx="516">
                  <c:v>91.731203759403584</c:v>
                </c:pt>
                <c:pt idx="517">
                  <c:v>91.6918220895395</c:v>
                </c:pt>
                <c:pt idx="518">
                  <c:v>91.65333516587927</c:v>
                </c:pt>
                <c:pt idx="519">
                  <c:v>91.615722734184587</c:v>
                </c:pt>
                <c:pt idx="520">
                  <c:v>91.578964993753772</c:v>
                </c:pt>
                <c:pt idx="521">
                  <c:v>91.54304258759754</c:v>
                </c:pt>
                <c:pt idx="522">
                  <c:v>91.507936592805166</c:v>
                </c:pt>
                <c:pt idx="523">
                  <c:v>91.473628511098894</c:v>
                </c:pt>
                <c:pt idx="524">
                  <c:v>91.440100259574464</c:v>
                </c:pt>
                <c:pt idx="525">
                  <c:v>91.407334161625599</c:v>
                </c:pt>
                <c:pt idx="526">
                  <c:v>91.37531293804949</c:v>
                </c:pt>
                <c:pt idx="527">
                  <c:v>91.344019698331593</c:v>
                </c:pt>
                <c:pt idx="528">
                  <c:v>91.313437932106538</c:v>
                </c:pt>
                <c:pt idx="529">
                  <c:v>91.283551500792996</c:v>
                </c:pt>
                <c:pt idx="530">
                  <c:v>91.254344629399853</c:v>
                </c:pt>
                <c:pt idx="531">
                  <c:v>91.225801898500876</c:v>
                </c:pt>
                <c:pt idx="532">
                  <c:v>91.197908236375483</c:v>
                </c:pt>
                <c:pt idx="533">
                  <c:v>91.170648911312682</c:v>
                </c:pt>
                <c:pt idx="534">
                  <c:v>91.144009524075813</c:v>
                </c:pt>
                <c:pt idx="535">
                  <c:v>91.117976000524948</c:v>
                </c:pt>
                <c:pt idx="536">
                  <c:v>91.092534584394983</c:v>
                </c:pt>
                <c:pt idx="537">
                  <c:v>91.067671830225692</c:v>
                </c:pt>
                <c:pt idx="538">
                  <c:v>91.043374596442192</c:v>
                </c:pt>
                <c:pt idx="539">
                  <c:v>91.019630038582179</c:v>
                </c:pt>
                <c:pt idx="540">
                  <c:v>90.996425602668097</c:v>
                </c:pt>
                <c:pt idx="541">
                  <c:v>90.97374901872071</c:v>
                </c:pt>
              </c:numCache>
            </c:numRef>
          </c:yVal>
          <c:smooth val="1"/>
          <c:extLst>
            <c:ext xmlns:c16="http://schemas.microsoft.com/office/drawing/2014/chart" uri="{C3380CC4-5D6E-409C-BE32-E72D297353CC}">
              <c16:uniqueId val="{00000001-0B5D-4E78-BD48-CC54C4E43363}"/>
            </c:ext>
          </c:extLst>
        </c:ser>
        <c:dLbls>
          <c:showLegendKey val="0"/>
          <c:showVal val="0"/>
          <c:showCatName val="0"/>
          <c:showSerName val="0"/>
          <c:showPercent val="0"/>
          <c:showBubbleSize val="0"/>
        </c:dLbls>
        <c:axId val="365441024"/>
        <c:axId val="365439232"/>
      </c:scatterChart>
      <c:valAx>
        <c:axId val="555280640"/>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365437312"/>
        <c:crosses val="autoZero"/>
        <c:crossBetween val="midCat"/>
      </c:valAx>
      <c:valAx>
        <c:axId val="365437312"/>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555280640"/>
        <c:crosses val="autoZero"/>
        <c:crossBetween val="midCat"/>
        <c:majorUnit val="20"/>
        <c:minorUnit val="10"/>
      </c:valAx>
      <c:valAx>
        <c:axId val="365439232"/>
        <c:scaling>
          <c:orientation val="minMax"/>
          <c:max val="180"/>
          <c:min val="-180"/>
        </c:scaling>
        <c:delete val="0"/>
        <c:axPos val="r"/>
        <c:numFmt formatCode="General" sourceLinked="1"/>
        <c:majorTickMark val="out"/>
        <c:minorTickMark val="none"/>
        <c:tickLblPos val="nextTo"/>
        <c:crossAx val="365441024"/>
        <c:crosses val="max"/>
        <c:crossBetween val="midCat"/>
        <c:majorUnit val="90"/>
        <c:minorUnit val="45"/>
      </c:valAx>
      <c:valAx>
        <c:axId val="365441024"/>
        <c:scaling>
          <c:logBase val="10"/>
          <c:orientation val="minMax"/>
        </c:scaling>
        <c:delete val="1"/>
        <c:axPos val="b"/>
        <c:numFmt formatCode="0.00" sourceLinked="1"/>
        <c:majorTickMark val="out"/>
        <c:minorTickMark val="none"/>
        <c:tickLblPos val="nextTo"/>
        <c:crossAx val="365439232"/>
        <c:crosses val="autoZero"/>
        <c:crossBetween val="midCat"/>
      </c:valAx>
    </c:plotArea>
    <c:legend>
      <c:legendPos val="r"/>
      <c:layout>
        <c:manualLayout>
          <c:xMode val="edge"/>
          <c:yMode val="edge"/>
          <c:x val="0.79880558209512509"/>
          <c:y val="0.14321997959862004"/>
          <c:w val="0.13485048155591431"/>
          <c:h val="0.10528624969913696"/>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CCM Control Loop Transfer Function</a:t>
            </a:r>
          </a:p>
        </c:rich>
      </c:tx>
      <c:overlay val="0"/>
    </c:title>
    <c:autoTitleDeleted val="0"/>
    <c:plotArea>
      <c:layout/>
      <c:scatterChart>
        <c:scatterStyle val="smoothMarker"/>
        <c:varyColors val="0"/>
        <c:ser>
          <c:idx val="0"/>
          <c:order val="0"/>
          <c:tx>
            <c:v>Gain (dB)</c:v>
          </c:tx>
          <c:spPr>
            <a:ln w="38100">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Loop_Modeling!$BG$19:$BG$560</c:f>
              <c:numCache>
                <c:formatCode>0.000</c:formatCode>
                <c:ptCount val="542"/>
                <c:pt idx="0">
                  <c:v>61.884587173242799</c:v>
                </c:pt>
                <c:pt idx="1">
                  <c:v>61.679143251709931</c:v>
                </c:pt>
                <c:pt idx="2">
                  <c:v>61.473450244577002</c:v>
                </c:pt>
                <c:pt idx="3">
                  <c:v>61.267497112573309</c:v>
                </c:pt>
                <c:pt idx="4">
                  <c:v>61.061272360556515</c:v>
                </c:pt>
                <c:pt idx="5">
                  <c:v>60.854764021798296</c:v>
                </c:pt>
                <c:pt idx="6">
                  <c:v>60.647959642024539</c:v>
                </c:pt>
                <c:pt idx="7">
                  <c:v>60.440846263237034</c:v>
                </c:pt>
                <c:pt idx="8">
                  <c:v>60.233410407350128</c:v>
                </c:pt>
                <c:pt idx="9">
                  <c:v>60.025638059677163</c:v>
                </c:pt>
                <c:pt idx="10">
                  <c:v>59.817514652307125</c:v>
                </c:pt>
                <c:pt idx="11">
                  <c:v>59.609025047418662</c:v>
                </c:pt>
                <c:pt idx="12">
                  <c:v>59.400153520580375</c:v>
                </c:pt>
                <c:pt idx="13">
                  <c:v>59.190883744096901</c:v>
                </c:pt>
                <c:pt idx="14">
                  <c:v>58.981198770459585</c:v>
                </c:pt>
                <c:pt idx="15">
                  <c:v>58.771081015974275</c:v>
                </c:pt>
                <c:pt idx="16">
                  <c:v>58.560512244639426</c:v>
                </c:pt>
                <c:pt idx="17">
                  <c:v>58.349473552358255</c:v>
                </c:pt>
                <c:pt idx="18">
                  <c:v>58.137945351573791</c:v>
                </c:pt>
                <c:pt idx="19">
                  <c:v>57.925907356425775</c:v>
                </c:pt>
                <c:pt idx="20">
                  <c:v>57.713338568532748</c:v>
                </c:pt>
                <c:pt idx="21">
                  <c:v>57.500217263514372</c:v>
                </c:pt>
                <c:pt idx="22">
                  <c:v>57.286520978374782</c:v>
                </c:pt>
                <c:pt idx="23">
                  <c:v>57.072226499876805</c:v>
                </c:pt>
                <c:pt idx="24">
                  <c:v>56.857309854046811</c:v>
                </c:pt>
                <c:pt idx="25">
                  <c:v>56.641746296955461</c:v>
                </c:pt>
                <c:pt idx="26">
                  <c:v>56.425510306931947</c:v>
                </c:pt>
                <c:pt idx="27">
                  <c:v>56.2085755783732</c:v>
                </c:pt>
                <c:pt idx="28">
                  <c:v>55.990915017322003</c:v>
                </c:pt>
                <c:pt idx="29">
                  <c:v>55.772500738991923</c:v>
                </c:pt>
                <c:pt idx="30">
                  <c:v>55.55330406742641</c:v>
                </c:pt>
                <c:pt idx="31">
                  <c:v>55.333295537484616</c:v>
                </c:pt>
                <c:pt idx="32">
                  <c:v>55.112444899352255</c:v>
                </c:pt>
                <c:pt idx="33">
                  <c:v>54.890721125781937</c:v>
                </c:pt>
                <c:pt idx="34">
                  <c:v>54.668092422267918</c:v>
                </c:pt>
                <c:pt idx="35">
                  <c:v>54.444526240365718</c:v>
                </c:pt>
                <c:pt idx="36">
                  <c:v>54.219989294364808</c:v>
                </c:pt>
                <c:pt idx="37">
                  <c:v>53.994447581523708</c:v>
                </c:pt>
                <c:pt idx="38">
                  <c:v>53.767866406070802</c:v>
                </c:pt>
                <c:pt idx="39">
                  <c:v>53.540210407172815</c:v>
                </c:pt>
                <c:pt idx="40">
                  <c:v>53.311443591060844</c:v>
                </c:pt>
                <c:pt idx="41">
                  <c:v>53.081529367496003</c:v>
                </c:pt>
                <c:pt idx="42">
                  <c:v>52.850430590744075</c:v>
                </c:pt>
                <c:pt idx="43">
                  <c:v>52.618109605209007</c:v>
                </c:pt>
                <c:pt idx="44">
                  <c:v>52.384528295860918</c:v>
                </c:pt>
                <c:pt idx="45">
                  <c:v>52.149648143566303</c:v>
                </c:pt>
                <c:pt idx="46">
                  <c:v>51.913430285406122</c:v>
                </c:pt>
                <c:pt idx="47">
                  <c:v>51.675835580036548</c:v>
                </c:pt>
                <c:pt idx="48">
                  <c:v>51.436824678113965</c:v>
                </c:pt>
                <c:pt idx="49">
                  <c:v>51.19635809777094</c:v>
                </c:pt>
                <c:pt idx="50">
                  <c:v>50.954396305088792</c:v>
                </c:pt>
                <c:pt idx="51">
                  <c:v>50.710899799472188</c:v>
                </c:pt>
                <c:pt idx="52">
                  <c:v>50.465829203783237</c:v>
                </c:pt>
                <c:pt idx="53">
                  <c:v>50.219145359046493</c:v>
                </c:pt>
                <c:pt idx="54">
                  <c:v>49.970809423486465</c:v>
                </c:pt>
                <c:pt idx="55">
                  <c:v>49.720782975606795</c:v>
                </c:pt>
                <c:pt idx="56">
                  <c:v>49.469028120967842</c:v>
                </c:pt>
                <c:pt idx="57">
                  <c:v>49.215507602268403</c:v>
                </c:pt>
                <c:pt idx="58">
                  <c:v>48.960184912281179</c:v>
                </c:pt>
                <c:pt idx="59">
                  <c:v>48.703024409144902</c:v>
                </c:pt>
                <c:pt idx="60">
                  <c:v>48.443991433462486</c:v>
                </c:pt>
                <c:pt idx="61">
                  <c:v>48.18305242660977</c:v>
                </c:pt>
                <c:pt idx="62">
                  <c:v>47.920175049618202</c:v>
                </c:pt>
                <c:pt idx="63">
                  <c:v>47.655328301952935</c:v>
                </c:pt>
                <c:pt idx="64">
                  <c:v>47.388482639479051</c:v>
                </c:pt>
                <c:pt idx="65">
                  <c:v>47.119610090879924</c:v>
                </c:pt>
                <c:pt idx="66">
                  <c:v>46.848684371774723</c:v>
                </c:pt>
                <c:pt idx="67">
                  <c:v>46.575680995768607</c:v>
                </c:pt>
                <c:pt idx="68">
                  <c:v>46.300577381669363</c:v>
                </c:pt>
                <c:pt idx="69">
                  <c:v>46.023352956109136</c:v>
                </c:pt>
                <c:pt idx="70">
                  <c:v>45.743989250826004</c:v>
                </c:pt>
                <c:pt idx="71">
                  <c:v>45.462469993886756</c:v>
                </c:pt>
                <c:pt idx="72">
                  <c:v>45.178781194166348</c:v>
                </c:pt>
                <c:pt idx="73">
                  <c:v>44.892911218442762</c:v>
                </c:pt>
                <c:pt idx="74">
                  <c:v>44.604850860524543</c:v>
                </c:pt>
                <c:pt idx="75">
                  <c:v>44.314593401882938</c:v>
                </c:pt>
                <c:pt idx="76">
                  <c:v>44.022134663336985</c:v>
                </c:pt>
                <c:pt idx="77">
                  <c:v>43.727473047413604</c:v>
                </c:pt>
                <c:pt idx="78">
                  <c:v>43.430609571086251</c:v>
                </c:pt>
                <c:pt idx="79">
                  <c:v>43.131547888686796</c:v>
                </c:pt>
                <c:pt idx="80">
                  <c:v>42.830294304869902</c:v>
                </c:pt>
                <c:pt idx="81">
                  <c:v>42.526857777608541</c:v>
                </c:pt>
                <c:pt idx="82">
                  <c:v>42.221249911285639</c:v>
                </c:pt>
                <c:pt idx="83">
                  <c:v>41.913484940043936</c:v>
                </c:pt>
                <c:pt idx="84">
                  <c:v>41.60357970164263</c:v>
                </c:pt>
                <c:pt idx="85">
                  <c:v>41.291553602158089</c:v>
                </c:pt>
                <c:pt idx="86">
                  <c:v>40.977428571944017</c:v>
                </c:pt>
                <c:pt idx="87">
                  <c:v>40.661229013344808</c:v>
                </c:pt>
                <c:pt idx="88">
                  <c:v>40.342981740721385</c:v>
                </c:pt>
                <c:pt idx="89">
                  <c:v>40.022715913409641</c:v>
                </c:pt>
                <c:pt idx="90">
                  <c:v>39.700462962281968</c:v>
                </c:pt>
                <c:pt idx="91">
                  <c:v>39.376256510626398</c:v>
                </c:pt>
                <c:pt idx="92">
                  <c:v>39.050132290087006</c:v>
                </c:pt>
                <c:pt idx="93">
                  <c:v>38.722128052434932</c:v>
                </c:pt>
                <c:pt idx="94">
                  <c:v>38.392283477951537</c:v>
                </c:pt>
                <c:pt idx="95">
                  <c:v>38.060640081206458</c:v>
                </c:pt>
                <c:pt idx="96">
                  <c:v>37.727241115013392</c:v>
                </c:pt>
                <c:pt idx="97">
                  <c:v>37.39213147332552</c:v>
                </c:pt>
                <c:pt idx="98">
                  <c:v>37.05535759381597</c:v>
                </c:pt>
                <c:pt idx="99">
                  <c:v>36.716967360857744</c:v>
                </c:pt>
                <c:pt idx="100">
                  <c:v>36.377010009580374</c:v>
                </c:pt>
                <c:pt idx="101">
                  <c:v>36.035536031642621</c:v>
                </c:pt>
                <c:pt idx="102">
                  <c:v>35.692597083311995</c:v>
                </c:pt>
                <c:pt idx="103">
                  <c:v>35.348245896393792</c:v>
                </c:pt>
                <c:pt idx="104">
                  <c:v>35.002536192499662</c:v>
                </c:pt>
                <c:pt idx="105">
                  <c:v>34.655522601090688</c:v>
                </c:pt>
                <c:pt idx="106">
                  <c:v>34.307260581675848</c:v>
                </c:pt>
                <c:pt idx="107">
                  <c:v>33.957806350487488</c:v>
                </c:pt>
                <c:pt idx="108">
                  <c:v>33.607216811904479</c:v>
                </c:pt>
                <c:pt idx="109">
                  <c:v>33.255549494831939</c:v>
                </c:pt>
                <c:pt idx="110">
                  <c:v>32.902862494200569</c:v>
                </c:pt>
                <c:pt idx="111">
                  <c:v>32.54921441768883</c:v>
                </c:pt>
                <c:pt idx="112">
                  <c:v>32.194664337728362</c:v>
                </c:pt>
                <c:pt idx="113">
                  <c:v>31.8392717488017</c:v>
                </c:pt>
                <c:pt idx="114">
                  <c:v>31.483096529998448</c:v>
                </c:pt>
                <c:pt idx="115">
                  <c:v>31.126198912754685</c:v>
                </c:pt>
                <c:pt idx="116">
                  <c:v>30.768639453662633</c:v>
                </c:pt>
                <c:pt idx="117">
                  <c:v>30.410479012199978</c:v>
                </c:pt>
                <c:pt idx="118">
                  <c:v>30.051778733199306</c:v>
                </c:pt>
                <c:pt idx="119">
                  <c:v>29.692600033845409</c:v>
                </c:pt>
                <c:pt idx="120">
                  <c:v>29.333004594965132</c:v>
                </c:pt>
                <c:pt idx="121">
                  <c:v>28.973054356346903</c:v>
                </c:pt>
                <c:pt idx="122">
                  <c:v>28.612811515810836</c:v>
                </c:pt>
                <c:pt idx="123">
                  <c:v>28.252338531726785</c:v>
                </c:pt>
                <c:pt idx="124">
                  <c:v>27.89169812866561</c:v>
                </c:pt>
                <c:pt idx="125">
                  <c:v>27.53095330585278</c:v>
                </c:pt>
                <c:pt idx="126">
                  <c:v>27.170167348080867</c:v>
                </c:pt>
                <c:pt idx="127">
                  <c:v>26.809403838730713</c:v>
                </c:pt>
                <c:pt idx="128">
                  <c:v>26.448726674537888</c:v>
                </c:pt>
                <c:pt idx="129">
                  <c:v>26.088200081737448</c:v>
                </c:pt>
                <c:pt idx="130">
                  <c:v>25.727888633214889</c:v>
                </c:pt>
                <c:pt idx="131">
                  <c:v>25.367857266283792</c:v>
                </c:pt>
                <c:pt idx="132">
                  <c:v>25.008171300714487</c:v>
                </c:pt>
                <c:pt idx="133">
                  <c:v>24.648896456628556</c:v>
                </c:pt>
                <c:pt idx="134">
                  <c:v>24.290098871882584</c:v>
                </c:pt>
                <c:pt idx="135">
                  <c:v>23.931845118560418</c:v>
                </c:pt>
                <c:pt idx="136">
                  <c:v>23.574202218197993</c:v>
                </c:pt>
                <c:pt idx="137">
                  <c:v>23.217237655370752</c:v>
                </c:pt>
                <c:pt idx="138">
                  <c:v>22.861019389276677</c:v>
                </c:pt>
                <c:pt idx="139">
                  <c:v>22.505615862958827</c:v>
                </c:pt>
                <c:pt idx="140">
                  <c:v>22.151096009818112</c:v>
                </c:pt>
                <c:pt idx="141">
                  <c:v>21.79752925708085</c:v>
                </c:pt>
                <c:pt idx="142">
                  <c:v>21.444985525897373</c:v>
                </c:pt>
                <c:pt idx="143">
                  <c:v>21.093535227764924</c:v>
                </c:pt>
                <c:pt idx="144">
                  <c:v>20.743249256985443</c:v>
                </c:pt>
                <c:pt idx="145">
                  <c:v>20.394198978889246</c:v>
                </c:pt>
                <c:pt idx="146">
                  <c:v>20.046456213580836</c:v>
                </c:pt>
                <c:pt idx="147">
                  <c:v>19.700093214984914</c:v>
                </c:pt>
                <c:pt idx="148">
                  <c:v>19.355182645004586</c:v>
                </c:pt>
                <c:pt idx="149">
                  <c:v>19.011797542629278</c:v>
                </c:pt>
                <c:pt idx="150">
                  <c:v>18.670011287869041</c:v>
                </c:pt>
                <c:pt idx="151">
                  <c:v>18.329897560426023</c:v>
                </c:pt>
                <c:pt idx="152">
                  <c:v>17.991530293052531</c:v>
                </c:pt>
                <c:pt idx="153">
                  <c:v>17.654983619589814</c:v>
                </c:pt>
                <c:pt idx="154">
                  <c:v>17.320331817721886</c:v>
                </c:pt>
                <c:pt idx="155">
                  <c:v>16.987649246526018</c:v>
                </c:pt>
                <c:pt idx="156">
                  <c:v>16.65701027894853</c:v>
                </c:pt>
                <c:pt idx="157">
                  <c:v>16.328489229381237</c:v>
                </c:pt>
                <c:pt idx="158">
                  <c:v>16.002160276561614</c:v>
                </c:pt>
                <c:pt idx="159">
                  <c:v>15.67809738206963</c:v>
                </c:pt>
                <c:pt idx="160">
                  <c:v>15.356374204737053</c:v>
                </c:pt>
                <c:pt idx="161">
                  <c:v>15.037064011335241</c:v>
                </c:pt>
                <c:pt idx="162">
                  <c:v>14.720239583944732</c:v>
                </c:pt>
                <c:pt idx="163">
                  <c:v>14.405973124454043</c:v>
                </c:pt>
                <c:pt idx="164">
                  <c:v>14.094336156667325</c:v>
                </c:pt>
                <c:pt idx="165">
                  <c:v>13.785399426533949</c:v>
                </c:pt>
                <c:pt idx="166">
                  <c:v>13.479232801037536</c:v>
                </c:pt>
                <c:pt idx="167">
                  <c:v>13.175905166300241</c:v>
                </c:pt>
                <c:pt idx="168">
                  <c:v>12.87548432547467</c:v>
                </c:pt>
                <c:pt idx="169">
                  <c:v>12.578036896996474</c:v>
                </c:pt>
                <c:pt idx="170">
                  <c:v>12.283628213774037</c:v>
                </c:pt>
                <c:pt idx="171">
                  <c:v>11.9923222238787</c:v>
                </c:pt>
                <c:pt idx="172">
                  <c:v>11.704181393284973</c:v>
                </c:pt>
                <c:pt idx="173">
                  <c:v>11.419266611181483</c:v>
                </c:pt>
                <c:pt idx="174">
                  <c:v>11.137637098347939</c:v>
                </c:pt>
                <c:pt idx="175">
                  <c:v>10.859350319047925</c:v>
                </c:pt>
                <c:pt idx="176">
                  <c:v>10.58446189684771</c:v>
                </c:pt>
                <c:pt idx="177">
                  <c:v>10.313025534718502</c:v>
                </c:pt>
                <c:pt idx="178">
                  <c:v>10.045092939727596</c:v>
                </c:pt>
                <c:pt idx="179">
                  <c:v>9.7807137525636545</c:v>
                </c:pt>
                <c:pt idx="180">
                  <c:v>9.5199354820831967</c:v>
                </c:pt>
                <c:pt idx="181">
                  <c:v>9.2628034450079113</c:v>
                </c:pt>
                <c:pt idx="182">
                  <c:v>9.0093607108372638</c:v>
                </c:pt>
                <c:pt idx="183">
                  <c:v>8.7596480519902737</c:v>
                </c:pt>
                <c:pt idx="184">
                  <c:v>8.513703899130789</c:v>
                </c:pt>
                <c:pt idx="185">
                  <c:v>8.2715643015861335</c:v>
                </c:pt>
                <c:pt idx="186">
                  <c:v>8.0332628927214245</c:v>
                </c:pt>
                <c:pt idx="187">
                  <c:v>7.7988308601007716</c:v>
                </c:pt>
                <c:pt idx="188">
                  <c:v>7.5682969202315249</c:v>
                </c:pt>
                <c:pt idx="189">
                  <c:v>7.3416872976726433</c:v>
                </c:pt>
                <c:pt idx="190">
                  <c:v>7.119025708275033</c:v>
                </c:pt>
                <c:pt idx="191">
                  <c:v>6.9003333463162564</c:v>
                </c:pt>
                <c:pt idx="192">
                  <c:v>6.6856288753029789</c:v>
                </c:pt>
                <c:pt idx="193">
                  <c:v>6.4749284222239272</c:v>
                </c:pt>
                <c:pt idx="194">
                  <c:v>6.2682455750621209</c:v>
                </c:pt>
                <c:pt idx="195">
                  <c:v>6.0655913834019293</c:v>
                </c:pt>
                <c:pt idx="196">
                  <c:v>5.8669743620028916</c:v>
                </c:pt>
                <c:pt idx="197">
                  <c:v>5.6724004972516244</c:v>
                </c:pt>
                <c:pt idx="198">
                  <c:v>5.4818732564460895</c:v>
                </c:pt>
                <c:pt idx="199">
                  <c:v>5.2953935999130506</c:v>
                </c:pt>
                <c:pt idx="200">
                  <c:v>5.1129599960025249</c:v>
                </c:pt>
                <c:pt idx="201">
                  <c:v>4.9345684390507847</c:v>
                </c:pt>
                <c:pt idx="202">
                  <c:v>4.7602124704417523</c:v>
                </c:pt>
                <c:pt idx="203">
                  <c:v>4.5898832029386254</c:v>
                </c:pt>
                <c:pt idx="204">
                  <c:v>4.4235693484841763</c:v>
                </c:pt>
                <c:pt idx="205">
                  <c:v>4.2612572497009307</c:v>
                </c:pt>
                <c:pt idx="206">
                  <c:v>4.1029309153352687</c:v>
                </c:pt>
                <c:pt idx="207">
                  <c:v>3.9485720599028507</c:v>
                </c:pt>
                <c:pt idx="208">
                  <c:v>3.7981601477937126</c:v>
                </c:pt>
                <c:pt idx="209">
                  <c:v>3.6516724420873232</c:v>
                </c:pt>
                <c:pt idx="210">
                  <c:v>3.5090840583127085</c:v>
                </c:pt>
                <c:pt idx="211">
                  <c:v>3.370368023363111</c:v>
                </c:pt>
                <c:pt idx="212">
                  <c:v>3.2354953397417505</c:v>
                </c:pt>
                <c:pt idx="213">
                  <c:v>3.1044350552742301</c:v>
                </c:pt>
                <c:pt idx="214">
                  <c:v>2.9771543383766339</c:v>
                </c:pt>
                <c:pt idx="215">
                  <c:v>2.8536185589140355</c:v>
                </c:pt>
                <c:pt idx="216">
                  <c:v>2.7337913746296651</c:v>
                </c:pt>
                <c:pt idx="217">
                  <c:v>2.6176348230607638</c:v>
                </c:pt>
                <c:pt idx="218">
                  <c:v>2.5051094187992389</c:v>
                </c:pt>
                <c:pt idx="219">
                  <c:v>2.3961742558915291</c:v>
                </c:pt>
                <c:pt idx="220">
                  <c:v>2.290787115107467</c:v>
                </c:pt>
                <c:pt idx="221">
                  <c:v>2.1889045757563657</c:v>
                </c:pt>
                <c:pt idx="222">
                  <c:v>2.0904821316628155</c:v>
                </c:pt>
                <c:pt idx="223">
                  <c:v>1.995474310873679</c:v>
                </c:pt>
                <c:pt idx="224">
                  <c:v>1.9038347986131634</c:v>
                </c:pt>
                <c:pt idx="225">
                  <c:v>1.8155165629691159</c:v>
                </c:pt>
                <c:pt idx="226">
                  <c:v>1.7304719827559971</c:v>
                </c:pt>
                <c:pt idx="227">
                  <c:v>1.6486529769776452</c:v>
                </c:pt>
                <c:pt idx="228">
                  <c:v>1.5700111352901085</c:v>
                </c:pt>
                <c:pt idx="229">
                  <c:v>1.4944978488571778</c:v>
                </c:pt>
                <c:pt idx="230">
                  <c:v>1.4220644409831786</c:v>
                </c:pt>
                <c:pt idx="231">
                  <c:v>1.3526622969115099</c:v>
                </c:pt>
                <c:pt idx="232">
                  <c:v>1.2862429921853591</c:v>
                </c:pt>
                <c:pt idx="233">
                  <c:v>1.222758418984095</c:v>
                </c:pt>
                <c:pt idx="234">
                  <c:v>1.1621609098636225</c:v>
                </c:pt>
                <c:pt idx="235">
                  <c:v>1.1044033583583528</c:v>
                </c:pt>
                <c:pt idx="236">
                  <c:v>1.049439335928309</c:v>
                </c:pt>
                <c:pt idx="237">
                  <c:v>0.99722320476546666</c:v>
                </c:pt>
                <c:pt idx="238">
                  <c:v>0.9477102260102187</c:v>
                </c:pt>
                <c:pt idx="239">
                  <c:v>0.90085666295982891</c:v>
                </c:pt>
                <c:pt idx="240">
                  <c:v>0.85661987888868263</c:v>
                </c:pt>
                <c:pt idx="241">
                  <c:v>0.81495842913935213</c:v>
                </c:pt>
                <c:pt idx="242">
                  <c:v>0.77583214717197035</c:v>
                </c:pt>
                <c:pt idx="243">
                  <c:v>0.73920222430224491</c:v>
                </c:pt>
                <c:pt idx="244">
                  <c:v>0.70503128288503236</c:v>
                </c:pt>
                <c:pt idx="245">
                  <c:v>0.67328344273718044</c:v>
                </c:pt>
                <c:pt idx="246">
                  <c:v>0.64392438061903534</c:v>
                </c:pt>
                <c:pt idx="247">
                  <c:v>0.61692138262236973</c:v>
                </c:pt>
                <c:pt idx="248">
                  <c:v>0.59224338933785192</c:v>
                </c:pt>
                <c:pt idx="249">
                  <c:v>0.56986103369607377</c:v>
                </c:pt>
                <c:pt idx="250">
                  <c:v>0.54974667139629407</c:v>
                </c:pt>
                <c:pt idx="251">
                  <c:v>0.53187440385485185</c:v>
                </c:pt>
                <c:pt idx="252">
                  <c:v>0.51622009361827326</c:v>
                </c:pt>
                <c:pt idx="253">
                  <c:v>0.50276137220278938</c:v>
                </c:pt>
                <c:pt idx="254">
                  <c:v>0.49147764032909041</c:v>
                </c:pt>
                <c:pt idx="255">
                  <c:v>0.48235006053370771</c:v>
                </c:pt>
                <c:pt idx="256">
                  <c:v>0.47536154214817694</c:v>
                </c:pt>
                <c:pt idx="257">
                  <c:v>0.47049671864099518</c:v>
                </c:pt>
                <c:pt idx="258">
                  <c:v>0.46774191733156451</c:v>
                </c:pt>
                <c:pt idx="259">
                  <c:v>0.4670851214880048</c:v>
                </c:pt>
                <c:pt idx="260">
                  <c:v>0.46851592483205889</c:v>
                </c:pt>
                <c:pt idx="261">
                  <c:v>0.47202547848434151</c:v>
                </c:pt>
                <c:pt idx="262">
                  <c:v>0.47760643039180495</c:v>
                </c:pt>
                <c:pt idx="263">
                  <c:v>0.48525285729527917</c:v>
                </c:pt>
                <c:pt idx="264">
                  <c:v>0.49496018930634234</c:v>
                </c:pt>
                <c:pt idx="265">
                  <c:v>0.5067251271829486</c:v>
                </c:pt>
                <c:pt idx="266">
                  <c:v>0.52054555241074318</c:v>
                </c:pt>
                <c:pt idx="267">
                  <c:v>0.53642043022156627</c:v>
                </c:pt>
                <c:pt idx="268">
                  <c:v>0.55434970570447883</c:v>
                </c:pt>
                <c:pt idx="269">
                  <c:v>0.57433419319396373</c:v>
                </c:pt>
                <c:pt idx="270">
                  <c:v>0.59637545915330903</c:v>
                </c:pt>
                <c:pt idx="271">
                  <c:v>0.62047569880180853</c:v>
                </c:pt>
                <c:pt idx="272">
                  <c:v>0.64663760677714865</c:v>
                </c:pt>
                <c:pt idx="273">
                  <c:v>0.67486424215791785</c:v>
                </c:pt>
                <c:pt idx="274">
                  <c:v>0.7051588882202241</c:v>
                </c:pt>
                <c:pt idx="275">
                  <c:v>0.73752490734004916</c:v>
                </c:pt>
                <c:pt idx="276">
                  <c:v>0.7719655915019521</c:v>
                </c:pt>
                <c:pt idx="277">
                  <c:v>0.80848400891653061</c:v>
                </c:pt>
                <c:pt idx="278">
                  <c:v>0.84708284730072425</c:v>
                </c:pt>
                <c:pt idx="279">
                  <c:v>0.88776425441078677</c:v>
                </c:pt>
                <c:pt idx="280">
                  <c:v>0.93052967646799256</c:v>
                </c:pt>
                <c:pt idx="281">
                  <c:v>0.97537969515425438</c:v>
                </c:pt>
                <c:pt idx="282">
                  <c:v>1.0223138638906846</c:v>
                </c:pt>
                <c:pt idx="283">
                  <c:v>1.0713305441469543</c:v>
                </c:pt>
                <c:pt idx="284">
                  <c:v>1.1224267425551053</c:v>
                </c:pt>
                <c:pt idx="285">
                  <c:v>1.1755979496228075</c:v>
                </c:pt>
                <c:pt idx="286">
                  <c:v>1.230837980855604</c:v>
                </c:pt>
                <c:pt idx="287">
                  <c:v>1.2881388211072577</c:v>
                </c:pt>
                <c:pt idx="288">
                  <c:v>1.3474904729696082</c:v>
                </c:pt>
                <c:pt idx="289">
                  <c:v>1.4088808100140331</c:v>
                </c:pt>
                <c:pt idx="290">
                  <c:v>1.4722954356699047</c:v>
                </c:pt>
                <c:pt idx="291">
                  <c:v>1.5377175485008643</c:v>
                </c:pt>
                <c:pt idx="292">
                  <c:v>1.6051278146097467</c:v>
                </c:pt>
                <c:pt idx="293">
                  <c:v>1.6745042478483061</c:v>
                </c:pt>
                <c:pt idx="294">
                  <c:v>1.7458220984670183</c:v>
                </c:pt>
                <c:pt idx="295">
                  <c:v>1.8190537507702784</c:v>
                </c:pt>
                <c:pt idx="296">
                  <c:v>1.8941686302851803</c:v>
                </c:pt>
                <c:pt idx="297">
                  <c:v>1.9711331208712997</c:v>
                </c:pt>
                <c:pt idx="298">
                  <c:v>2.0499104921303419</c:v>
                </c:pt>
                <c:pt idx="299">
                  <c:v>2.1304608373877763</c:v>
                </c:pt>
                <c:pt idx="300">
                  <c:v>2.212741022440496</c:v>
                </c:pt>
                <c:pt idx="301">
                  <c:v>2.2967046451799367</c:v>
                </c:pt>
                <c:pt idx="302">
                  <c:v>2.3823020061189446</c:v>
                </c:pt>
                <c:pt idx="303">
                  <c:v>2.4694800897706495</c:v>
                </c:pt>
                <c:pt idx="304">
                  <c:v>2.5581825567491916</c:v>
                </c:pt>
                <c:pt idx="305">
                  <c:v>2.6483497463944845</c:v>
                </c:pt>
                <c:pt idx="306">
                  <c:v>2.7399186896544787</c:v>
                </c:pt>
                <c:pt idx="307">
                  <c:v>2.8328231319007271</c:v>
                </c:pt>
                <c:pt idx="308">
                  <c:v>2.9269935653029759</c:v>
                </c:pt>
                <c:pt idx="309">
                  <c:v>3.0223572703473192</c:v>
                </c:pt>
                <c:pt idx="310">
                  <c:v>3.1188383660492125</c:v>
                </c:pt>
                <c:pt idx="311">
                  <c:v>3.2163578683890526</c:v>
                </c:pt>
                <c:pt idx="312">
                  <c:v>3.3148337564882624</c:v>
                </c:pt>
                <c:pt idx="313">
                  <c:v>3.4141810460356319</c:v>
                </c:pt>
                <c:pt idx="314">
                  <c:v>3.5143118694857263</c:v>
                </c:pt>
                <c:pt idx="315">
                  <c:v>3.6151355625592441</c:v>
                </c:pt>
                <c:pt idx="316">
                  <c:v>3.716558756606005</c:v>
                </c:pt>
                <c:pt idx="317">
                  <c:v>3.8184854764146876</c:v>
                </c:pt>
                <c:pt idx="318">
                  <c:v>3.9208172430988069</c:v>
                </c:pt>
                <c:pt idx="319">
                  <c:v>4.0234531817225276</c:v>
                </c:pt>
                <c:pt idx="320">
                  <c:v>4.1262901333858402</c:v>
                </c:pt>
                <c:pt idx="321">
                  <c:v>4.2292227715334532</c:v>
                </c:pt>
                <c:pt idx="322">
                  <c:v>4.3321437223053598</c:v>
                </c:pt>
                <c:pt idx="323">
                  <c:v>4.4349436888013392</c:v>
                </c:pt>
                <c:pt idx="324">
                  <c:v>4.537511579184434</c:v>
                </c:pt>
                <c:pt idx="325">
                  <c:v>4.6397346385954128</c:v>
                </c:pt>
                <c:pt idx="326">
                  <c:v>4.7414985848991709</c:v>
                </c:pt>
                <c:pt idx="327">
                  <c:v>4.8426877483315716</c:v>
                </c:pt>
                <c:pt idx="328">
                  <c:v>4.9431852151422397</c:v>
                </c:pt>
                <c:pt idx="329">
                  <c:v>5.0428729753703561</c:v>
                </c:pt>
                <c:pt idx="330">
                  <c:v>5.1416320749066049</c:v>
                </c:pt>
                <c:pt idx="331">
                  <c:v>5.2393427720125949</c:v>
                </c:pt>
                <c:pt idx="332">
                  <c:v>5.3358846984751782</c:v>
                </c:pt>
                <c:pt idx="333">
                  <c:v>5.4311370255696776</c:v>
                </c:pt>
                <c:pt idx="334">
                  <c:v>5.5249786349924692</c:v>
                </c:pt>
                <c:pt idx="335">
                  <c:v>5.6172882948992893</c:v>
                </c:pt>
                <c:pt idx="336">
                  <c:v>5.7079448411556797</c:v>
                </c:pt>
                <c:pt idx="337">
                  <c:v>5.7968273638571288</c:v>
                </c:pt>
                <c:pt idx="338">
                  <c:v>5.8838153991280029</c:v>
                </c:pt>
                <c:pt idx="339">
                  <c:v>5.9687891261402157</c:v>
                </c:pt>
                <c:pt idx="340">
                  <c:v>6.0516295692247768</c:v>
                </c:pt>
                <c:pt idx="341">
                  <c:v>6.1322188048672981</c:v>
                </c:pt>
                <c:pt idx="342">
                  <c:v>6.210440173290273</c:v>
                </c:pt>
                <c:pt idx="343">
                  <c:v>6.2861784942331598</c:v>
                </c:pt>
                <c:pt idx="344">
                  <c:v>6.359320286442447</c:v>
                </c:pt>
                <c:pt idx="345">
                  <c:v>6.4297539902824994</c:v>
                </c:pt>
                <c:pt idx="346">
                  <c:v>6.49737019277614</c:v>
                </c:pt>
                <c:pt idx="347">
                  <c:v>6.5620618542777054</c:v>
                </c:pt>
                <c:pt idx="348">
                  <c:v>6.6237245358871562</c:v>
                </c:pt>
                <c:pt idx="349">
                  <c:v>6.6822566266089911</c:v>
                </c:pt>
                <c:pt idx="350">
                  <c:v>6.737559569176276</c:v>
                </c:pt>
                <c:pt idx="351">
                  <c:v>6.7895380833716414</c:v>
                </c:pt>
                <c:pt idx="352">
                  <c:v>6.8381003856079676</c:v>
                </c:pt>
                <c:pt idx="353">
                  <c:v>6.883158403468947</c:v>
                </c:pt>
                <c:pt idx="354">
                  <c:v>6.9246279838612415</c:v>
                </c:pt>
                <c:pt idx="355">
                  <c:v>6.9624290933988355</c:v>
                </c:pt>
                <c:pt idx="356">
                  <c:v>6.9964860096246371</c:v>
                </c:pt>
                <c:pt idx="357">
                  <c:v>7.0267275016737187</c:v>
                </c:pt>
                <c:pt idx="358">
                  <c:v>7.0530869990056821</c:v>
                </c:pt>
                <c:pt idx="359">
                  <c:v>7.0755027468713152</c:v>
                </c:pt>
                <c:pt idx="360">
                  <c:v>7.0939179472368084</c:v>
                </c:pt>
                <c:pt idx="361">
                  <c:v>7.1082808839668141</c:v>
                </c:pt>
                <c:pt idx="362">
                  <c:v>7.1185450311630918</c:v>
                </c:pt>
                <c:pt idx="363">
                  <c:v>7.124669143667596</c:v>
                </c:pt>
                <c:pt idx="364">
                  <c:v>7.1266173288688783</c:v>
                </c:pt>
                <c:pt idx="365">
                  <c:v>7.1243590990924579</c:v>
                </c:pt>
                <c:pt idx="366">
                  <c:v>7.1178694040125681</c:v>
                </c:pt>
                <c:pt idx="367">
                  <c:v>7.1071286426855851</c:v>
                </c:pt>
                <c:pt idx="368">
                  <c:v>7.0921226549818286</c:v>
                </c:pt>
                <c:pt idx="369">
                  <c:v>7.0728426923650218</c:v>
                </c:pt>
                <c:pt idx="370">
                  <c:v>7.049285368151831</c:v>
                </c:pt>
                <c:pt idx="371">
                  <c:v>7.0214525875602627</c:v>
                </c:pt>
                <c:pt idx="372">
                  <c:v>6.9893514580304839</c:v>
                </c:pt>
                <c:pt idx="373">
                  <c:v>6.952994180469001</c:v>
                </c:pt>
                <c:pt idx="374">
                  <c:v>6.9123979222274299</c:v>
                </c:pt>
                <c:pt idx="375">
                  <c:v>6.8675846727744538</c:v>
                </c:pt>
                <c:pt idx="376">
                  <c:v>6.8185810831504101</c:v>
                </c:pt>
                <c:pt idx="377">
                  <c:v>6.7654182904180873</c:v>
                </c:pt>
                <c:pt idx="378">
                  <c:v>6.7081317284216375</c:v>
                </c:pt>
                <c:pt idx="379">
                  <c:v>6.6467609262487368</c:v>
                </c:pt>
                <c:pt idx="380">
                  <c:v>6.5813492958607469</c:v>
                </c:pt>
                <c:pt idx="381">
                  <c:v>6.5119439104004515</c:v>
                </c:pt>
                <c:pt idx="382">
                  <c:v>6.4385952747116368</c:v>
                </c:pt>
                <c:pt idx="383">
                  <c:v>6.361357089622933</c:v>
                </c:pt>
                <c:pt idx="384">
                  <c:v>6.2802860115281192</c:v>
                </c:pt>
                <c:pt idx="385">
                  <c:v>6.1954414087826244</c:v>
                </c:pt>
                <c:pt idx="386">
                  <c:v>6.1068851163863167</c:v>
                </c:pt>
                <c:pt idx="387">
                  <c:v>6.0146811903709461</c:v>
                </c:pt>
                <c:pt idx="388">
                  <c:v>5.9188956632455909</c:v>
                </c:pt>
                <c:pt idx="389">
                  <c:v>5.8195963017716448</c:v>
                </c:pt>
                <c:pt idx="390">
                  <c:v>5.7168523682539965</c:v>
                </c:pt>
                <c:pt idx="391">
                  <c:v>5.6107343864407779</c:v>
                </c:pt>
                <c:pt idx="392">
                  <c:v>5.5013139130219848</c:v>
                </c:pt>
                <c:pt idx="393">
                  <c:v>5.388663315617058</c:v>
                </c:pt>
                <c:pt idx="394">
                  <c:v>5.2728555580322602</c:v>
                </c:pt>
                <c:pt idx="395">
                  <c:v>5.153963993464501</c:v>
                </c:pt>
                <c:pt idx="396">
                  <c:v>5.0320621662218334</c:v>
                </c:pt>
                <c:pt idx="397">
                  <c:v>4.9072236224294183</c:v>
                </c:pt>
                <c:pt idx="398">
                  <c:v>4.7795217300857278</c:v>
                </c:pt>
                <c:pt idx="399">
                  <c:v>4.6490295087430544</c:v>
                </c:pt>
                <c:pt idx="400">
                  <c:v>4.5158194689912134</c:v>
                </c:pt>
                <c:pt idx="401">
                  <c:v>4.379963461841835</c:v>
                </c:pt>
                <c:pt idx="402">
                  <c:v>4.2415325380304196</c:v>
                </c:pt>
                <c:pt idx="403">
                  <c:v>4.1005968171785323</c:v>
                </c:pt>
                <c:pt idx="404">
                  <c:v>3.9572253667003188</c:v>
                </c:pt>
                <c:pt idx="405">
                  <c:v>3.8114860902701828</c:v>
                </c:pt>
                <c:pt idx="406">
                  <c:v>3.6634456256233379</c:v>
                </c:pt>
                <c:pt idx="407">
                  <c:v>3.5131692514147761</c:v>
                </c:pt>
                <c:pt idx="408">
                  <c:v>3.3607208028197757</c:v>
                </c:pt>
                <c:pt idx="409">
                  <c:v>3.2061625955356483</c:v>
                </c:pt>
                <c:pt idx="410">
                  <c:v>3.0495553578083188</c:v>
                </c:pt>
                <c:pt idx="411">
                  <c:v>2.8909581700967175</c:v>
                </c:pt>
                <c:pt idx="412">
                  <c:v>2.7304284119660216</c:v>
                </c:pt>
                <c:pt idx="413">
                  <c:v>2.5680217157952789</c:v>
                </c:pt>
                <c:pt idx="414">
                  <c:v>2.4037919268761905</c:v>
                </c:pt>
                <c:pt idx="415">
                  <c:v>2.2377910694827832</c:v>
                </c:pt>
                <c:pt idx="416">
                  <c:v>2.0700693184865009</c:v>
                </c:pt>
                <c:pt idx="417">
                  <c:v>1.9006749761069006</c:v>
                </c:pt>
                <c:pt idx="418">
                  <c:v>1.7296544533866847</c:v>
                </c:pt>
                <c:pt idx="419">
                  <c:v>1.5570522559955537</c:v>
                </c:pt>
                <c:pt idx="420">
                  <c:v>1.3829109739814152</c:v>
                </c:pt>
                <c:pt idx="421">
                  <c:v>1.2072712750981194</c:v>
                </c:pt>
                <c:pt idx="422">
                  <c:v>1.030171901357799</c:v>
                </c:pt>
                <c:pt idx="423">
                  <c:v>0.85164966847400425</c:v>
                </c:pt>
                <c:pt idx="424">
                  <c:v>0.67173946787625161</c:v>
                </c:pt>
                <c:pt idx="425">
                  <c:v>0.49047427100300467</c:v>
                </c:pt>
                <c:pt idx="426">
                  <c:v>0.30788513559048236</c:v>
                </c:pt>
                <c:pt idx="427">
                  <c:v>0.12400121370404452</c:v>
                </c:pt>
                <c:pt idx="428">
                  <c:v>-6.1150238727554165E-2</c:v>
                </c:pt>
                <c:pt idx="429">
                  <c:v>-0.2475438510897057</c:v>
                </c:pt>
                <c:pt idx="430">
                  <c:v>-0.43515612616793292</c:v>
                </c:pt>
                <c:pt idx="431">
                  <c:v>-0.62396542731807447</c:v>
                </c:pt>
                <c:pt idx="432">
                  <c:v>-0.81395196487451615</c:v>
                </c:pt>
                <c:pt idx="433">
                  <c:v>-1.0050977819317413</c:v>
                </c:pt>
                <c:pt idx="434">
                  <c:v>-1.1973867396150117</c:v>
                </c:pt>
                <c:pt idx="435">
                  <c:v>-1.3908045019341495</c:v>
                </c:pt>
                <c:pt idx="436">
                  <c:v>-1.5853385202970611</c:v>
                </c:pt>
                <c:pt idx="437">
                  <c:v>-1.780978017740011</c:v>
                </c:pt>
                <c:pt idx="438">
                  <c:v>-1.9777139729127748</c:v>
                </c:pt>
                <c:pt idx="439">
                  <c:v>-2.1755391038393674</c:v>
                </c:pt>
                <c:pt idx="440">
                  <c:v>-2.3744478514554253</c:v>
                </c:pt>
                <c:pt idx="441">
                  <c:v>-2.5744363629082665</c:v>
                </c:pt>
                <c:pt idx="442">
                  <c:v>-2.7755024745866925</c:v>
                </c:pt>
                <c:pt idx="443">
                  <c:v>-2.9776456948306604</c:v>
                </c:pt>
                <c:pt idx="444">
                  <c:v>-3.1808671862568945</c:v>
                </c:pt>
                <c:pt idx="445">
                  <c:v>-3.3851697476186815</c:v>
                </c:pt>
                <c:pt idx="446">
                  <c:v>-3.5905577951023568</c:v>
                </c:pt>
                <c:pt idx="447">
                  <c:v>-3.797037342951481</c:v>
                </c:pt>
                <c:pt idx="448">
                  <c:v>-4.0046159832914547</c:v>
                </c:pt>
                <c:pt idx="449">
                  <c:v>-4.2133028650172886</c:v>
                </c:pt>
                <c:pt idx="450">
                  <c:v>-4.42310867159149</c:v>
                </c:pt>
                <c:pt idx="451">
                  <c:v>-4.6340455975906423</c:v>
                </c:pt>
                <c:pt idx="452">
                  <c:v>-4.8461273238250469</c:v>
                </c:pt>
                <c:pt idx="453">
                  <c:v>-5.059368990847962</c:v>
                </c:pt>
                <c:pt idx="454">
                  <c:v>-5.2737871706619472</c:v>
                </c:pt>
                <c:pt idx="455">
                  <c:v>-5.4893998364220007</c:v>
                </c:pt>
                <c:pt idx="456">
                  <c:v>-5.7062263299299438</c:v>
                </c:pt>
                <c:pt idx="457">
                  <c:v>-5.9242873267106724</c:v>
                </c:pt>
                <c:pt idx="458">
                  <c:v>-6.1436047984575115</c:v>
                </c:pt>
                <c:pt idx="459">
                  <c:v>-6.3642019726357848</c:v>
                </c:pt>
                <c:pt idx="460">
                  <c:v>-6.586103289033062</c:v>
                </c:pt>
                <c:pt idx="461">
                  <c:v>-6.8093343530512831</c:v>
                </c:pt>
                <c:pt idx="462">
                  <c:v>-7.0339218855430721</c:v>
                </c:pt>
                <c:pt idx="463">
                  <c:v>-7.259893669002274</c:v>
                </c:pt>
                <c:pt idx="464">
                  <c:v>-7.4872784899344333</c:v>
                </c:pt>
                <c:pt idx="465">
                  <c:v>-7.7161060772474972</c:v>
                </c:pt>
                <c:pt idx="466">
                  <c:v>-7.946407036523051</c:v>
                </c:pt>
                <c:pt idx="467">
                  <c:v>-8.1782127800500533</c:v>
                </c:pt>
                <c:pt idx="468">
                  <c:v>-8.4115554525326282</c:v>
                </c:pt>
                <c:pt idx="469">
                  <c:v>-8.646467852407655</c:v>
                </c:pt>
                <c:pt idx="470">
                  <c:v>-8.8829833487484979</c:v>
                </c:pt>
                <c:pt idx="471">
                  <c:v>-9.1211357937608248</c:v>
                </c:pt>
                <c:pt idx="472">
                  <c:v>-9.3609594309211612</c:v>
                </c:pt>
                <c:pt idx="473">
                  <c:v>-9.6024887988520753</c:v>
                </c:pt>
                <c:pt idx="474">
                  <c:v>-9.8457586310704865</c:v>
                </c:pt>
                <c:pt idx="475">
                  <c:v>-10.090803751796578</c:v>
                </c:pt>
                <c:pt idx="476">
                  <c:v>-10.337658968063019</c:v>
                </c:pt>
                <c:pt idx="477">
                  <c:v>-10.586358958411495</c:v>
                </c:pt>
                <c:pt idx="478">
                  <c:v>-10.83693815852078</c:v>
                </c:pt>
                <c:pt idx="479">
                  <c:v>-11.08943064416259</c:v>
                </c:pt>
                <c:pt idx="480">
                  <c:v>-11.343870011934252</c:v>
                </c:pt>
                <c:pt idx="481">
                  <c:v>-11.600289258267416</c:v>
                </c:pt>
                <c:pt idx="482">
                  <c:v>-11.858720657265007</c:v>
                </c:pt>
                <c:pt idx="483">
                  <c:v>-12.119195637960903</c:v>
                </c:pt>
                <c:pt idx="484">
                  <c:v>-12.38174466164371</c:v>
                </c:pt>
                <c:pt idx="485">
                  <c:v>-12.646397099920206</c:v>
                </c:pt>
                <c:pt idx="486">
                  <c:v>-12.913181114227356</c:v>
                </c:pt>
                <c:pt idx="487">
                  <c:v>-13.182123537529753</c:v>
                </c:pt>
                <c:pt idx="488">
                  <c:v>-13.453249758952403</c:v>
                </c:pt>
                <c:pt idx="489">
                  <c:v>-13.726583612115146</c:v>
                </c:pt>
                <c:pt idx="490">
                  <c:v>-14.002147267930969</c:v>
                </c:pt>
                <c:pt idx="491">
                  <c:v>-14.279961132627239</c:v>
                </c:pt>
                <c:pt idx="492">
                  <c:v>-14.560043751728335</c:v>
                </c:pt>
                <c:pt idx="493">
                  <c:v>-14.842411720714727</c:v>
                </c:pt>
                <c:pt idx="494">
                  <c:v>-15.127079603035295</c:v>
                </c:pt>
                <c:pt idx="495">
                  <c:v>-15.414059856104629</c:v>
                </c:pt>
                <c:pt idx="496">
                  <c:v>-15.703362765863208</c:v>
                </c:pt>
                <c:pt idx="497">
                  <c:v>-15.994996390414913</c:v>
                </c:pt>
                <c:pt idx="498">
                  <c:v>-16.288966513184874</c:v>
                </c:pt>
                <c:pt idx="499">
                  <c:v>-16.585276605965351</c:v>
                </c:pt>
                <c:pt idx="500">
                  <c:v>-16.88392780213438</c:v>
                </c:pt>
                <c:pt idx="501">
                  <c:v>-17.184918880240222</c:v>
                </c:pt>
                <c:pt idx="502">
                  <c:v>-17.48824625806148</c:v>
                </c:pt>
                <c:pt idx="503">
                  <c:v>-17.793903997153826</c:v>
                </c:pt>
                <c:pt idx="504">
                  <c:v>-18.101883817806609</c:v>
                </c:pt>
                <c:pt idx="505">
                  <c:v>-18.412175124236853</c:v>
                </c:pt>
                <c:pt idx="506">
                  <c:v>-18.72476503976366</c:v>
                </c:pt>
                <c:pt idx="507">
                  <c:v>-19.039638451617453</c:v>
                </c:pt>
                <c:pt idx="508">
                  <c:v>-19.356778064960341</c:v>
                </c:pt>
                <c:pt idx="509">
                  <c:v>-19.676164465619284</c:v>
                </c:pt>
                <c:pt idx="510">
                  <c:v>-19.997776190967159</c:v>
                </c:pt>
                <c:pt idx="511">
                  <c:v>-20.321589808331101</c:v>
                </c:pt>
                <c:pt idx="512">
                  <c:v>-20.647580000251281</c:v>
                </c:pt>
                <c:pt idx="513">
                  <c:v>-20.975719655881445</c:v>
                </c:pt>
                <c:pt idx="514">
                  <c:v>-21.305979967784477</c:v>
                </c:pt>
                <c:pt idx="515">
                  <c:v>-21.638330533357653</c:v>
                </c:pt>
                <c:pt idx="516">
                  <c:v>-21.972739460111057</c:v>
                </c:pt>
                <c:pt idx="517">
                  <c:v>-22.30917347401768</c:v>
                </c:pt>
                <c:pt idx="518">
                  <c:v>-22.64759803016462</c:v>
                </c:pt>
                <c:pt idx="519">
                  <c:v>-22.987977424940063</c:v>
                </c:pt>
                <c:pt idx="520">
                  <c:v>-23.330274909026244</c:v>
                </c:pt>
                <c:pt idx="521">
                  <c:v>-23.674452800484676</c:v>
                </c:pt>
                <c:pt idx="522">
                  <c:v>-24.020472597263588</c:v>
                </c:pt>
                <c:pt idx="523">
                  <c:v>-24.368295088494513</c:v>
                </c:pt>
                <c:pt idx="524">
                  <c:v>-24.717880463990937</c:v>
                </c:pt>
                <c:pt idx="525">
                  <c:v>-25.0691884214074</c:v>
                </c:pt>
                <c:pt idx="526">
                  <c:v>-25.422178270573845</c:v>
                </c:pt>
                <c:pt idx="527">
                  <c:v>-25.776809034563726</c:v>
                </c:pt>
                <c:pt idx="528">
                  <c:v>-26.133039547115477</c:v>
                </c:pt>
                <c:pt idx="529">
                  <c:v>-26.490828546076756</c:v>
                </c:pt>
                <c:pt idx="530">
                  <c:v>-26.850134762590091</c:v>
                </c:pt>
                <c:pt idx="531">
                  <c:v>-27.21091700579731</c:v>
                </c:pt>
                <c:pt idx="532">
                  <c:v>-27.573134242882197</c:v>
                </c:pt>
                <c:pt idx="533">
                  <c:v>-27.9367456743222</c:v>
                </c:pt>
                <c:pt idx="534">
                  <c:v>-28.301710804262878</c:v>
                </c:pt>
                <c:pt idx="535">
                  <c:v>-28.667989505972468</c:v>
                </c:pt>
                <c:pt idx="536">
                  <c:v>-29.035542082368121</c:v>
                </c:pt>
                <c:pt idx="537">
                  <c:v>-29.404329321645548</c:v>
                </c:pt>
                <c:pt idx="538">
                  <c:v>-29.774312548072409</c:v>
                </c:pt>
                <c:pt idx="539">
                  <c:v>-30.145453668034033</c:v>
                </c:pt>
                <c:pt idx="540">
                  <c:v>-30.517715211446536</c:v>
                </c:pt>
                <c:pt idx="541">
                  <c:v>-30.891060368673351</c:v>
                </c:pt>
              </c:numCache>
            </c:numRef>
          </c:yVal>
          <c:smooth val="1"/>
          <c:extLst>
            <c:ext xmlns:c16="http://schemas.microsoft.com/office/drawing/2014/chart" uri="{C3380CC4-5D6E-409C-BE32-E72D297353CC}">
              <c16:uniqueId val="{00000000-7AB1-42AA-8DBD-6D7B5452EF93}"/>
            </c:ext>
          </c:extLst>
        </c:ser>
        <c:dLbls>
          <c:showLegendKey val="0"/>
          <c:showVal val="0"/>
          <c:showCatName val="0"/>
          <c:showSerName val="0"/>
          <c:showPercent val="0"/>
          <c:showBubbleSize val="0"/>
        </c:dLbls>
        <c:axId val="365455232"/>
        <c:axId val="365465600"/>
      </c:scatterChart>
      <c:scatterChart>
        <c:scatterStyle val="smoothMarker"/>
        <c:varyColors val="0"/>
        <c:ser>
          <c:idx val="1"/>
          <c:order val="1"/>
          <c:tx>
            <c:v>Phase (deg)</c:v>
          </c:tx>
          <c:spPr>
            <a:ln w="38100">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Loop_Modeling!$BH$19:$BH$560</c:f>
              <c:numCache>
                <c:formatCode>General</c:formatCode>
                <c:ptCount val="542"/>
                <c:pt idx="0">
                  <c:v>80.101500372439006</c:v>
                </c:pt>
                <c:pt idx="1">
                  <c:v>79.875039046378276</c:v>
                </c:pt>
                <c:pt idx="2">
                  <c:v>79.643589451156501</c:v>
                </c:pt>
                <c:pt idx="3">
                  <c:v>79.407055085451162</c:v>
                </c:pt>
                <c:pt idx="4">
                  <c:v>79.16533851280721</c:v>
                </c:pt>
                <c:pt idx="5">
                  <c:v>78.918341422699598</c:v>
                </c:pt>
                <c:pt idx="6">
                  <c:v>78.665964697701156</c:v>
                </c:pt>
                <c:pt idx="7">
                  <c:v>78.40810848709657</c:v>
                </c:pt>
                <c:pt idx="8">
                  <c:v>78.144672287295464</c:v>
                </c:pt>
                <c:pt idx="9">
                  <c:v>77.875555029402292</c:v>
                </c:pt>
                <c:pt idx="10">
                  <c:v>77.60065517430705</c:v>
                </c:pt>
                <c:pt idx="11">
                  <c:v>77.319870815668438</c:v>
                </c:pt>
                <c:pt idx="12">
                  <c:v>77.033099791161888</c:v>
                </c:pt>
                <c:pt idx="13">
                  <c:v>76.740239802366901</c:v>
                </c:pt>
                <c:pt idx="14">
                  <c:v>76.441188543668204</c:v>
                </c:pt>
                <c:pt idx="15">
                  <c:v>76.135843840539465</c:v>
                </c:pt>
                <c:pt idx="16">
                  <c:v>75.824103797576285</c:v>
                </c:pt>
                <c:pt idx="17">
                  <c:v>75.5058669566303</c:v>
                </c:pt>
                <c:pt idx="18">
                  <c:v>75.181032465388924</c:v>
                </c:pt>
                <c:pt idx="19">
                  <c:v>74.849500256723658</c:v>
                </c:pt>
                <c:pt idx="20">
                  <c:v>74.511171239111192</c:v>
                </c:pt>
                <c:pt idx="21">
                  <c:v>74.16594749840597</c:v>
                </c:pt>
                <c:pt idx="22">
                  <c:v>73.813732511209736</c:v>
                </c:pt>
                <c:pt idx="23">
                  <c:v>73.454431370046265</c:v>
                </c:pt>
                <c:pt idx="24">
                  <c:v>73.087951020513131</c:v>
                </c:pt>
                <c:pt idx="25">
                  <c:v>72.714200510520882</c:v>
                </c:pt>
                <c:pt idx="26">
                  <c:v>72.333091251688089</c:v>
                </c:pt>
                <c:pt idx="27">
                  <c:v>71.94453729288432</c:v>
                </c:pt>
                <c:pt idx="28">
                  <c:v>71.548455605851188</c:v>
                </c:pt>
                <c:pt idx="29">
                  <c:v>71.144766382746369</c:v>
                </c:pt>
                <c:pt idx="30">
                  <c:v>70.733393345374211</c:v>
                </c:pt>
                <c:pt idx="31">
                  <c:v>70.314264065760725</c:v>
                </c:pt>
                <c:pt idx="32">
                  <c:v>69.887310297640525</c:v>
                </c:pt>
                <c:pt idx="33">
                  <c:v>69.452468318294606</c:v>
                </c:pt>
                <c:pt idx="34">
                  <c:v>69.009679280069832</c:v>
                </c:pt>
                <c:pt idx="35">
                  <c:v>68.558889570770305</c:v>
                </c:pt>
                <c:pt idx="36">
                  <c:v>68.100051181981343</c:v>
                </c:pt>
                <c:pt idx="37">
                  <c:v>67.633122084236192</c:v>
                </c:pt>
                <c:pt idx="38">
                  <c:v>67.158066607783582</c:v>
                </c:pt>
                <c:pt idx="39">
                  <c:v>66.674855827562212</c:v>
                </c:pt>
                <c:pt idx="40">
                  <c:v>66.183467950817828</c:v>
                </c:pt>
                <c:pt idx="41">
                  <c:v>65.683888705637656</c:v>
                </c:pt>
                <c:pt idx="42">
                  <c:v>65.176111728509312</c:v>
                </c:pt>
                <c:pt idx="43">
                  <c:v>64.660138948841876</c:v>
                </c:pt>
                <c:pt idx="44">
                  <c:v>64.135980968222839</c:v>
                </c:pt>
                <c:pt idx="45">
                  <c:v>63.603657432023759</c:v>
                </c:pt>
                <c:pt idx="46">
                  <c:v>63.06319739081453</c:v>
                </c:pt>
                <c:pt idx="47">
                  <c:v>62.514639648899291</c:v>
                </c:pt>
                <c:pt idx="48">
                  <c:v>61.95803309716247</c:v>
                </c:pt>
                <c:pt idx="49">
                  <c:v>61.393437027289188</c:v>
                </c:pt>
                <c:pt idx="50">
                  <c:v>60.820921424336653</c:v>
                </c:pt>
                <c:pt idx="51">
                  <c:v>60.240567234557979</c:v>
                </c:pt>
                <c:pt idx="52">
                  <c:v>59.652466605326424</c:v>
                </c:pt>
                <c:pt idx="53">
                  <c:v>59.0567230939984</c:v>
                </c:pt>
                <c:pt idx="54">
                  <c:v>58.453451842561883</c:v>
                </c:pt>
                <c:pt idx="55">
                  <c:v>57.842779714968032</c:v>
                </c:pt>
                <c:pt idx="56">
                  <c:v>57.224845394128437</c:v>
                </c:pt>
                <c:pt idx="57">
                  <c:v>56.599799435692674</c:v>
                </c:pt>
                <c:pt idx="58">
                  <c:v>55.967804275881861</c:v>
                </c:pt>
                <c:pt idx="59">
                  <c:v>55.329034190875682</c:v>
                </c:pt>
                <c:pt idx="60">
                  <c:v>54.683675205493245</c:v>
                </c:pt>
                <c:pt idx="61">
                  <c:v>54.031924949220162</c:v>
                </c:pt>
                <c:pt idx="62">
                  <c:v>53.373992457964597</c:v>
                </c:pt>
                <c:pt idx="63">
                  <c:v>52.710097920310353</c:v>
                </c:pt>
                <c:pt idx="64">
                  <c:v>52.040472367455152</c:v>
                </c:pt>
                <c:pt idx="65">
                  <c:v>51.365357306472369</c:v>
                </c:pt>
                <c:pt idx="66">
                  <c:v>50.685004297016</c:v>
                </c:pt>
                <c:pt idx="67">
                  <c:v>49.999674472094384</c:v>
                </c:pt>
                <c:pt idx="68">
                  <c:v>49.309638004065199</c:v>
                </c:pt>
                <c:pt idx="69">
                  <c:v>48.615173517529684</c:v>
                </c:pt>
                <c:pt idx="70">
                  <c:v>47.916567451345919</c:v>
                </c:pt>
                <c:pt idx="71">
                  <c:v>47.214113372512763</c:v>
                </c:pt>
                <c:pt idx="72">
                  <c:v>46.508111245189056</c:v>
                </c:pt>
                <c:pt idx="73">
                  <c:v>45.79886665861217</c:v>
                </c:pt>
                <c:pt idx="74">
                  <c:v>45.086690018145347</c:v>
                </c:pt>
                <c:pt idx="75">
                  <c:v>44.371895704110173</c:v>
                </c:pt>
                <c:pt idx="76">
                  <c:v>43.654801203440094</c:v>
                </c:pt>
                <c:pt idx="77">
                  <c:v>42.935726219521889</c:v>
                </c:pt>
                <c:pt idx="78">
                  <c:v>42.214991765866593</c:v>
                </c:pt>
                <c:pt idx="79">
                  <c:v>41.492919249447247</c:v>
                </c:pt>
                <c:pt idx="80">
                  <c:v>40.769829549687039</c:v>
                </c:pt>
                <c:pt idx="81">
                  <c:v>40.046042099155024</c:v>
                </c:pt>
                <c:pt idx="82">
                  <c:v>39.321873972010501</c:v>
                </c:pt>
                <c:pt idx="83">
                  <c:v>38.59763898617576</c:v>
                </c:pt>
                <c:pt idx="84">
                  <c:v>37.87364682507031</c:v>
                </c:pt>
                <c:pt idx="85">
                  <c:v>37.150202184526393</c:v>
                </c:pt>
                <c:pt idx="86">
                  <c:v>36.427603950235621</c:v>
                </c:pt>
                <c:pt idx="87">
                  <c:v>35.706144410749438</c:v>
                </c:pt>
                <c:pt idx="88">
                  <c:v>34.986108510666071</c:v>
                </c:pt>
                <c:pt idx="89">
                  <c:v>34.267773148225025</c:v>
                </c:pt>
                <c:pt idx="90">
                  <c:v>33.551406521048122</c:v>
                </c:pt>
                <c:pt idx="91">
                  <c:v>32.837267523299872</c:v>
                </c:pt>
                <c:pt idx="92">
                  <c:v>32.125605197007154</c:v>
                </c:pt>
                <c:pt idx="93">
                  <c:v>31.416658239771593</c:v>
                </c:pt>
                <c:pt idx="94">
                  <c:v>30.710654570575628</c:v>
                </c:pt>
                <c:pt idx="95">
                  <c:v>30.007810954862055</c:v>
                </c:pt>
                <c:pt idx="96">
                  <c:v>29.308332689564615</c:v>
                </c:pt>
                <c:pt idx="97">
                  <c:v>28.612413348267832</c:v>
                </c:pt>
                <c:pt idx="98">
                  <c:v>27.920234586215599</c:v>
                </c:pt>
                <c:pt idx="99">
                  <c:v>27.231966004456456</c:v>
                </c:pt>
                <c:pt idx="100">
                  <c:v>26.547765071999198</c:v>
                </c:pt>
                <c:pt idx="101">
                  <c:v>25.867777104510466</c:v>
                </c:pt>
                <c:pt idx="102">
                  <c:v>25.192135297745033</c:v>
                </c:pt>
                <c:pt idx="103">
                  <c:v>24.52096081363274</c:v>
                </c:pt>
                <c:pt idx="104">
                  <c:v>23.85436291670548</c:v>
                </c:pt>
                <c:pt idx="105">
                  <c:v>23.192439158350254</c:v>
                </c:pt>
                <c:pt idx="106">
                  <c:v>22.535275606232094</c:v>
                </c:pt>
                <c:pt idx="107">
                  <c:v>21.882947116108621</c:v>
                </c:pt>
                <c:pt idx="108">
                  <c:v>21.235517643198051</c:v>
                </c:pt>
                <c:pt idx="109">
                  <c:v>20.593040590214553</c:v>
                </c:pt>
                <c:pt idx="110">
                  <c:v>19.955559189194386</c:v>
                </c:pt>
                <c:pt idx="111">
                  <c:v>19.32310691425425</c:v>
                </c:pt>
                <c:pt idx="112">
                  <c:v>18.695707922485798</c:v>
                </c:pt>
                <c:pt idx="113">
                  <c:v>18.073377520261978</c:v>
                </c:pt>
                <c:pt idx="114">
                  <c:v>17.456122652332805</c:v>
                </c:pt>
                <c:pt idx="115">
                  <c:v>16.843942411199457</c:v>
                </c:pt>
                <c:pt idx="116">
                  <c:v>16.236828564384567</c:v>
                </c:pt>
                <c:pt idx="117">
                  <c:v>15.634766097346821</c:v>
                </c:pt>
                <c:pt idx="118">
                  <c:v>15.037733769934619</c:v>
                </c:pt>
                <c:pt idx="119">
                  <c:v>14.445704684416571</c:v>
                </c:pt>
                <c:pt idx="120">
                  <c:v>13.85864686326541</c:v>
                </c:pt>
                <c:pt idx="121">
                  <c:v>13.276523835019233</c:v>
                </c:pt>
                <c:pt idx="122">
                  <c:v>12.699295226679213</c:v>
                </c:pt>
                <c:pt idx="123">
                  <c:v>12.126917361222519</c:v>
                </c:pt>
                <c:pt idx="124">
                  <c:v>11.55934385894375</c:v>
                </c:pt>
                <c:pt idx="125">
                  <c:v>10.996526241430026</c:v>
                </c:pt>
                <c:pt idx="126">
                  <c:v>10.438414537079094</c:v>
                </c:pt>
                <c:pt idx="127">
                  <c:v>9.8849578871519217</c:v>
                </c:pt>
                <c:pt idx="128">
                  <c:v>9.3361051514105995</c:v>
                </c:pt>
                <c:pt idx="129">
                  <c:v>8.7918055124467323</c:v>
                </c:pt>
                <c:pt idx="130">
                  <c:v>8.2520090778436224</c:v>
                </c:pt>
                <c:pt idx="131">
                  <c:v>7.7166674793225338</c:v>
                </c:pt>
                <c:pt idx="132">
                  <c:v>7.1857344680328685</c:v>
                </c:pt>
                <c:pt idx="133">
                  <c:v>6.6591665051204556</c:v>
                </c:pt>
                <c:pt idx="134">
                  <c:v>6.136923346682245</c:v>
                </c:pt>
                <c:pt idx="135">
                  <c:v>5.6189686221536288</c:v>
                </c:pt>
                <c:pt idx="136">
                  <c:v>5.1052704051159434</c:v>
                </c:pt>
                <c:pt idx="137">
                  <c:v>4.5958017754223341</c:v>
                </c:pt>
                <c:pt idx="138">
                  <c:v>4.0905413714463315</c:v>
                </c:pt>
                <c:pt idx="139">
                  <c:v>3.5894739311396293</c:v>
                </c:pt>
                <c:pt idx="140">
                  <c:v>3.0925908204693635</c:v>
                </c:pt>
                <c:pt idx="141">
                  <c:v>2.5998905476618579</c:v>
                </c:pt>
                <c:pt idx="142">
                  <c:v>2.1113792615456481</c:v>
                </c:pt>
                <c:pt idx="143">
                  <c:v>1.6270712321268335</c:v>
                </c:pt>
                <c:pt idx="144">
                  <c:v>1.1469893113826617</c:v>
                </c:pt>
                <c:pt idx="145">
                  <c:v>0.67116537209876659</c:v>
                </c:pt>
                <c:pt idx="146">
                  <c:v>0.19964072242202813</c:v>
                </c:pt>
                <c:pt idx="147">
                  <c:v>-0.26753350635235384</c:v>
                </c:pt>
                <c:pt idx="148">
                  <c:v>-0.73029600138181494</c:v>
                </c:pt>
                <c:pt idx="149">
                  <c:v>-1.1885749420242278</c:v>
                </c:pt>
                <c:pt idx="150">
                  <c:v>-1.6422877086064669</c:v>
                </c:pt>
                <c:pt idx="151">
                  <c:v>-2.0913406291906687</c:v>
                </c:pt>
                <c:pt idx="152">
                  <c:v>-2.5356287673882378</c:v>
                </c:pt>
                <c:pt idx="153">
                  <c:v>-2.9750357543302304</c:v>
                </c:pt>
                <c:pt idx="154">
                  <c:v>-3.4094336679125257</c:v>
                </c:pt>
                <c:pt idx="155">
                  <c:v>-3.8386829624351515</c:v>
                </c:pt>
                <c:pt idx="156">
                  <c:v>-4.2626324516892105</c:v>
                </c:pt>
                <c:pt idx="157">
                  <c:v>-4.6811193484654199</c:v>
                </c:pt>
                <c:pt idx="158">
                  <c:v>-5.093969363312981</c:v>
                </c:pt>
                <c:pt idx="159">
                  <c:v>-5.5009968651981431</c:v>
                </c:pt>
                <c:pt idx="160">
                  <c:v>-5.9020051064809014</c:v>
                </c:pt>
                <c:pt idx="161">
                  <c:v>-6.2967865143419672</c:v>
                </c:pt>
                <c:pt idx="162">
                  <c:v>-6.6851230504621295</c:v>
                </c:pt>
                <c:pt idx="163">
                  <c:v>-7.0667866403756294</c:v>
                </c:pt>
                <c:pt idx="164">
                  <c:v>-7.4415396734748613</c:v>
                </c:pt>
                <c:pt idx="165">
                  <c:v>-7.8091355741799608</c:v>
                </c:pt>
                <c:pt idx="166">
                  <c:v>-8.1693194442455646</c:v>
                </c:pt>
                <c:pt idx="167">
                  <c:v>-8.5218287756274851</c:v>
                </c:pt>
                <c:pt idx="168">
                  <c:v>-8.8663942327163578</c:v>
                </c:pt>
                <c:pt idx="169">
                  <c:v>-9.2027405021307551</c:v>
                </c:pt>
                <c:pt idx="170">
                  <c:v>-9.530587207602391</c:v>
                </c:pt>
                <c:pt idx="171">
                  <c:v>-9.8496498868197335</c:v>
                </c:pt>
                <c:pt idx="172">
                  <c:v>-10.159641026431903</c:v>
                </c:pt>
                <c:pt idx="173">
                  <c:v>-10.460271150737629</c:v>
                </c:pt>
                <c:pt idx="174">
                  <c:v>-10.751249958933881</c:v>
                </c:pt>
                <c:pt idx="175">
                  <c:v>-11.032287505163808</c:v>
                </c:pt>
                <c:pt idx="176">
                  <c:v>-11.303095414998195</c:v>
                </c:pt>
                <c:pt idx="177">
                  <c:v>-11.563388131429877</c:v>
                </c:pt>
                <c:pt idx="178">
                  <c:v>-11.81288418295029</c:v>
                </c:pt>
                <c:pt idx="179">
                  <c:v>-12.051307465821107</c:v>
                </c:pt>
                <c:pt idx="180">
                  <c:v>-12.278388532283286</c:v>
                </c:pt>
                <c:pt idx="181">
                  <c:v>-12.493865876125177</c:v>
                </c:pt>
                <c:pt idx="182">
                  <c:v>-12.697487206820991</c:v>
                </c:pt>
                <c:pt idx="183">
                  <c:v>-12.889010703292058</c:v>
                </c:pt>
                <c:pt idx="184">
                  <c:v>-13.068206238309921</c:v>
                </c:pt>
                <c:pt idx="185">
                  <c:v>-13.234856564587758</c:v>
                </c:pt>
                <c:pt idx="186">
                  <c:v>-13.388758453754043</c:v>
                </c:pt>
                <c:pt idx="187">
                  <c:v>-13.529723779614537</c:v>
                </c:pt>
                <c:pt idx="188">
                  <c:v>-13.657580537450416</c:v>
                </c:pt>
                <c:pt idx="189">
                  <c:v>-13.772173791479451</c:v>
                </c:pt>
                <c:pt idx="190">
                  <c:v>-13.873366543133193</c:v>
                </c:pt>
                <c:pt idx="191">
                  <c:v>-13.961040513348385</c:v>
                </c:pt>
                <c:pt idx="192">
                  <c:v>-14.03509683273783</c:v>
                </c:pt>
                <c:pt idx="193">
                  <c:v>-14.095456634208183</c:v>
                </c:pt>
                <c:pt idx="194">
                  <c:v>-14.142061543372501</c:v>
                </c:pt>
                <c:pt idx="195">
                  <c:v>-14.174874062930481</c:v>
                </c:pt>
                <c:pt idx="196">
                  <c:v>-14.193877848052926</c:v>
                </c:pt>
                <c:pt idx="197">
                  <c:v>-14.199077870703849</c:v>
                </c:pt>
                <c:pt idx="198">
                  <c:v>-14.190500471768793</c:v>
                </c:pt>
                <c:pt idx="199">
                  <c:v>-14.168193300778977</c:v>
                </c:pt>
                <c:pt idx="200">
                  <c:v>-14.132225143969201</c:v>
                </c:pt>
                <c:pt idx="201">
                  <c:v>-14.082685642333683</c:v>
                </c:pt>
                <c:pt idx="202">
                  <c:v>-14.019684902265393</c:v>
                </c:pt>
                <c:pt idx="203">
                  <c:v>-13.943353002243686</c:v>
                </c:pt>
                <c:pt idx="204">
                  <c:v>-13.853839399894873</c:v>
                </c:pt>
                <c:pt idx="205">
                  <c:v>-13.751312244548018</c:v>
                </c:pt>
                <c:pt idx="206">
                  <c:v>-13.635957601169661</c:v>
                </c:pt>
                <c:pt idx="207">
                  <c:v>-13.507978592239727</c:v>
                </c:pt>
                <c:pt idx="208">
                  <c:v>-13.367594464755225</c:v>
                </c:pt>
                <c:pt idx="209">
                  <c:v>-13.21503959009241</c:v>
                </c:pt>
                <c:pt idx="210">
                  <c:v>-13.050562404916459</c:v>
                </c:pt>
                <c:pt idx="211">
                  <c:v>-12.874424301699898</c:v>
                </c:pt>
                <c:pt idx="212">
                  <c:v>-12.686898477699186</c:v>
                </c:pt>
                <c:pt idx="213">
                  <c:v>-12.48826875142859</c:v>
                </c:pt>
                <c:pt idx="214">
                  <c:v>-12.278828355765583</c:v>
                </c:pt>
                <c:pt idx="215">
                  <c:v>-12.058878716835942</c:v>
                </c:pt>
                <c:pt idx="216">
                  <c:v>-11.828728227728535</c:v>
                </c:pt>
                <c:pt idx="217">
                  <c:v>-11.588691025927728</c:v>
                </c:pt>
                <c:pt idx="218">
                  <c:v>-11.339085783085606</c:v>
                </c:pt>
                <c:pt idx="219">
                  <c:v>-11.080234515421511</c:v>
                </c:pt>
                <c:pt idx="220">
                  <c:v>-10.812461422629696</c:v>
                </c:pt>
                <c:pt idx="221">
                  <c:v>-10.5360917626949</c:v>
                </c:pt>
                <c:pt idx="222">
                  <c:v>-10.251450769501528</c:v>
                </c:pt>
                <c:pt idx="223">
                  <c:v>-9.9588626195192678</c:v>
                </c:pt>
                <c:pt idx="224">
                  <c:v>-9.6586494532661966</c:v>
                </c:pt>
                <c:pt idx="225">
                  <c:v>-9.3511304565680256</c:v>
                </c:pt>
                <c:pt idx="226">
                  <c:v>-9.0366210060039478</c:v>
                </c:pt>
                <c:pt idx="227">
                  <c:v>-8.715431882234066</c:v>
                </c:pt>
                <c:pt idx="228">
                  <c:v>-8.3878685542363094</c:v>
                </c:pt>
                <c:pt idx="229">
                  <c:v>-8.0542305368231784</c:v>
                </c:pt>
                <c:pt idx="230">
                  <c:v>-7.7148108231447248</c:v>
                </c:pt>
                <c:pt idx="231">
                  <c:v>-7.369895393276729</c:v>
                </c:pt>
                <c:pt idx="232">
                  <c:v>-7.0197627993833516</c:v>
                </c:pt>
                <c:pt idx="233">
                  <c:v>-6.6646838273861926</c:v>
                </c:pt>
                <c:pt idx="234">
                  <c:v>-6.3049212345602248</c:v>
                </c:pt>
                <c:pt idx="235">
                  <c:v>-5.9407295619844724</c:v>
                </c:pt>
                <c:pt idx="236">
                  <c:v>-5.5723550203544088</c:v>
                </c:pt>
                <c:pt idx="237">
                  <c:v>-5.2000354472708041</c:v>
                </c:pt>
                <c:pt idx="238">
                  <c:v>-4.8240003337822861</c:v>
                </c:pt>
                <c:pt idx="239">
                  <c:v>-4.4444709176692934</c:v>
                </c:pt>
                <c:pt idx="240">
                  <c:v>-4.0616603407075367</c:v>
                </c:pt>
                <c:pt idx="241">
                  <c:v>-3.675773866941018</c:v>
                </c:pt>
                <c:pt idx="242">
                  <c:v>-3.2870091588455854</c:v>
                </c:pt>
                <c:pt idx="243">
                  <c:v>-2.895556608123095</c:v>
                </c:pt>
                <c:pt idx="244">
                  <c:v>-2.5015997177864167</c:v>
                </c:pt>
                <c:pt idx="245">
                  <c:v>-2.1053155321320816</c:v>
                </c:pt>
                <c:pt idx="246">
                  <c:v>-1.7068751111623022</c:v>
                </c:pt>
                <c:pt idx="247">
                  <c:v>-1.3064440460109064</c:v>
                </c:pt>
                <c:pt idx="248">
                  <c:v>-0.90418301192923212</c:v>
                </c:pt>
                <c:pt idx="249">
                  <c:v>-0.50024835541735557</c:v>
                </c:pt>
                <c:pt idx="250">
                  <c:v>-9.4792712112090949E-2</c:v>
                </c:pt>
                <c:pt idx="251">
                  <c:v>0.31203434791821577</c:v>
                </c:pt>
                <c:pt idx="252">
                  <c:v>0.72008565077090447</c:v>
                </c:pt>
                <c:pt idx="253">
                  <c:v>1.1292157284671731</c:v>
                </c:pt>
                <c:pt idx="254">
                  <c:v>1.5392801110881471</c:v>
                </c:pt>
                <c:pt idx="255">
                  <c:v>1.950134604477014</c:v>
                </c:pt>
                <c:pt idx="256">
                  <c:v>2.361634556664268</c:v>
                </c:pt>
                <c:pt idx="257">
                  <c:v>2.7736341161515656</c:v>
                </c:pt>
                <c:pt idx="258">
                  <c:v>3.1859854851781511</c:v>
                </c:pt>
                <c:pt idx="259">
                  <c:v>3.5985381710935629</c:v>
                </c:pt>
                <c:pt idx="260">
                  <c:v>4.0111382389669084</c:v>
                </c:pt>
                <c:pt idx="261">
                  <c:v>4.4236275685778512</c:v>
                </c:pt>
                <c:pt idx="262">
                  <c:v>4.8358431189685458</c:v>
                </c:pt>
                <c:pt idx="263">
                  <c:v>5.2476162037579064</c:v>
                </c:pt>
                <c:pt idx="264">
                  <c:v>5.6587717804712723</c:v>
                </c:pt>
                <c:pt idx="265">
                  <c:v>6.0691277571721542</c:v>
                </c:pt>
                <c:pt idx="266">
                  <c:v>6.4784943197332527</c:v>
                </c:pt>
                <c:pt idx="267">
                  <c:v>6.8866732831226338</c:v>
                </c:pt>
                <c:pt idx="268">
                  <c:v>7.2934574701252428</c:v>
                </c:pt>
                <c:pt idx="269">
                  <c:v>7.6986301209444203</c:v>
                </c:pt>
                <c:pt idx="270">
                  <c:v>8.1019643371492869</c:v>
                </c:pt>
                <c:pt idx="271">
                  <c:v>8.5032225634468031</c:v>
                </c:pt>
                <c:pt idx="272">
                  <c:v>8.9021561107226841</c:v>
                </c:pt>
                <c:pt idx="273">
                  <c:v>9.2985047237866834</c:v>
                </c:pt>
                <c:pt idx="274">
                  <c:v>9.6919961971687965</c:v>
                </c:pt>
                <c:pt idx="275">
                  <c:v>10.08234604224363</c:v>
                </c:pt>
                <c:pt idx="276">
                  <c:v>10.469257208822249</c:v>
                </c:pt>
                <c:pt idx="277">
                  <c:v>10.852419864204043</c:v>
                </c:pt>
                <c:pt idx="278">
                  <c:v>11.231511232481454</c:v>
                </c:pt>
                <c:pt idx="279">
                  <c:v>11.606195496661691</c:v>
                </c:pt>
                <c:pt idx="280">
                  <c:v>11.976123765899919</c:v>
                </c:pt>
                <c:pt idx="281">
                  <c:v>12.340934109833437</c:v>
                </c:pt>
                <c:pt idx="282">
                  <c:v>12.700251661652727</c:v>
                </c:pt>
                <c:pt idx="283">
                  <c:v>13.053688791174876</c:v>
                </c:pt>
                <c:pt idx="284">
                  <c:v>13.400845348763291</c:v>
                </c:pt>
                <c:pt idx="285">
                  <c:v>13.741308980498159</c:v>
                </c:pt>
                <c:pt idx="286">
                  <c:v>14.074655514533157</c:v>
                </c:pt>
                <c:pt idx="287">
                  <c:v>14.400449418086493</c:v>
                </c:pt>
                <c:pt idx="288">
                  <c:v>14.718244324017759</c:v>
                </c:pt>
                <c:pt idx="289">
                  <c:v>15.027583625424592</c:v>
                </c:pt>
                <c:pt idx="290">
                  <c:v>15.328001136204541</c:v>
                </c:pt>
                <c:pt idx="291">
                  <c:v>15.619021815012085</c:v>
                </c:pt>
                <c:pt idx="292">
                  <c:v>15.900162549574269</c:v>
                </c:pt>
                <c:pt idx="293">
                  <c:v>16.170932997867446</c:v>
                </c:pt>
                <c:pt idx="294">
                  <c:v>16.430836482230799</c:v>
                </c:pt>
                <c:pt idx="295">
                  <c:v>16.679370932124606</c:v>
                </c:pt>
                <c:pt idx="296">
                  <c:v>16.916029870881509</c:v>
                </c:pt>
                <c:pt idx="297">
                  <c:v>17.140303441544553</c:v>
                </c:pt>
                <c:pt idx="298">
                  <c:v>17.351679466638558</c:v>
                </c:pt>
                <c:pt idx="299">
                  <c:v>17.54964453657751</c:v>
                </c:pt>
                <c:pt idx="300">
                  <c:v>17.733685121302209</c:v>
                </c:pt>
                <c:pt idx="301">
                  <c:v>17.903288699722623</c:v>
                </c:pt>
                <c:pt idx="302">
                  <c:v>18.057944901579432</c:v>
                </c:pt>
                <c:pt idx="303">
                  <c:v>18.197146656427467</c:v>
                </c:pt>
                <c:pt idx="304">
                  <c:v>18.3203913446408</c:v>
                </c:pt>
                <c:pt idx="305">
                  <c:v>18.427181945538223</c:v>
                </c:pt>
                <c:pt idx="306">
                  <c:v>18.517028178027239</c:v>
                </c:pt>
                <c:pt idx="307">
                  <c:v>18.589447629484734</c:v>
                </c:pt>
                <c:pt idx="308">
                  <c:v>18.643966868973575</c:v>
                </c:pt>
                <c:pt idx="309">
                  <c:v>18.680122541280031</c:v>
                </c:pt>
                <c:pt idx="310">
                  <c:v>18.697462438699425</c:v>
                </c:pt>
                <c:pt idx="311">
                  <c:v>18.695546547925016</c:v>
                </c:pt>
                <c:pt idx="312">
                  <c:v>18.673948069852703</c:v>
                </c:pt>
                <c:pt idx="313">
                  <c:v>18.632254410538614</c:v>
                </c:pt>
                <c:pt idx="314">
                  <c:v>18.570068141999219</c:v>
                </c:pt>
                <c:pt idx="315">
                  <c:v>18.487007931920644</c:v>
                </c:pt>
                <c:pt idx="316">
                  <c:v>18.382709441755075</c:v>
                </c:pt>
                <c:pt idx="317">
                  <c:v>18.256826192985784</c:v>
                </c:pt>
                <c:pt idx="318">
                  <c:v>18.109030401673305</c:v>
                </c:pt>
                <c:pt idx="319">
                  <c:v>17.939013781617096</c:v>
                </c:pt>
                <c:pt idx="320">
                  <c:v>17.746488316679486</c:v>
                </c:pt>
                <c:pt idx="321">
                  <c:v>17.53118700294619</c:v>
                </c:pt>
                <c:pt idx="322">
                  <c:v>17.292864561482045</c:v>
                </c:pt>
                <c:pt idx="323">
                  <c:v>17.031298122460843</c:v>
                </c:pt>
                <c:pt idx="324">
                  <c:v>16.746287881409987</c:v>
                </c:pt>
                <c:pt idx="325">
                  <c:v>16.437657728206709</c:v>
                </c:pt>
                <c:pt idx="326">
                  <c:v>16.10525584931186</c:v>
                </c:pt>
                <c:pt idx="327">
                  <c:v>15.748955303529744</c:v>
                </c:pt>
                <c:pt idx="328">
                  <c:v>15.36865457130564</c:v>
                </c:pt>
                <c:pt idx="329">
                  <c:v>14.964278077294866</c:v>
                </c:pt>
                <c:pt idx="330">
                  <c:v>14.535776685589395</c:v>
                </c:pt>
                <c:pt idx="331">
                  <c:v>14.083128166618648</c:v>
                </c:pt>
                <c:pt idx="332">
                  <c:v>13.606337634361166</c:v>
                </c:pt>
                <c:pt idx="333">
                  <c:v>13.105437952076569</c:v>
                </c:pt>
                <c:pt idx="334">
                  <c:v>12.580490104378748</c:v>
                </c:pt>
                <c:pt idx="335">
                  <c:v>12.031583533029796</c:v>
                </c:pt>
                <c:pt idx="336">
                  <c:v>11.458836433457929</c:v>
                </c:pt>
                <c:pt idx="337">
                  <c:v>10.862396008591629</c:v>
                </c:pt>
                <c:pt idx="338">
                  <c:v>10.242438676277834</c:v>
                </c:pt>
                <c:pt idx="339">
                  <c:v>9.5991702262057981</c:v>
                </c:pt>
                <c:pt idx="340">
                  <c:v>8.9328259220169208</c:v>
                </c:pt>
                <c:pt idx="341">
                  <c:v>8.2436705440422831</c:v>
                </c:pt>
                <c:pt idx="342">
                  <c:v>7.5319983679819238</c:v>
                </c:pt>
                <c:pt idx="343">
                  <c:v>6.7981330747505018</c:v>
                </c:pt>
                <c:pt idx="344">
                  <c:v>6.0424275867202191</c:v>
                </c:pt>
                <c:pt idx="345">
                  <c:v>5.2652638256748494</c:v>
                </c:pt>
                <c:pt idx="346">
                  <c:v>4.4670523879696127</c:v>
                </c:pt>
                <c:pt idx="347">
                  <c:v>3.6482321326543596</c:v>
                </c:pt>
                <c:pt idx="348">
                  <c:v>2.8092696786755811</c:v>
                </c:pt>
                <c:pt idx="349">
                  <c:v>1.950658807739851</c:v>
                </c:pt>
                <c:pt idx="350">
                  <c:v>1.0729197699572632</c:v>
                </c:pt>
                <c:pt idx="351">
                  <c:v>0.17659849002949468</c:v>
                </c:pt>
                <c:pt idx="352">
                  <c:v>-0.73773432753802859</c:v>
                </c:pt>
                <c:pt idx="353">
                  <c:v>-1.6694841949109624</c:v>
                </c:pt>
                <c:pt idx="354">
                  <c:v>-2.6180339389542473</c:v>
                </c:pt>
                <c:pt idx="355">
                  <c:v>-3.5827448997264195</c:v>
                </c:pt>
                <c:pt idx="356">
                  <c:v>-4.5629582274203946</c:v>
                </c:pt>
                <c:pt idx="357">
                  <c:v>-5.5579962747065084</c:v>
                </c:pt>
                <c:pt idx="358">
                  <c:v>-6.5671640804399223</c:v>
                </c:pt>
                <c:pt idx="359">
                  <c:v>-7.5897509396744667</c:v>
                </c:pt>
                <c:pt idx="360">
                  <c:v>-8.6250320539415917</c:v>
                </c:pt>
                <c:pt idx="361">
                  <c:v>-9.6722702547879749</c:v>
                </c:pt>
                <c:pt idx="362">
                  <c:v>-10.730717792673357</c:v>
                </c:pt>
                <c:pt idx="363">
                  <c:v>-11.799618182487219</c:v>
                </c:pt>
                <c:pt idx="364">
                  <c:v>-12.878208096197419</c:v>
                </c:pt>
                <c:pt idx="365">
                  <c:v>-13.965719292495383</c:v>
                </c:pt>
                <c:pt idx="366">
                  <c:v>-15.061380572765019</c:v>
                </c:pt>
                <c:pt idx="367">
                  <c:v>-16.164419752280498</c:v>
                </c:pt>
                <c:pt idx="368">
                  <c:v>-17.274065635264773</c:v>
                </c:pt>
                <c:pt idx="369">
                  <c:v>-18.389549982281824</c:v>
                </c:pt>
                <c:pt idx="370">
                  <c:v>-19.510109458437057</c:v>
                </c:pt>
                <c:pt idx="371">
                  <c:v>-20.634987550981418</c:v>
                </c:pt>
                <c:pt idx="372">
                  <c:v>-21.763436445200881</c:v>
                </c:pt>
                <c:pt idx="373">
                  <c:v>-22.894718847856616</c:v>
                </c:pt>
                <c:pt idx="374">
                  <c:v>-24.028109747987315</c:v>
                </c:pt>
                <c:pt idx="375">
                  <c:v>-25.162898105515321</c:v>
                </c:pt>
                <c:pt idx="376">
                  <c:v>-26.298388458860188</c:v>
                </c:pt>
                <c:pt idx="377">
                  <c:v>-27.433902443582198</c:v>
                </c:pt>
                <c:pt idx="378">
                  <c:v>-28.568780215009991</c:v>
                </c:pt>
                <c:pt idx="379">
                  <c:v>-29.702381768765488</c:v>
                </c:pt>
                <c:pt idx="380">
                  <c:v>-30.834088154120835</c:v>
                </c:pt>
                <c:pt idx="381">
                  <c:v>-31.96330257615449</c:v>
                </c:pt>
                <c:pt idx="382">
                  <c:v>-33.089451383738563</c:v>
                </c:pt>
                <c:pt idx="383">
                  <c:v>-34.211984941411764</c:v>
                </c:pt>
                <c:pt idx="384">
                  <c:v>-35.330378384237115</c:v>
                </c:pt>
                <c:pt idx="385">
                  <c:v>-36.444132255711331</c:v>
                </c:pt>
                <c:pt idx="386">
                  <c:v>-37.55277302975324</c:v>
                </c:pt>
                <c:pt idx="387">
                  <c:v>-38.655853518653103</c:v>
                </c:pt>
                <c:pt idx="388">
                  <c:v>-39.752953169712697</c:v>
                </c:pt>
                <c:pt idx="389">
                  <c:v>-40.843678254013476</c:v>
                </c:pt>
                <c:pt idx="390">
                  <c:v>-41.927661951432334</c:v>
                </c:pt>
                <c:pt idx="391">
                  <c:v>-43.004564336590654</c:v>
                </c:pt>
                <c:pt idx="392">
                  <c:v>-44.074072270912374</c:v>
                </c:pt>
                <c:pt idx="393">
                  <c:v>-45.135899206375626</c:v>
                </c:pt>
                <c:pt idx="394">
                  <c:v>-46.189784906852523</c:v>
                </c:pt>
                <c:pt idx="395">
                  <c:v>-47.235495093175764</c:v>
                </c:pt>
                <c:pt idx="396">
                  <c:v>-48.272821018225017</c:v>
                </c:pt>
                <c:pt idx="397">
                  <c:v>-49.301578978397309</c:v>
                </c:pt>
                <c:pt idx="398">
                  <c:v>-50.321609767857375</c:v>
                </c:pt>
                <c:pt idx="399">
                  <c:v>-51.332778081886048</c:v>
                </c:pt>
                <c:pt idx="400">
                  <c:v>-52.334971875561642</c:v>
                </c:pt>
                <c:pt idx="401">
                  <c:v>-53.328101683824215</c:v>
                </c:pt>
                <c:pt idx="402">
                  <c:v>-54.312099908783658</c:v>
                </c:pt>
                <c:pt idx="403">
                  <c:v>-55.286920079877525</c:v>
                </c:pt>
                <c:pt idx="404">
                  <c:v>-56.252536092223572</c:v>
                </c:pt>
                <c:pt idx="405">
                  <c:v>-57.208941428191238</c:v>
                </c:pt>
                <c:pt idx="406">
                  <c:v>-58.156148366915907</c:v>
                </c:pt>
                <c:pt idx="407">
                  <c:v>-59.094187186136459</c:v>
                </c:pt>
                <c:pt idx="408">
                  <c:v>-60.023105360391078</c:v>
                </c:pt>
                <c:pt idx="409">
                  <c:v>-60.942966759272416</c:v>
                </c:pt>
                <c:pt idx="410">
                  <c:v>-61.853850849076373</c:v>
                </c:pt>
                <c:pt idx="411">
                  <c:v>-62.755851900856285</c:v>
                </c:pt>
                <c:pt idx="412">
                  <c:v>-63.649078207539759</c:v>
                </c:pt>
                <c:pt idx="413">
                  <c:v>-64.533651312450289</c:v>
                </c:pt>
                <c:pt idx="414">
                  <c:v>-65.409705251248781</c:v>
                </c:pt>
                <c:pt idx="415">
                  <c:v>-66.277385809019762</c:v>
                </c:pt>
                <c:pt idx="416">
                  <c:v>-67.136849793922579</c:v>
                </c:pt>
                <c:pt idx="417">
                  <c:v>-67.988264328575539</c:v>
                </c:pt>
                <c:pt idx="418">
                  <c:v>-68.83180616006193</c:v>
                </c:pt>
                <c:pt idx="419">
                  <c:v>-69.667660989231265</c:v>
                </c:pt>
                <c:pt idx="420">
                  <c:v>-70.49602281972993</c:v>
                </c:pt>
                <c:pt idx="421">
                  <c:v>-71.317093326998787</c:v>
                </c:pt>
                <c:pt idx="422">
                  <c:v>-72.131081247284229</c:v>
                </c:pt>
                <c:pt idx="423">
                  <c:v>-72.938201786546614</c:v>
                </c:pt>
                <c:pt idx="424">
                  <c:v>-73.738676048978419</c:v>
                </c:pt>
                <c:pt idx="425">
                  <c:v>-74.532730484723928</c:v>
                </c:pt>
                <c:pt idx="426">
                  <c:v>-75.320596356257695</c:v>
                </c:pt>
                <c:pt idx="427">
                  <c:v>-76.102509222764525</c:v>
                </c:pt>
                <c:pt idx="428">
                  <c:v>-76.878708441780518</c:v>
                </c:pt>
                <c:pt idx="429">
                  <c:v>-77.649436687263815</c:v>
                </c:pt>
                <c:pt idx="430">
                  <c:v>-78.414939483183929</c:v>
                </c:pt>
                <c:pt idx="431">
                  <c:v>-79.175464751676373</c:v>
                </c:pt>
                <c:pt idx="432">
                  <c:v>-79.931262374743923</c:v>
                </c:pt>
                <c:pt idx="433">
                  <c:v>-80.682583768457249</c:v>
                </c:pt>
                <c:pt idx="434">
                  <c:v>-81.429681468570436</c:v>
                </c:pt>
                <c:pt idx="435">
                  <c:v>-82.172808726451962</c:v>
                </c:pt>
                <c:pt idx="436">
                  <c:v>-82.912219114220477</c:v>
                </c:pt>
                <c:pt idx="437">
                  <c:v>-83.648166137963855</c:v>
                </c:pt>
                <c:pt idx="438">
                  <c:v>-84.380902857935297</c:v>
                </c:pt>
                <c:pt idx="439">
                  <c:v>-85.110681514624588</c:v>
                </c:pt>
                <c:pt idx="440">
                  <c:v>-85.837753159622821</c:v>
                </c:pt>
                <c:pt idx="441">
                  <c:v>-86.562367290234803</c:v>
                </c:pt>
                <c:pt idx="442">
                  <c:v>-87.284771486813142</c:v>
                </c:pt>
                <c:pt idx="443">
                  <c:v>-88.00521105184356</c:v>
                </c:pt>
                <c:pt idx="444">
                  <c:v>-88.72392864985197</c:v>
                </c:pt>
                <c:pt idx="445">
                  <c:v>-89.441163947263746</c:v>
                </c:pt>
                <c:pt idx="446">
                  <c:v>-90.157153251406498</c:v>
                </c:pt>
                <c:pt idx="447">
                  <c:v>-90.87212914792363</c:v>
                </c:pt>
                <c:pt idx="448">
                  <c:v>-91.586320135940255</c:v>
                </c:pt>
                <c:pt idx="449">
                  <c:v>-92.299950260413894</c:v>
                </c:pt>
                <c:pt idx="450">
                  <c:v>-93.013238741197355</c:v>
                </c:pt>
                <c:pt idx="451">
                  <c:v>-93.726399598441816</c:v>
                </c:pt>
                <c:pt idx="452">
                  <c:v>-94.439641274082391</c:v>
                </c:pt>
                <c:pt idx="453">
                  <c:v>-95.153166249271052</c:v>
                </c:pt>
                <c:pt idx="454">
                  <c:v>-95.867170657742648</c:v>
                </c:pt>
                <c:pt idx="455">
                  <c:v>-96.581843895246408</c:v>
                </c:pt>
                <c:pt idx="456">
                  <c:v>-97.297368225311132</c:v>
                </c:pt>
                <c:pt idx="457">
                  <c:v>-98.013918381773451</c:v>
                </c:pt>
                <c:pt idx="458">
                  <c:v>-98.731661168650632</c:v>
                </c:pt>
                <c:pt idx="459">
                  <c:v>-99.450755058112676</c:v>
                </c:pt>
                <c:pt idx="460">
                  <c:v>-100.17134978747792</c:v>
                </c:pt>
                <c:pt idx="461">
                  <c:v>-100.89358595633263</c:v>
                </c:pt>
                <c:pt idx="462">
                  <c:v>-101.61759462506291</c:v>
                </c:pt>
                <c:pt idx="463">
                  <c:v>-102.3434969162623</c:v>
                </c:pt>
                <c:pt idx="464">
                  <c:v>-103.07140362067263</c:v>
                </c:pt>
                <c:pt idx="465">
                  <c:v>-103.80141480948865</c:v>
                </c:pt>
                <c:pt idx="466">
                  <c:v>-104.53361945505</c:v>
                </c:pt>
                <c:pt idx="467">
                  <c:v>-105.2680950621054</c:v>
                </c:pt>
                <c:pt idx="468">
                  <c:v>-106.00490731201195</c:v>
                </c:pt>
                <c:pt idx="469">
                  <c:v>-106.7441097223797</c:v>
                </c:pt>
                <c:pt idx="470">
                  <c:v>-107.48574332481918</c:v>
                </c:pt>
                <c:pt idx="471">
                  <c:v>-108.22983636357301</c:v>
                </c:pt>
                <c:pt idx="472">
                  <c:v>-108.97640401790912</c:v>
                </c:pt>
                <c:pt idx="473">
                  <c:v>-109.72544815124876</c:v>
                </c:pt>
                <c:pt idx="474">
                  <c:v>-110.47695709004361</c:v>
                </c:pt>
                <c:pt idx="475">
                  <c:v>-111.23090543544346</c:v>
                </c:pt>
                <c:pt idx="476">
                  <c:v>-111.98725391078862</c:v>
                </c:pt>
                <c:pt idx="477">
                  <c:v>-112.74594924791164</c:v>
                </c:pt>
                <c:pt idx="478">
                  <c:v>-113.50692411515405</c:v>
                </c:pt>
                <c:pt idx="479">
                  <c:v>-114.2700970898693</c:v>
                </c:pt>
                <c:pt idx="480">
                  <c:v>-115.03537267802498</c:v>
                </c:pt>
                <c:pt idx="481">
                  <c:v>-115.80264138330087</c:v>
                </c:pt>
                <c:pt idx="482">
                  <c:v>-116.57177982782527</c:v>
                </c:pt>
                <c:pt idx="483">
                  <c:v>-117.3426509263922</c:v>
                </c:pt>
                <c:pt idx="484">
                  <c:v>-118.11510411566803</c:v>
                </c:pt>
                <c:pt idx="485">
                  <c:v>-118.88897563950337</c:v>
                </c:pt>
                <c:pt idx="486">
                  <c:v>-119.66408889105821</c:v>
                </c:pt>
                <c:pt idx="487">
                  <c:v>-120.4402548119992</c:v>
                </c:pt>
                <c:pt idx="488">
                  <c:v>-121.21727234852838</c:v>
                </c:pt>
                <c:pt idx="489">
                  <c:v>-121.99492896353064</c:v>
                </c:pt>
                <c:pt idx="490">
                  <c:v>-122.77300120358153</c:v>
                </c:pt>
                <c:pt idx="491">
                  <c:v>-123.55125531904133</c:v>
                </c:pt>
                <c:pt idx="492">
                  <c:v>-124.32944793493171</c:v>
                </c:pt>
                <c:pt idx="493">
                  <c:v>-125.10732676976262</c:v>
                </c:pt>
                <c:pt idx="494">
                  <c:v>-125.88463139897078</c:v>
                </c:pt>
                <c:pt idx="495">
                  <c:v>-126.66109405914939</c:v>
                </c:pt>
                <c:pt idx="496">
                  <c:v>-127.43644048878669</c:v>
                </c:pt>
                <c:pt idx="497">
                  <c:v>-128.21039080082599</c:v>
                </c:pt>
                <c:pt idx="498">
                  <c:v>-128.98266038198804</c:v>
                </c:pt>
                <c:pt idx="499">
                  <c:v>-129.75296081348031</c:v>
                </c:pt>
                <c:pt idx="500">
                  <c:v>-130.52100080747337</c:v>
                </c:pt>
                <c:pt idx="501">
                  <c:v>-131.28648715352685</c:v>
                </c:pt>
                <c:pt idx="502">
                  <c:v>-132.04912566902956</c:v>
                </c:pt>
                <c:pt idx="503">
                  <c:v>-132.80862214767217</c:v>
                </c:pt>
                <c:pt idx="504">
                  <c:v>-133.56468329998478</c:v>
                </c:pt>
                <c:pt idx="505">
                  <c:v>-134.3170176800711</c:v>
                </c:pt>
                <c:pt idx="506">
                  <c:v>-135.06533659282778</c:v>
                </c:pt>
                <c:pt idx="507">
                  <c:v>-135.80935497616673</c:v>
                </c:pt>
                <c:pt idx="508">
                  <c:v>-136.54879225305498</c:v>
                </c:pt>
                <c:pt idx="509">
                  <c:v>-137.28337314851979</c:v>
                </c:pt>
                <c:pt idx="510">
                  <c:v>-138.01282846717814</c:v>
                </c:pt>
                <c:pt idx="511">
                  <c:v>-138.73689582728232</c:v>
                </c:pt>
                <c:pt idx="512">
                  <c:v>-139.45532034774953</c:v>
                </c:pt>
                <c:pt idx="513">
                  <c:v>-140.16785528514885</c:v>
                </c:pt>
                <c:pt idx="514">
                  <c:v>-140.87426261813712</c:v>
                </c:pt>
                <c:pt idx="515">
                  <c:v>-141.57431357737065</c:v>
                </c:pt>
                <c:pt idx="516">
                  <c:v>-142.26778911945104</c:v>
                </c:pt>
                <c:pt idx="517">
                  <c:v>-142.95448034399084</c:v>
                </c:pt>
                <c:pt idx="518">
                  <c:v>-143.63418885340624</c:v>
                </c:pt>
                <c:pt idx="519">
                  <c:v>-144.30672705552738</c:v>
                </c:pt>
                <c:pt idx="520">
                  <c:v>-144.97191840960002</c:v>
                </c:pt>
                <c:pt idx="521">
                  <c:v>-145.62959761668009</c:v>
                </c:pt>
                <c:pt idx="522">
                  <c:v>-146.27961075583053</c:v>
                </c:pt>
                <c:pt idx="523">
                  <c:v>-146.92181536789451</c:v>
                </c:pt>
                <c:pt idx="524">
                  <c:v>-147.55608048894183</c:v>
                </c:pt>
                <c:pt idx="525">
                  <c:v>-148.18228663576485</c:v>
                </c:pt>
                <c:pt idx="526">
                  <c:v>-148.80032574603823</c:v>
                </c:pt>
                <c:pt idx="527">
                  <c:v>-149.41010107595571</c:v>
                </c:pt>
                <c:pt idx="528">
                  <c:v>-150.01152705829747</c:v>
                </c:pt>
                <c:pt idx="529">
                  <c:v>-150.60452912400967</c:v>
                </c:pt>
                <c:pt idx="530">
                  <c:v>-151.18904349042438</c:v>
                </c:pt>
                <c:pt idx="531">
                  <c:v>-151.76501691931153</c:v>
                </c:pt>
                <c:pt idx="532">
                  <c:v>-152.33240644792809</c:v>
                </c:pt>
                <c:pt idx="533">
                  <c:v>-152.89117909621788</c:v>
                </c:pt>
                <c:pt idx="534">
                  <c:v>-153.44131155324578</c:v>
                </c:pt>
                <c:pt idx="535">
                  <c:v>-153.9827898458756</c:v>
                </c:pt>
                <c:pt idx="536">
                  <c:v>-154.51560899258408</c:v>
                </c:pt>
                <c:pt idx="537">
                  <c:v>-155.03977264520051</c:v>
                </c:pt>
                <c:pt idx="538">
                  <c:v>-155.5552927212041</c:v>
                </c:pt>
                <c:pt idx="539">
                  <c:v>-156.06218902907409</c:v>
                </c:pt>
                <c:pt idx="540">
                  <c:v>-156.56048888903322</c:v>
                </c:pt>
                <c:pt idx="541">
                  <c:v>-157.05022675135112</c:v>
                </c:pt>
              </c:numCache>
            </c:numRef>
          </c:yVal>
          <c:smooth val="1"/>
          <c:extLst>
            <c:ext xmlns:c16="http://schemas.microsoft.com/office/drawing/2014/chart" uri="{C3380CC4-5D6E-409C-BE32-E72D297353CC}">
              <c16:uniqueId val="{00000001-7AB1-42AA-8DBD-6D7B5452EF93}"/>
            </c:ext>
          </c:extLst>
        </c:ser>
        <c:dLbls>
          <c:showLegendKey val="0"/>
          <c:showVal val="0"/>
          <c:showCatName val="0"/>
          <c:showSerName val="0"/>
          <c:showPercent val="0"/>
          <c:showBubbleSize val="0"/>
        </c:dLbls>
        <c:axId val="365469056"/>
        <c:axId val="365467520"/>
      </c:scatterChart>
      <c:valAx>
        <c:axId val="365455232"/>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365465600"/>
        <c:crosses val="autoZero"/>
        <c:crossBetween val="midCat"/>
      </c:valAx>
      <c:valAx>
        <c:axId val="365465600"/>
        <c:scaling>
          <c:orientation val="minMax"/>
          <c:max val="40"/>
          <c:min val="-4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a:solidFill>
                  <a:srgbClr val="FF0000"/>
                </a:solidFill>
              </a:defRPr>
            </a:pPr>
            <a:endParaRPr lang="en-US"/>
          </a:p>
        </c:txPr>
        <c:crossAx val="365455232"/>
        <c:crosses val="autoZero"/>
        <c:crossBetween val="midCat"/>
        <c:majorUnit val="20"/>
        <c:minorUnit val="10"/>
      </c:valAx>
      <c:valAx>
        <c:axId val="365467520"/>
        <c:scaling>
          <c:orientation val="minMax"/>
          <c:max val="180"/>
          <c:min val="-180"/>
        </c:scaling>
        <c:delete val="0"/>
        <c:axPos val="r"/>
        <c:numFmt formatCode="General" sourceLinked="1"/>
        <c:majorTickMark val="out"/>
        <c:minorTickMark val="none"/>
        <c:tickLblPos val="nextTo"/>
        <c:txPr>
          <a:bodyPr/>
          <a:lstStyle/>
          <a:p>
            <a:pPr>
              <a:defRPr>
                <a:solidFill>
                  <a:schemeClr val="tx1">
                    <a:lumMod val="95000"/>
                    <a:lumOff val="5000"/>
                  </a:schemeClr>
                </a:solidFill>
              </a:defRPr>
            </a:pPr>
            <a:endParaRPr lang="en-US"/>
          </a:p>
        </c:txPr>
        <c:crossAx val="365469056"/>
        <c:crosses val="max"/>
        <c:crossBetween val="midCat"/>
        <c:majorUnit val="90"/>
        <c:minorUnit val="45"/>
      </c:valAx>
      <c:valAx>
        <c:axId val="365469056"/>
        <c:scaling>
          <c:logBase val="10"/>
          <c:orientation val="minMax"/>
        </c:scaling>
        <c:delete val="1"/>
        <c:axPos val="b"/>
        <c:numFmt formatCode="0.00" sourceLinked="1"/>
        <c:majorTickMark val="out"/>
        <c:minorTickMark val="none"/>
        <c:tickLblPos val="nextTo"/>
        <c:crossAx val="365467520"/>
        <c:crosses val="autoZero"/>
        <c:crossBetween val="midCat"/>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DCM Plant Transfer</a:t>
            </a:r>
            <a:r>
              <a:rPr lang="en-US" baseline="0"/>
              <a:t> Function</a:t>
            </a:r>
            <a:endParaRPr lang="en-US"/>
          </a:p>
        </c:rich>
      </c:tx>
      <c:overlay val="0"/>
    </c:title>
    <c:autoTitleDeleted val="0"/>
    <c:plotArea>
      <c:layout/>
      <c:scatterChart>
        <c:scatterStyle val="smoothMarker"/>
        <c:varyColors val="0"/>
        <c:ser>
          <c:idx val="0"/>
          <c:order val="0"/>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Loop_Modeling!$AQ$19:$AQ$560</c:f>
              <c:numCache>
                <c:formatCode>General</c:formatCode>
                <c:ptCount val="542"/>
                <c:pt idx="0">
                  <c:v>47.743470466949475</c:v>
                </c:pt>
                <c:pt idx="1">
                  <c:v>47.738196415194238</c:v>
                </c:pt>
                <c:pt idx="2">
                  <c:v>47.732680662301448</c:v>
                </c:pt>
                <c:pt idx="3">
                  <c:v>47.726912459735409</c:v>
                </c:pt>
                <c:pt idx="4">
                  <c:v>47.720880611640823</c:v>
                </c:pt>
                <c:pt idx="5">
                  <c:v>47.714573459087426</c:v>
                </c:pt>
                <c:pt idx="6">
                  <c:v>47.707978864031489</c:v>
                </c:pt>
                <c:pt idx="7">
                  <c:v>47.701084193017309</c:v>
                </c:pt>
                <c:pt idx="8">
                  <c:v>47.693876300646906</c:v>
                </c:pt>
                <c:pt idx="9">
                  <c:v>47.68634151284769</c:v>
                </c:pt>
                <c:pt idx="10">
                  <c:v>47.678465609975106</c:v>
                </c:pt>
                <c:pt idx="11">
                  <c:v>47.670233809788982</c:v>
                </c:pt>
                <c:pt idx="12">
                  <c:v>47.661630750349573</c:v>
                </c:pt>
                <c:pt idx="13">
                  <c:v>47.652640472882752</c:v>
                </c:pt>
                <c:pt idx="14">
                  <c:v>47.643246404671416</c:v>
                </c:pt>
                <c:pt idx="15">
                  <c:v>47.633431342033006</c:v>
                </c:pt>
                <c:pt idx="16">
                  <c:v>47.623177433453577</c:v>
                </c:pt>
                <c:pt idx="17">
                  <c:v>47.612466162951108</c:v>
                </c:pt>
                <c:pt idx="18">
                  <c:v>47.601278333751161</c:v>
                </c:pt>
                <c:pt idx="19">
                  <c:v>47.589594052362742</c:v>
                </c:pt>
                <c:pt idx="20">
                  <c:v>47.577392713151824</c:v>
                </c:pt>
                <c:pt idx="21">
                  <c:v>47.564652983516062</c:v>
                </c:pt>
                <c:pt idx="22">
                  <c:v>47.551352789773283</c:v>
                </c:pt>
                <c:pt idx="23">
                  <c:v>47.537469303884265</c:v>
                </c:pt>
                <c:pt idx="24">
                  <c:v>47.522978931139129</c:v>
                </c:pt>
                <c:pt idx="25">
                  <c:v>47.507857298943364</c:v>
                </c:pt>
                <c:pt idx="26">
                  <c:v>47.492079246851404</c:v>
                </c:pt>
                <c:pt idx="27">
                  <c:v>47.475618817999383</c:v>
                </c:pt>
                <c:pt idx="28">
                  <c:v>47.458449252101616</c:v>
                </c:pt>
                <c:pt idx="29">
                  <c:v>47.440542980179707</c:v>
                </c:pt>
                <c:pt idx="30">
                  <c:v>47.421871621202371</c:v>
                </c:pt>
                <c:pt idx="31">
                  <c:v>47.402405980821023</c:v>
                </c:pt>
                <c:pt idx="32">
                  <c:v>47.382116052392192</c:v>
                </c:pt>
                <c:pt idx="33">
                  <c:v>47.36097102048285</c:v>
                </c:pt>
                <c:pt idx="34">
                  <c:v>47.338939267060589</c:v>
                </c:pt>
                <c:pt idx="35">
                  <c:v>47.31598838057262</c:v>
                </c:pt>
                <c:pt idx="36">
                  <c:v>47.292085168120259</c:v>
                </c:pt>
                <c:pt idx="37">
                  <c:v>47.267195670935607</c:v>
                </c:pt>
                <c:pt idx="38">
                  <c:v>47.241285183366159</c:v>
                </c:pt>
                <c:pt idx="39">
                  <c:v>47.214318275569326</c:v>
                </c:pt>
                <c:pt idx="40">
                  <c:v>47.186258820113551</c:v>
                </c:pt>
                <c:pt idx="41">
                  <c:v>47.157070022674461</c:v>
                </c:pt>
                <c:pt idx="42">
                  <c:v>47.126714457004255</c:v>
                </c:pt>
                <c:pt idx="43">
                  <c:v>47.095154104339016</c:v>
                </c:pt>
                <c:pt idx="44">
                  <c:v>47.062350397391732</c:v>
                </c:pt>
                <c:pt idx="45">
                  <c:v>47.028264269060202</c:v>
                </c:pt>
                <c:pt idx="46">
                  <c:v>46.992856205955142</c:v>
                </c:pt>
                <c:pt idx="47">
                  <c:v>46.956086306828738</c:v>
                </c:pt>
                <c:pt idx="48">
                  <c:v>46.917914345952774</c:v>
                </c:pt>
                <c:pt idx="49">
                  <c:v>46.878299841464049</c:v>
                </c:pt>
                <c:pt idx="50">
                  <c:v>46.837202128657232</c:v>
                </c:pt>
                <c:pt idx="51">
                  <c:v>46.794580438165745</c:v>
                </c:pt>
                <c:pt idx="52">
                  <c:v>46.750393978929324</c:v>
                </c:pt>
                <c:pt idx="53">
                  <c:v>46.70460202580027</c:v>
                </c:pt>
                <c:pt idx="54">
                  <c:v>46.657164011592513</c:v>
                </c:pt>
                <c:pt idx="55">
                  <c:v>46.608039623329049</c:v>
                </c:pt>
                <c:pt idx="56">
                  <c:v>46.557188902388589</c:v>
                </c:pt>
                <c:pt idx="57">
                  <c:v>46.504572348202508</c:v>
                </c:pt>
                <c:pt idx="58">
                  <c:v>46.450151025098506</c:v>
                </c:pt>
                <c:pt idx="59">
                  <c:v>46.393886671834863</c:v>
                </c:pt>
                <c:pt idx="60">
                  <c:v>46.33574181331818</c:v>
                </c:pt>
                <c:pt idx="61">
                  <c:v>46.275679873947297</c:v>
                </c:pt>
                <c:pt idx="62">
                  <c:v>46.213665291980121</c:v>
                </c:pt>
                <c:pt idx="63">
                  <c:v>46.149663634276195</c:v>
                </c:pt>
                <c:pt idx="64">
                  <c:v>46.083641710730816</c:v>
                </c:pt>
                <c:pt idx="65">
                  <c:v>46.015567687683216</c:v>
                </c:pt>
                <c:pt idx="66">
                  <c:v>45.945411199554947</c:v>
                </c:pt>
                <c:pt idx="67">
                  <c:v>45.873143457955827</c:v>
                </c:pt>
                <c:pt idx="68">
                  <c:v>45.798737357484598</c:v>
                </c:pt>
                <c:pt idx="69">
                  <c:v>45.722167577447472</c:v>
                </c:pt>
                <c:pt idx="70">
                  <c:v>45.643410678725317</c:v>
                </c:pt>
                <c:pt idx="71">
                  <c:v>45.562445195036517</c:v>
                </c:pt>
                <c:pt idx="72">
                  <c:v>45.479251717867221</c:v>
                </c:pt>
                <c:pt idx="73">
                  <c:v>45.393812974375848</c:v>
                </c:pt>
                <c:pt idx="74">
                  <c:v>45.306113897625011</c:v>
                </c:pt>
                <c:pt idx="75">
                  <c:v>45.216141688544774</c:v>
                </c:pt>
                <c:pt idx="76">
                  <c:v>45.123885869095808</c:v>
                </c:pt>
                <c:pt idx="77">
                  <c:v>45.029338326169245</c:v>
                </c:pt>
                <c:pt idx="78">
                  <c:v>44.93249334583777</c:v>
                </c:pt>
                <c:pt idx="79">
                  <c:v>44.833347637654121</c:v>
                </c:pt>
                <c:pt idx="80">
                  <c:v>44.7319003487804</c:v>
                </c:pt>
                <c:pt idx="81">
                  <c:v>44.62815306782278</c:v>
                </c:pt>
                <c:pt idx="82">
                  <c:v>44.522109818338159</c:v>
                </c:pt>
                <c:pt idx="83">
                  <c:v>44.413777042070457</c:v>
                </c:pt>
                <c:pt idx="84">
                  <c:v>44.303163572069842</c:v>
                </c:pt>
                <c:pt idx="85">
                  <c:v>44.190280595934048</c:v>
                </c:pt>
                <c:pt idx="86">
                  <c:v>44.075141609499163</c:v>
                </c:pt>
                <c:pt idx="87">
                  <c:v>43.957762361387999</c:v>
                </c:pt>
                <c:pt idx="88">
                  <c:v>43.838160788897895</c:v>
                </c:pt>
                <c:pt idx="89">
                  <c:v>43.716356945779083</c:v>
                </c:pt>
                <c:pt idx="90">
                  <c:v>43.59237292251408</c:v>
                </c:pt>
                <c:pt idx="91">
                  <c:v>43.466232759759095</c:v>
                </c:pt>
                <c:pt idx="92">
                  <c:v>43.33796235565152</c:v>
                </c:pt>
                <c:pt idx="93">
                  <c:v>43.207589367719692</c:v>
                </c:pt>
                <c:pt idx="94">
                  <c:v>43.075143110152965</c:v>
                </c:pt>
                <c:pt idx="95">
                  <c:v>42.94065444720669</c:v>
                </c:pt>
                <c:pt idx="96">
                  <c:v>42.804155683516413</c:v>
                </c:pt>
                <c:pt idx="97">
                  <c:v>42.665680452094854</c:v>
                </c:pt>
                <c:pt idx="98">
                  <c:v>42.525263600769179</c:v>
                </c:pt>
                <c:pt idx="99">
                  <c:v>42.382941077796339</c:v>
                </c:pt>
                <c:pt idx="100">
                  <c:v>42.238749817366909</c:v>
                </c:pt>
                <c:pt idx="101">
                  <c:v>42.092727625670861</c:v>
                </c:pt>
                <c:pt idx="102">
                  <c:v>41.944913068163395</c:v>
                </c:pt>
                <c:pt idx="103">
                  <c:v>41.795345358620217</c:v>
                </c:pt>
                <c:pt idx="104">
                  <c:v>41.644064250528494</c:v>
                </c:pt>
                <c:pt idx="105">
                  <c:v>41.491109931306525</c:v>
                </c:pt>
                <c:pt idx="106">
                  <c:v>41.336522919794383</c:v>
                </c:pt>
                <c:pt idx="107">
                  <c:v>41.180343967404923</c:v>
                </c:pt>
                <c:pt idx="108">
                  <c:v>41.022613963271851</c:v>
                </c:pt>
                <c:pt idx="109">
                  <c:v>40.863373843678033</c:v>
                </c:pt>
                <c:pt idx="110">
                  <c:v>40.702664505997248</c:v>
                </c:pt>
                <c:pt idx="111">
                  <c:v>40.540526727331347</c:v>
                </c:pt>
                <c:pt idx="112">
                  <c:v>40.37700108797938</c:v>
                </c:pt>
                <c:pt idx="113">
                  <c:v>40.212127899828765</c:v>
                </c:pt>
                <c:pt idx="114">
                  <c:v>40.04594713971747</c:v>
                </c:pt>
                <c:pt idx="115">
                  <c:v>39.878498387776979</c:v>
                </c:pt>
                <c:pt idx="116">
                  <c:v>39.709820770731056</c:v>
                </c:pt>
                <c:pt idx="117">
                  <c:v>39.539952910092268</c:v>
                </c:pt>
                <c:pt idx="118">
                  <c:v>39.368932875170117</c:v>
                </c:pt>
                <c:pt idx="119">
                  <c:v>39.196798140779549</c:v>
                </c:pt>
                <c:pt idx="120">
                  <c:v>39.023585549516241</c:v>
                </c:pt>
                <c:pt idx="121">
                  <c:v>38.849331278446414</c:v>
                </c:pt>
                <c:pt idx="122">
                  <c:v>38.674070810044761</c:v>
                </c:pt>
                <c:pt idx="123">
                  <c:v>38.497838907198123</c:v>
                </c:pt>
                <c:pt idx="124">
                  <c:v>38.320669592088016</c:v>
                </c:pt>
                <c:pt idx="125">
                  <c:v>38.142596128751933</c:v>
                </c:pt>
                <c:pt idx="126">
                  <c:v>37.96365100912287</c:v>
                </c:pt>
                <c:pt idx="127">
                  <c:v>37.783865942342473</c:v>
                </c:pt>
                <c:pt idx="128">
                  <c:v>37.603271847141301</c:v>
                </c:pt>
                <c:pt idx="129">
                  <c:v>37.421898847081493</c:v>
                </c:pt>
                <c:pt idx="130">
                  <c:v>37.239776268460815</c:v>
                </c:pt>
                <c:pt idx="131">
                  <c:v>37.056932640677786</c:v>
                </c:pt>
                <c:pt idx="132">
                  <c:v>36.873395698865998</c:v>
                </c:pt>
                <c:pt idx="133">
                  <c:v>36.689192388607779</c:v>
                </c:pt>
                <c:pt idx="134">
                  <c:v>36.504348872547979</c:v>
                </c:pt>
                <c:pt idx="135">
                  <c:v>36.318890538732617</c:v>
                </c:pt>
                <c:pt idx="136">
                  <c:v>36.132842010506337</c:v>
                </c:pt>
                <c:pt idx="137">
                  <c:v>35.946227157810654</c:v>
                </c:pt>
                <c:pt idx="138">
                  <c:v>35.759069109733346</c:v>
                </c:pt>
                <c:pt idx="139">
                  <c:v>35.571390268166752</c:v>
                </c:pt>
                <c:pt idx="140">
                  <c:v>35.383212322443569</c:v>
                </c:pt>
                <c:pt idx="141">
                  <c:v>35.194556264824087</c:v>
                </c:pt>
                <c:pt idx="142">
                  <c:v>35.005442406720753</c:v>
                </c:pt>
                <c:pt idx="143">
                  <c:v>34.815890395550987</c:v>
                </c:pt>
                <c:pt idx="144">
                  <c:v>34.625919232120019</c:v>
                </c:pt>
                <c:pt idx="145">
                  <c:v>34.435547288440709</c:v>
                </c:pt>
                <c:pt idx="146">
                  <c:v>34.244792325907646</c:v>
                </c:pt>
                <c:pt idx="147">
                  <c:v>34.053671513748064</c:v>
                </c:pt>
                <c:pt idx="148">
                  <c:v>33.862201447679482</c:v>
                </c:pt>
                <c:pt idx="149">
                  <c:v>33.670398168712012</c:v>
                </c:pt>
                <c:pt idx="150">
                  <c:v>33.478277182037388</c:v>
                </c:pt>
                <c:pt idx="151">
                  <c:v>33.285853475954717</c:v>
                </c:pt>
                <c:pt idx="152">
                  <c:v>33.09314154078799</c:v>
                </c:pt>
                <c:pt idx="153">
                  <c:v>32.900155387754225</c:v>
                </c:pt>
                <c:pt idx="154">
                  <c:v>32.706908567749679</c:v>
                </c:pt>
                <c:pt idx="155">
                  <c:v>32.513414190022182</c:v>
                </c:pt>
                <c:pt idx="156">
                  <c:v>32.319684940704782</c:v>
                </c:pt>
                <c:pt idx="157">
                  <c:v>32.12573310118897</c:v>
                </c:pt>
                <c:pt idx="158">
                  <c:v>31.931570566319564</c:v>
                </c:pt>
                <c:pt idx="159">
                  <c:v>31.737208862397321</c:v>
                </c:pt>
                <c:pt idx="160">
                  <c:v>31.5426591649776</c:v>
                </c:pt>
                <c:pt idx="161">
                  <c:v>31.347932316458007</c:v>
                </c:pt>
                <c:pt idx="162">
                  <c:v>31.153038843448794</c:v>
                </c:pt>
                <c:pt idx="163">
                  <c:v>30.95798897392406</c:v>
                </c:pt>
                <c:pt idx="164">
                  <c:v>30.762792654153319</c:v>
                </c:pt>
                <c:pt idx="165">
                  <c:v>30.567459565414911</c:v>
                </c:pt>
                <c:pt idx="166">
                  <c:v>30.371999140495966</c:v>
                </c:pt>
                <c:pt idx="167">
                  <c:v>30.176420579983127</c:v>
                </c:pt>
                <c:pt idx="168">
                  <c:v>29.980732868353265</c:v>
                </c:pt>
                <c:pt idx="169">
                  <c:v>29.784944789871155</c:v>
                </c:pt>
                <c:pt idx="170">
                  <c:v>29.589064944305761</c:v>
                </c:pt>
                <c:pt idx="171">
                  <c:v>29.393101762475634</c:v>
                </c:pt>
                <c:pt idx="172">
                  <c:v>29.197063521637176</c:v>
                </c:pt>
                <c:pt idx="173">
                  <c:v>29.000958360727861</c:v>
                </c:pt>
                <c:pt idx="174">
                  <c:v>28.804794295481134</c:v>
                </c:pt>
                <c:pt idx="175">
                  <c:v>28.6085792334265</c:v>
                </c:pt>
                <c:pt idx="176">
                  <c:v>28.41232098879296</c:v>
                </c:pt>
                <c:pt idx="177">
                  <c:v>28.216027297331419</c:v>
                </c:pt>
                <c:pt idx="178">
                  <c:v>28.01970583107504</c:v>
                </c:pt>
                <c:pt idx="179">
                  <c:v>27.823364213054713</c:v>
                </c:pt>
                <c:pt idx="180">
                  <c:v>27.627010031990014</c:v>
                </c:pt>
                <c:pt idx="181">
                  <c:v>27.430650856973354</c:v>
                </c:pt>
                <c:pt idx="182">
                  <c:v>27.234294252169533</c:v>
                </c:pt>
                <c:pt idx="183">
                  <c:v>27.037947791548085</c:v>
                </c:pt>
                <c:pt idx="184">
                  <c:v>26.841619073672355</c:v>
                </c:pt>
                <c:pt idx="185">
                  <c:v>26.64531573656398</c:v>
                </c:pt>
                <c:pt idx="186">
                  <c:v>26.449045472665432</c:v>
                </c:pt>
                <c:pt idx="187">
                  <c:v>26.25281604392174</c:v>
                </c:pt>
                <c:pt idx="188">
                  <c:v>26.056635297004597</c:v>
                </c:pt>
                <c:pt idx="189">
                  <c:v>25.860511178699269</c:v>
                </c:pt>
                <c:pt idx="190">
                  <c:v>25.664451751478211</c:v>
                </c:pt>
                <c:pt idx="191">
                  <c:v>25.468465209283746</c:v>
                </c:pt>
                <c:pt idx="192">
                  <c:v>25.272559893542237</c:v>
                </c:pt>
                <c:pt idx="193">
                  <c:v>25.076744309433536</c:v>
                </c:pt>
                <c:pt idx="194">
                  <c:v>24.881027142436945</c:v>
                </c:pt>
                <c:pt idx="195">
                  <c:v>24.685417275179709</c:v>
                </c:pt>
                <c:pt idx="196">
                  <c:v>24.48992380460766</c:v>
                </c:pt>
                <c:pt idx="197">
                  <c:v>24.294556059504181</c:v>
                </c:pt>
                <c:pt idx="198">
                  <c:v>24.099323618378776</c:v>
                </c:pt>
                <c:pt idx="199">
                  <c:v>23.904236327747665</c:v>
                </c:pt>
                <c:pt idx="200">
                  <c:v>23.709304320831002</c:v>
                </c:pt>
                <c:pt idx="201">
                  <c:v>23.514538036687007</c:v>
                </c:pt>
                <c:pt idx="202">
                  <c:v>23.319948239806241</c:v>
                </c:pt>
                <c:pt idx="203">
                  <c:v>23.125546040187331</c:v>
                </c:pt>
                <c:pt idx="204">
                  <c:v>22.931342913914932</c:v>
                </c:pt>
                <c:pt idx="205">
                  <c:v>22.737350724260899</c:v>
                </c:pt>
                <c:pt idx="206">
                  <c:v>22.543581743327636</c:v>
                </c:pt>
                <c:pt idx="207">
                  <c:v>22.350048674253653</c:v>
                </c:pt>
                <c:pt idx="208">
                  <c:v>22.15676467399706</c:v>
                </c:pt>
                <c:pt idx="209">
                  <c:v>21.963743376716337</c:v>
                </c:pt>
                <c:pt idx="210">
                  <c:v>21.77099891776141</c:v>
                </c:pt>
                <c:pt idx="211">
                  <c:v>21.578545958290036</c:v>
                </c:pt>
                <c:pt idx="212">
                  <c:v>21.386399710520791</c:v>
                </c:pt>
                <c:pt idx="213">
                  <c:v>21.194575963633735</c:v>
                </c:pt>
                <c:pt idx="214">
                  <c:v>21.003091110326114</c:v>
                </c:pt>
                <c:pt idx="215">
                  <c:v>20.811962174027471</c:v>
                </c:pt>
                <c:pt idx="216">
                  <c:v>20.621206836779574</c:v>
                </c:pt>
                <c:pt idx="217">
                  <c:v>20.430843467777883</c:v>
                </c:pt>
                <c:pt idx="218">
                  <c:v>20.240891152572587</c:v>
                </c:pt>
                <c:pt idx="219">
                  <c:v>20.051369722921919</c:v>
                </c:pt>
                <c:pt idx="220">
                  <c:v>19.862299787284382</c:v>
                </c:pt>
                <c:pt idx="221">
                  <c:v>19.673702761936049</c:v>
                </c:pt>
                <c:pt idx="222">
                  <c:v>19.485600902690557</c:v>
                </c:pt>
                <c:pt idx="223">
                  <c:v>19.298017337194974</c:v>
                </c:pt>
                <c:pt idx="224">
                  <c:v>19.110976097770905</c:v>
                </c:pt>
                <c:pt idx="225">
                  <c:v>18.924502154759903</c:v>
                </c:pt>
                <c:pt idx="226">
                  <c:v>18.73862145032842</c:v>
                </c:pt>
                <c:pt idx="227">
                  <c:v>18.553360932679425</c:v>
                </c:pt>
                <c:pt idx="228">
                  <c:v>18.368748590608465</c:v>
                </c:pt>
                <c:pt idx="229">
                  <c:v>18.184813488333159</c:v>
                </c:pt>
                <c:pt idx="230">
                  <c:v>18.001585800519106</c:v>
                </c:pt>
                <c:pt idx="231">
                  <c:v>17.819096847409011</c:v>
                </c:pt>
                <c:pt idx="232">
                  <c:v>17.637379129958017</c:v>
                </c:pt>
                <c:pt idx="233">
                  <c:v>17.456466364860511</c:v>
                </c:pt>
                <c:pt idx="234">
                  <c:v>17.276393519346893</c:v>
                </c:pt>
                <c:pt idx="235">
                  <c:v>17.097196845612</c:v>
                </c:pt>
                <c:pt idx="236">
                  <c:v>16.918913914726083</c:v>
                </c:pt>
                <c:pt idx="237">
                  <c:v>16.741583649863937</c:v>
                </c:pt>
                <c:pt idx="238">
                  <c:v>16.565246358673654</c:v>
                </c:pt>
                <c:pt idx="239">
                  <c:v>16.389943764590427</c:v>
                </c:pt>
                <c:pt idx="240">
                  <c:v>16.215719036886803</c:v>
                </c:pt>
                <c:pt idx="241">
                  <c:v>16.042616819231952</c:v>
                </c:pt>
                <c:pt idx="242">
                  <c:v>15.870683256519076</c:v>
                </c:pt>
                <c:pt idx="243">
                  <c:v>15.699966019700668</c:v>
                </c:pt>
                <c:pt idx="244">
                  <c:v>15.530514328355627</c:v>
                </c:pt>
                <c:pt idx="245">
                  <c:v>15.362378970695325</c:v>
                </c:pt>
                <c:pt idx="246">
                  <c:v>15.195612320698892</c:v>
                </c:pt>
                <c:pt idx="247">
                  <c:v>15.0302683520513</c:v>
                </c:pt>
                <c:pt idx="248">
                  <c:v>14.866402648542088</c:v>
                </c:pt>
                <c:pt idx="249">
                  <c:v>14.70407241056858</c:v>
                </c:pt>
                <c:pt idx="250">
                  <c:v>14.543336457372053</c:v>
                </c:pt>
                <c:pt idx="251">
                  <c:v>14.384255224624038</c:v>
                </c:pt>
                <c:pt idx="252">
                  <c:v>14.226890756968837</c:v>
                </c:pt>
                <c:pt idx="253">
                  <c:v>14.071306695119063</c:v>
                </c:pt>
                <c:pt idx="254">
                  <c:v>13.917568257096057</c:v>
                </c:pt>
                <c:pt idx="255">
                  <c:v>13.765742213201085</c:v>
                </c:pt>
                <c:pt idx="256">
                  <c:v>13.615896854306976</c:v>
                </c:pt>
                <c:pt idx="257">
                  <c:v>13.468101953057612</c:v>
                </c:pt>
                <c:pt idx="258">
                  <c:v>13.322428717575534</c:v>
                </c:pt>
                <c:pt idx="259">
                  <c:v>13.178949737286018</c:v>
                </c:pt>
                <c:pt idx="260">
                  <c:v>13.037738920484152</c:v>
                </c:pt>
                <c:pt idx="261">
                  <c:v>12.898871423293626</c:v>
                </c:pt>
                <c:pt idx="262">
                  <c:v>12.762423569692904</c:v>
                </c:pt>
                <c:pt idx="263">
                  <c:v>12.628472762318612</c:v>
                </c:pt>
                <c:pt idx="264">
                  <c:v>12.49709738379627</c:v>
                </c:pt>
                <c:pt idx="265">
                  <c:v>12.368376688394862</c:v>
                </c:pt>
                <c:pt idx="266">
                  <c:v>12.24239068385512</c:v>
                </c:pt>
                <c:pt idx="267">
                  <c:v>12.119220003302082</c:v>
                </c:pt>
                <c:pt idx="268">
                  <c:v>11.998945767219231</c:v>
                </c:pt>
                <c:pt idx="269">
                  <c:v>11.881649435535945</c:v>
                </c:pt>
                <c:pt idx="270">
                  <c:v>11.76741264995929</c:v>
                </c:pt>
                <c:pt idx="271">
                  <c:v>11.656317066768667</c:v>
                </c:pt>
                <c:pt idx="272">
                  <c:v>11.548444180383905</c:v>
                </c:pt>
                <c:pt idx="273">
                  <c:v>11.443875138112261</c:v>
                </c:pt>
                <c:pt idx="274">
                  <c:v>11.342690546583597</c:v>
                </c:pt>
                <c:pt idx="275">
                  <c:v>11.244970270483943</c:v>
                </c:pt>
                <c:pt idx="276">
                  <c:v>11.150793224305275</c:v>
                </c:pt>
                <c:pt idx="277">
                  <c:v>11.060237157934594</c:v>
                </c:pt>
                <c:pt idx="278">
                  <c:v>10.973378437009968</c:v>
                </c:pt>
                <c:pt idx="279">
                  <c:v>10.890291819075417</c:v>
                </c:pt>
                <c:pt idx="280">
                  <c:v>10.811050226662886</c:v>
                </c:pt>
                <c:pt idx="281">
                  <c:v>10.735724518523202</c:v>
                </c:pt>
                <c:pt idx="282">
                  <c:v>10.664383260311345</c:v>
                </c:pt>
                <c:pt idx="283">
                  <c:v>10.597092496107299</c:v>
                </c:pt>
                <c:pt idx="284">
                  <c:v>10.533915522216166</c:v>
                </c:pt>
                <c:pt idx="285">
                  <c:v>10.474912664741352</c:v>
                </c:pt>
                <c:pt idx="286">
                  <c:v>10.420141062461321</c:v>
                </c:pt>
                <c:pt idx="287">
                  <c:v>10.369654456558079</c:v>
                </c:pt>
                <c:pt idx="288">
                  <c:v>10.323502988750459</c:v>
                </c:pt>
                <c:pt idx="289">
                  <c:v>10.281733009365308</c:v>
                </c:pt>
                <c:pt idx="290">
                  <c:v>10.244386896848566</c:v>
                </c:pt>
                <c:pt idx="291">
                  <c:v>10.211502890161935</c:v>
                </c:pt>
                <c:pt idx="292">
                  <c:v>10.18311493543758</c:v>
                </c:pt>
                <c:pt idx="293">
                  <c:v>10.159252548173397</c:v>
                </c:pt>
                <c:pt idx="294">
                  <c:v>10.139940692137868</c:v>
                </c:pt>
                <c:pt idx="295">
                  <c:v>10.125199676031167</c:v>
                </c:pt>
                <c:pt idx="296">
                  <c:v>10.115045068803202</c:v>
                </c:pt>
                <c:pt idx="297">
                  <c:v>10.109487634377514</c:v>
                </c:pt>
                <c:pt idx="298">
                  <c:v>10.10853328636089</c:v>
                </c:pt>
                <c:pt idx="299">
                  <c:v>10.112183063144203</c:v>
                </c:pt>
                <c:pt idx="300">
                  <c:v>10.120433123618538</c:v>
                </c:pt>
                <c:pt idx="301">
                  <c:v>10.133274763545671</c:v>
                </c:pt>
                <c:pt idx="302">
                  <c:v>10.150694452436365</c:v>
                </c:pt>
                <c:pt idx="303">
                  <c:v>10.172673890605616</c:v>
                </c:pt>
                <c:pt idx="304">
                  <c:v>10.199190085897724</c:v>
                </c:pt>
                <c:pt idx="305">
                  <c:v>10.230215449401962</c:v>
                </c:pt>
                <c:pt idx="306">
                  <c:v>10.265717909319834</c:v>
                </c:pt>
                <c:pt idx="307">
                  <c:v>10.305661041997066</c:v>
                </c:pt>
                <c:pt idx="308">
                  <c:v>10.350004219000276</c:v>
                </c:pt>
                <c:pt idx="309">
                  <c:v>10.398702769002337</c:v>
                </c:pt>
                <c:pt idx="310">
                  <c:v>10.451708153138068</c:v>
                </c:pt>
                <c:pt idx="311">
                  <c:v>10.508968152413885</c:v>
                </c:pt>
                <c:pt idx="312">
                  <c:v>10.57042706569103</c:v>
                </c:pt>
                <c:pt idx="313">
                  <c:v>10.636025916719438</c:v>
                </c:pt>
                <c:pt idx="314">
                  <c:v>10.705702668676217</c:v>
                </c:pt>
                <c:pt idx="315">
                  <c:v>10.779392444655372</c:v>
                </c:pt>
                <c:pt idx="316">
                  <c:v>10.857027752570998</c:v>
                </c:pt>
                <c:pt idx="317">
                  <c:v>10.938538712960966</c:v>
                </c:pt>
                <c:pt idx="318">
                  <c:v>11.023853288226652</c:v>
                </c:pt>
                <c:pt idx="319">
                  <c:v>11.112897511898627</c:v>
                </c:pt>
                <c:pt idx="320">
                  <c:v>11.20559571659185</c:v>
                </c:pt>
                <c:pt idx="321">
                  <c:v>11.301870759391139</c:v>
                </c:pt>
                <c:pt idx="322">
                  <c:v>11.40164424350008</c:v>
                </c:pt>
                <c:pt idx="323">
                  <c:v>11.504836735079554</c:v>
                </c:pt>
                <c:pt idx="324">
                  <c:v>11.611367974306734</c:v>
                </c:pt>
                <c:pt idx="325">
                  <c:v>11.721157079784915</c:v>
                </c:pt>
                <c:pt idx="326">
                  <c:v>11.834122745544294</c:v>
                </c:pt>
                <c:pt idx="327">
                  <c:v>11.950183429979866</c:v>
                </c:pt>
                <c:pt idx="328">
                  <c:v>12.069257536172033</c:v>
                </c:pt>
                <c:pt idx="329">
                  <c:v>12.19126358314681</c:v>
                </c:pt>
                <c:pt idx="330">
                  <c:v>12.316120367721073</c:v>
                </c:pt>
                <c:pt idx="331">
                  <c:v>12.443747116680795</c:v>
                </c:pt>
                <c:pt idx="332">
                  <c:v>12.574063629123312</c:v>
                </c:pt>
                <c:pt idx="333">
                  <c:v>12.706990408881273</c:v>
                </c:pt>
                <c:pt idx="334">
                  <c:v>12.842448787020022</c:v>
                </c:pt>
                <c:pt idx="335">
                  <c:v>12.980361034472004</c:v>
                </c:pt>
                <c:pt idx="336">
                  <c:v>13.120650464933108</c:v>
                </c:pt>
                <c:pt idx="337">
                  <c:v>13.263241528204716</c:v>
                </c:pt>
                <c:pt idx="338">
                  <c:v>13.408059894212379</c:v>
                </c:pt>
                <c:pt idx="339">
                  <c:v>13.555032527975523</c:v>
                </c:pt>
                <c:pt idx="340">
                  <c:v>13.704087755840151</c:v>
                </c:pt>
                <c:pt idx="341">
                  <c:v>13.855155323315092</c:v>
                </c:pt>
                <c:pt idx="342">
                  <c:v>14.008166444877997</c:v>
                </c:pt>
                <c:pt idx="343">
                  <c:v>14.163053846135039</c:v>
                </c:pt>
                <c:pt idx="344">
                  <c:v>14.319751798733369</c:v>
                </c:pt>
                <c:pt idx="345">
                  <c:v>14.478196148433229</c:v>
                </c:pt>
                <c:pt idx="346">
                  <c:v>14.638324336753481</c:v>
                </c:pt>
                <c:pt idx="347">
                  <c:v>14.800075416602301</c:v>
                </c:pt>
                <c:pt idx="348">
                  <c:v>14.963390062306887</c:v>
                </c:pt>
                <c:pt idx="349">
                  <c:v>15.128210574446797</c:v>
                </c:pt>
                <c:pt idx="350">
                  <c:v>15.294480879890592</c:v>
                </c:pt>
                <c:pt idx="351">
                  <c:v>15.462146527423888</c:v>
                </c:pt>
                <c:pt idx="352">
                  <c:v>15.631154679346135</c:v>
                </c:pt>
                <c:pt idx="353">
                  <c:v>15.80145409939977</c:v>
                </c:pt>
                <c:pt idx="354">
                  <c:v>15.972995137381091</c:v>
                </c:pt>
                <c:pt idx="355">
                  <c:v>16.145729710765934</c:v>
                </c:pt>
                <c:pt idx="356">
                  <c:v>16.31961128366893</c:v>
                </c:pt>
                <c:pt idx="357">
                  <c:v>16.494594843436687</c:v>
                </c:pt>
                <c:pt idx="358">
                  <c:v>16.670636875159367</c:v>
                </c:pt>
                <c:pt idx="359">
                  <c:v>16.847695334368279</c:v>
                </c:pt>
                <c:pt idx="360">
                  <c:v>17.025729618170129</c:v>
                </c:pt>
                <c:pt idx="361">
                  <c:v>17.204700535051487</c:v>
                </c:pt>
                <c:pt idx="362">
                  <c:v>17.384570273571754</c:v>
                </c:pt>
                <c:pt idx="363">
                  <c:v>17.565302370146011</c:v>
                </c:pt>
                <c:pt idx="364">
                  <c:v>17.746861676104658</c:v>
                </c:pt>
                <c:pt idx="365">
                  <c:v>17.929214324200487</c:v>
                </c:pt>
                <c:pt idx="366">
                  <c:v>18.112327694722122</c:v>
                </c:pt>
                <c:pt idx="367">
                  <c:v>18.296170381355385</c:v>
                </c:pt>
                <c:pt idx="368">
                  <c:v>18.480712156925684</c:v>
                </c:pt>
                <c:pt idx="369">
                  <c:v>18.665923939137965</c:v>
                </c:pt>
                <c:pt idx="370">
                  <c:v>18.851777756422138</c:v>
                </c:pt>
                <c:pt idx="371">
                  <c:v>19.038246713979923</c:v>
                </c:pt>
                <c:pt idx="372">
                  <c:v>19.22530496011824</c:v>
                </c:pt>
                <c:pt idx="373">
                  <c:v>19.412927652945871</c:v>
                </c:pt>
                <c:pt idx="374">
                  <c:v>19.601090927500341</c:v>
                </c:pt>
                <c:pt idx="375">
                  <c:v>19.789771863363747</c:v>
                </c:pt>
                <c:pt idx="376">
                  <c:v>19.978948452819079</c:v>
                </c:pt>
                <c:pt idx="377">
                  <c:v>20.168599569591109</c:v>
                </c:pt>
                <c:pt idx="378">
                  <c:v>20.358704938208501</c:v>
                </c:pt>
                <c:pt idx="379">
                  <c:v>20.549245104020294</c:v>
                </c:pt>
                <c:pt idx="380">
                  <c:v>20.740201403891444</c:v>
                </c:pt>
                <c:pt idx="381">
                  <c:v>20.931555937598283</c:v>
                </c:pt>
                <c:pt idx="382">
                  <c:v>21.1232915399411</c:v>
                </c:pt>
                <c:pt idx="383">
                  <c:v>21.315391753585718</c:v>
                </c:pt>
                <c:pt idx="384">
                  <c:v>21.50784080264259</c:v>
                </c:pt>
                <c:pt idx="385">
                  <c:v>21.700623566987804</c:v>
                </c:pt>
                <c:pt idx="386">
                  <c:v>21.893725557328636</c:v>
                </c:pt>
                <c:pt idx="387">
                  <c:v>22.087132891012764</c:v>
                </c:pt>
                <c:pt idx="388">
                  <c:v>22.280832268578123</c:v>
                </c:pt>
                <c:pt idx="389">
                  <c:v>22.474810951037508</c:v>
                </c:pt>
                <c:pt idx="390">
                  <c:v>22.66905673789153</c:v>
                </c:pt>
                <c:pt idx="391">
                  <c:v>22.863557945860062</c:v>
                </c:pt>
                <c:pt idx="392">
                  <c:v>23.058303388322873</c:v>
                </c:pt>
                <c:pt idx="393">
                  <c:v>23.253282355457017</c:v>
                </c:pt>
                <c:pt idx="394">
                  <c:v>23.448484595058328</c:v>
                </c:pt>
                <c:pt idx="395">
                  <c:v>23.643900294034879</c:v>
                </c:pt>
                <c:pt idx="396">
                  <c:v>23.83952006055538</c:v>
                </c:pt>
                <c:pt idx="397">
                  <c:v>24.035334906840479</c:v>
                </c:pt>
                <c:pt idx="398">
                  <c:v>24.231336232579572</c:v>
                </c:pt>
                <c:pt idx="399">
                  <c:v>24.427515808957988</c:v>
                </c:pt>
                <c:pt idx="400">
                  <c:v>24.623865763278388</c:v>
                </c:pt>
                <c:pt idx="401">
                  <c:v>24.820378564159768</c:v>
                </c:pt>
                <c:pt idx="402">
                  <c:v>25.017047007298778</c:v>
                </c:pt>
                <c:pt idx="403">
                  <c:v>25.213864201774797</c:v>
                </c:pt>
                <c:pt idx="404">
                  <c:v>25.41082355688426</c:v>
                </c:pt>
                <c:pt idx="405">
                  <c:v>25.607918769487462</c:v>
                </c:pt>
                <c:pt idx="406">
                  <c:v>25.805143811850179</c:v>
                </c:pt>
                <c:pt idx="407">
                  <c:v>26.002492919966052</c:v>
                </c:pt>
                <c:pt idx="408">
                  <c:v>26.199960582342324</c:v>
                </c:pt>
                <c:pt idx="409">
                  <c:v>26.397541529234392</c:v>
                </c:pt>
                <c:pt idx="410">
                  <c:v>26.595230722312884</c:v>
                </c:pt>
                <c:pt idx="411">
                  <c:v>26.79302334474858</c:v>
                </c:pt>
                <c:pt idx="412">
                  <c:v>26.990914791700593</c:v>
                </c:pt>
                <c:pt idx="413">
                  <c:v>27.188900661192996</c:v>
                </c:pt>
                <c:pt idx="414">
                  <c:v>27.386976745366006</c:v>
                </c:pt>
                <c:pt idx="415">
                  <c:v>27.585139022088171</c:v>
                </c:pt>
                <c:pt idx="416">
                  <c:v>27.783383646915066</c:v>
                </c:pt>
                <c:pt idx="417">
                  <c:v>27.981706945383706</c:v>
                </c:pt>
                <c:pt idx="418">
                  <c:v>28.180105405627025</c:v>
                </c:pt>
                <c:pt idx="419">
                  <c:v>28.378575671298588</c:v>
                </c:pt>
                <c:pt idx="420">
                  <c:v>28.57711453479487</c:v>
                </c:pt>
                <c:pt idx="421">
                  <c:v>28.775718930762544</c:v>
                </c:pt>
                <c:pt idx="422">
                  <c:v>28.974385929881127</c:v>
                </c:pt>
                <c:pt idx="423">
                  <c:v>29.173112732908987</c:v>
                </c:pt>
                <c:pt idx="424">
                  <c:v>29.371896664982685</c:v>
                </c:pt>
                <c:pt idx="425">
                  <c:v>29.570735170159892</c:v>
                </c:pt>
                <c:pt idx="426">
                  <c:v>29.769625806195062</c:v>
                </c:pt>
                <c:pt idx="427">
                  <c:v>29.968566239539665</c:v>
                </c:pt>
                <c:pt idx="428">
                  <c:v>30.167554240556292</c:v>
                </c:pt>
                <c:pt idx="429">
                  <c:v>30.366587678940231</c:v>
                </c:pt>
                <c:pt idx="430">
                  <c:v>30.565664519337478</c:v>
                </c:pt>
                <c:pt idx="431">
                  <c:v>30.764782817152611</c:v>
                </c:pt>
                <c:pt idx="432">
                  <c:v>30.963940714537923</c:v>
                </c:pt>
                <c:pt idx="433">
                  <c:v>31.16313643655716</c:v>
                </c:pt>
                <c:pt idx="434">
                  <c:v>31.362368287515629</c:v>
                </c:pt>
                <c:pt idx="435">
                  <c:v>31.56163464745029</c:v>
                </c:pt>
                <c:pt idx="436">
                  <c:v>31.760933968772225</c:v>
                </c:pt>
                <c:pt idx="437">
                  <c:v>31.960264773056657</c:v>
                </c:pt>
                <c:pt idx="438">
                  <c:v>32.159625647972938</c:v>
                </c:pt>
                <c:pt idx="439">
                  <c:v>32.359015244348768</c:v>
                </c:pt>
                <c:pt idx="440">
                  <c:v>32.55843227336328</c:v>
                </c:pt>
                <c:pt idx="441">
                  <c:v>32.757875503863353</c:v>
                </c:pt>
                <c:pt idx="442">
                  <c:v>32.957343759798</c:v>
                </c:pt>
                <c:pt idx="443">
                  <c:v>33.15683591776525</c:v>
                </c:pt>
                <c:pt idx="444">
                  <c:v>33.356350904667408</c:v>
                </c:pt>
                <c:pt idx="445">
                  <c:v>33.555887695469458</c:v>
                </c:pt>
                <c:pt idx="446">
                  <c:v>33.755445311056718</c:v>
                </c:pt>
                <c:pt idx="447">
                  <c:v>33.955022816186606</c:v>
                </c:pt>
                <c:pt idx="448">
                  <c:v>34.154619317531242</c:v>
                </c:pt>
                <c:pt idx="449">
                  <c:v>34.354233961806727</c:v>
                </c:pt>
                <c:pt idx="450">
                  <c:v>34.553865933985101</c:v>
                </c:pt>
                <c:pt idx="451">
                  <c:v>34.753514455585517</c:v>
                </c:pt>
                <c:pt idx="452">
                  <c:v>34.953178783041167</c:v>
                </c:pt>
                <c:pt idx="453">
                  <c:v>35.152858206138788</c:v>
                </c:pt>
                <c:pt idx="454">
                  <c:v>35.352552046527386</c:v>
                </c:pt>
                <c:pt idx="455">
                  <c:v>35.552259656293366</c:v>
                </c:pt>
                <c:pt idx="456">
                  <c:v>35.751980416598393</c:v>
                </c:pt>
                <c:pt idx="457">
                  <c:v>35.951713736378814</c:v>
                </c:pt>
                <c:pt idx="458">
                  <c:v>36.15145905110203</c:v>
                </c:pt>
                <c:pt idx="459">
                  <c:v>36.351215821578911</c:v>
                </c:pt>
                <c:pt idx="460">
                  <c:v>36.550983532828731</c:v>
                </c:pt>
                <c:pt idx="461">
                  <c:v>36.750761692994843</c:v>
                </c:pt>
                <c:pt idx="462">
                  <c:v>36.950549832308482</c:v>
                </c:pt>
                <c:pt idx="463">
                  <c:v>37.150347502099279</c:v>
                </c:pt>
                <c:pt idx="464">
                  <c:v>37.350154273849434</c:v>
                </c:pt>
                <c:pt idx="465">
                  <c:v>37.549969738290187</c:v>
                </c:pt>
                <c:pt idx="466">
                  <c:v>37.749793504539049</c:v>
                </c:pt>
                <c:pt idx="467">
                  <c:v>37.949625199275033</c:v>
                </c:pt>
                <c:pt idx="468">
                  <c:v>38.149464465951013</c:v>
                </c:pt>
                <c:pt idx="469">
                  <c:v>38.349310964041365</c:v>
                </c:pt>
                <c:pt idx="470">
                  <c:v>38.549164368323041</c:v>
                </c:pt>
                <c:pt idx="471">
                  <c:v>38.74902436818909</c:v>
                </c:pt>
                <c:pt idx="472">
                  <c:v>38.948890666992391</c:v>
                </c:pt>
                <c:pt idx="473">
                  <c:v>39.148762981419402</c:v>
                </c:pt>
                <c:pt idx="474">
                  <c:v>39.348641040891515</c:v>
                </c:pt>
                <c:pt idx="475">
                  <c:v>39.548524586993182</c:v>
                </c:pt>
                <c:pt idx="476">
                  <c:v>39.748413372926031</c:v>
                </c:pt>
                <c:pt idx="477">
                  <c:v>39.948307162987021</c:v>
                </c:pt>
                <c:pt idx="478">
                  <c:v>40.148205732070252</c:v>
                </c:pt>
                <c:pt idx="479">
                  <c:v>40.348108865190824</c:v>
                </c:pt>
                <c:pt idx="480">
                  <c:v>40.548016357030711</c:v>
                </c:pt>
                <c:pt idx="481">
                  <c:v>40.747928011503745</c:v>
                </c:pt>
                <c:pt idx="482">
                  <c:v>40.947843641341642</c:v>
                </c:pt>
                <c:pt idx="483">
                  <c:v>41.147763067697234</c:v>
                </c:pt>
                <c:pt idx="484">
                  <c:v>41.347686119766472</c:v>
                </c:pt>
                <c:pt idx="485">
                  <c:v>41.547612634426613</c:v>
                </c:pt>
                <c:pt idx="486">
                  <c:v>41.747542455891406</c:v>
                </c:pt>
                <c:pt idx="487">
                  <c:v>41.947475435381286</c:v>
                </c:pt>
                <c:pt idx="488">
                  <c:v>42.147411430808162</c:v>
                </c:pt>
                <c:pt idx="489">
                  <c:v>42.347350306475128</c:v>
                </c:pt>
                <c:pt idx="490">
                  <c:v>42.547291932788617</c:v>
                </c:pt>
                <c:pt idx="491">
                  <c:v>42.747236185984519</c:v>
                </c:pt>
                <c:pt idx="492">
                  <c:v>42.947182947865912</c:v>
                </c:pt>
                <c:pt idx="493">
                  <c:v>43.147132105552757</c:v>
                </c:pt>
                <c:pt idx="494">
                  <c:v>43.347083551242747</c:v>
                </c:pt>
                <c:pt idx="495">
                  <c:v>43.547037181983328</c:v>
                </c:pt>
                <c:pt idx="496">
                  <c:v>43.746992899453183</c:v>
                </c:pt>
                <c:pt idx="497">
                  <c:v>43.946950609754424</c:v>
                </c:pt>
                <c:pt idx="498">
                  <c:v>44.14691022321346</c:v>
                </c:pt>
                <c:pt idx="499">
                  <c:v>44.346871654190956</c:v>
                </c:pt>
                <c:pt idx="500">
                  <c:v>44.546834820900607</c:v>
                </c:pt>
                <c:pt idx="501">
                  <c:v>44.74679964523542</c:v>
                </c:pt>
                <c:pt idx="502">
                  <c:v>44.946766052603103</c:v>
                </c:pt>
                <c:pt idx="503">
                  <c:v>45.146733971766949</c:v>
                </c:pt>
                <c:pt idx="504">
                  <c:v>45.34670333469564</c:v>
                </c:pt>
                <c:pt idx="505">
                  <c:v>45.546674076418697</c:v>
                </c:pt>
                <c:pt idx="506">
                  <c:v>45.746646134889247</c:v>
                </c:pt>
                <c:pt idx="507">
                  <c:v>45.946619450851919</c:v>
                </c:pt>
                <c:pt idx="508">
                  <c:v>46.146593967717536</c:v>
                </c:pt>
                <c:pt idx="509">
                  <c:v>46.346569631443295</c:v>
                </c:pt>
                <c:pt idx="510">
                  <c:v>46.5465463904182</c:v>
                </c:pt>
                <c:pt idx="511">
                  <c:v>46.746524195353452</c:v>
                </c:pt>
                <c:pt idx="512">
                  <c:v>46.946502999178236</c:v>
                </c:pt>
                <c:pt idx="513">
                  <c:v>47.146482756939704</c:v>
                </c:pt>
                <c:pt idx="514">
                  <c:v>47.346463425708066</c:v>
                </c:pt>
                <c:pt idx="515">
                  <c:v>47.546444964484955</c:v>
                </c:pt>
                <c:pt idx="516">
                  <c:v>47.746427334117058</c:v>
                </c:pt>
                <c:pt idx="517">
                  <c:v>47.946410497213094</c:v>
                </c:pt>
                <c:pt idx="518">
                  <c:v>48.146394418064148</c:v>
                </c:pt>
                <c:pt idx="519">
                  <c:v>48.346379062568275</c:v>
                </c:pt>
                <c:pt idx="520">
                  <c:v>48.546364398158239</c:v>
                </c:pt>
                <c:pt idx="521">
                  <c:v>48.746350393732328</c:v>
                </c:pt>
                <c:pt idx="522">
                  <c:v>48.946337019588356</c:v>
                </c:pt>
                <c:pt idx="523">
                  <c:v>49.146324247360681</c:v>
                </c:pt>
                <c:pt idx="524">
                  <c:v>49.346312049960382</c:v>
                </c:pt>
                <c:pt idx="525">
                  <c:v>49.546300401517641</c:v>
                </c:pt>
                <c:pt idx="526">
                  <c:v>49.746289277326532</c:v>
                </c:pt>
                <c:pt idx="527">
                  <c:v>49.946278653793321</c:v>
                </c:pt>
                <c:pt idx="528">
                  <c:v>50.146268508385646</c:v>
                </c:pt>
                <c:pt idx="529">
                  <c:v>50.346258819585429</c:v>
                </c:pt>
                <c:pt idx="530">
                  <c:v>50.546249566842967</c:v>
                </c:pt>
                <c:pt idx="531">
                  <c:v>50.74624073053343</c:v>
                </c:pt>
                <c:pt idx="532">
                  <c:v>50.946232291914924</c:v>
                </c:pt>
                <c:pt idx="533">
                  <c:v>51.1462242330891</c:v>
                </c:pt>
                <c:pt idx="534">
                  <c:v>51.346216536963141</c:v>
                </c:pt>
                <c:pt idx="535">
                  <c:v>51.546209187213677</c:v>
                </c:pt>
                <c:pt idx="536">
                  <c:v>51.746202168251571</c:v>
                </c:pt>
                <c:pt idx="537">
                  <c:v>51.94619546518949</c:v>
                </c:pt>
                <c:pt idx="538">
                  <c:v>52.14618906381002</c:v>
                </c:pt>
                <c:pt idx="539">
                  <c:v>52.346182950535734</c:v>
                </c:pt>
                <c:pt idx="540">
                  <c:v>52.546177112400123</c:v>
                </c:pt>
                <c:pt idx="541">
                  <c:v>52.746171537020182</c:v>
                </c:pt>
              </c:numCache>
            </c:numRef>
          </c:yVal>
          <c:smooth val="1"/>
          <c:extLst>
            <c:ext xmlns:c16="http://schemas.microsoft.com/office/drawing/2014/chart" uri="{C3380CC4-5D6E-409C-BE32-E72D297353CC}">
              <c16:uniqueId val="{00000000-F7C0-4EEE-87E3-EE720F12A204}"/>
            </c:ext>
          </c:extLst>
        </c:ser>
        <c:dLbls>
          <c:showLegendKey val="0"/>
          <c:showVal val="0"/>
          <c:showCatName val="0"/>
          <c:showSerName val="0"/>
          <c:showPercent val="0"/>
          <c:showBubbleSize val="0"/>
        </c:dLbls>
        <c:axId val="555304064"/>
        <c:axId val="555305984"/>
      </c:scatterChart>
      <c:scatterChart>
        <c:scatterStyle val="smoothMarker"/>
        <c:varyColors val="0"/>
        <c:ser>
          <c:idx val="1"/>
          <c:order val="1"/>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Loop_Modeling!$AR$19:$AR$560</c:f>
              <c:numCache>
                <c:formatCode>General</c:formatCode>
                <c:ptCount val="542"/>
                <c:pt idx="0">
                  <c:v>-9.240102515998867</c:v>
                </c:pt>
                <c:pt idx="1">
                  <c:v>-9.4514912988580413</c:v>
                </c:pt>
                <c:pt idx="2">
                  <c:v>-9.6675354042930426</c:v>
                </c:pt>
                <c:pt idx="3">
                  <c:v>-9.8883247923461841</c:v>
                </c:pt>
                <c:pt idx="4">
                  <c:v>-10.113950283025272</c:v>
                </c:pt>
                <c:pt idx="5">
                  <c:v>-10.344503497923114</c:v>
                </c:pt>
                <c:pt idx="6">
                  <c:v>-10.580076795992737</c:v>
                </c:pt>
                <c:pt idx="7">
                  <c:v>-10.820763203145644</c:v>
                </c:pt>
                <c:pt idx="8">
                  <c:v>-11.066656335327339</c:v>
                </c:pt>
                <c:pt idx="9">
                  <c:v>-11.317850314719461</c:v>
                </c:pt>
                <c:pt idx="10">
                  <c:v>-11.574439678707661</c:v>
                </c:pt>
                <c:pt idx="11">
                  <c:v>-11.836519281249805</c:v>
                </c:pt>
                <c:pt idx="12">
                  <c:v>-12.104184186272821</c:v>
                </c:pt>
                <c:pt idx="13">
                  <c:v>-12.377529552724743</c:v>
                </c:pt>
                <c:pt idx="14">
                  <c:v>-12.656650510904765</c:v>
                </c:pt>
                <c:pt idx="15">
                  <c:v>-12.94164202969983</c:v>
                </c:pt>
                <c:pt idx="16">
                  <c:v>-13.232598774352843</c:v>
                </c:pt>
                <c:pt idx="17">
                  <c:v>-13.529614954400644</c:v>
                </c:pt>
                <c:pt idx="18">
                  <c:v>-13.832784161425598</c:v>
                </c:pt>
                <c:pt idx="19">
                  <c:v>-14.142199196278654</c:v>
                </c:pt>
                <c:pt idx="20">
                  <c:v>-14.457951885448145</c:v>
                </c:pt>
                <c:pt idx="21">
                  <c:v>-14.780132886272819</c:v>
                </c:pt>
                <c:pt idx="22">
                  <c:v>-15.108831480719038</c:v>
                </c:pt>
                <c:pt idx="23">
                  <c:v>-15.444135357479027</c:v>
                </c:pt>
                <c:pt idx="24">
                  <c:v>-15.786130382177754</c:v>
                </c:pt>
                <c:pt idx="25">
                  <c:v>-16.134900355527634</c:v>
                </c:pt>
                <c:pt idx="26">
                  <c:v>-16.490526759308832</c:v>
                </c:pt>
                <c:pt idx="27">
                  <c:v>-16.853088490121301</c:v>
                </c:pt>
                <c:pt idx="28">
                  <c:v>-17.222661580908888</c:v>
                </c:pt>
                <c:pt idx="29">
                  <c:v>-17.599318910333725</c:v>
                </c:pt>
                <c:pt idx="30">
                  <c:v>-17.983129900154527</c:v>
                </c:pt>
                <c:pt idx="31">
                  <c:v>-18.37416020085406</c:v>
                </c:pt>
                <c:pt idx="32">
                  <c:v>-18.77247136585267</c:v>
                </c:pt>
                <c:pt idx="33">
                  <c:v>-19.178120514756127</c:v>
                </c:pt>
                <c:pt idx="34">
                  <c:v>-19.591159986191428</c:v>
                </c:pt>
                <c:pt idx="35">
                  <c:v>-20.011636980914258</c:v>
                </c:pt>
                <c:pt idx="36">
                  <c:v>-20.439593195997318</c:v>
                </c:pt>
                <c:pt idx="37">
                  <c:v>-20.875064451047614</c:v>
                </c:pt>
                <c:pt idx="38">
                  <c:v>-21.318080307549529</c:v>
                </c:pt>
                <c:pt idx="39">
                  <c:v>-21.768663682578534</c:v>
                </c:pt>
                <c:pt idx="40">
                  <c:v>-22.22683045829217</c:v>
                </c:pt>
                <c:pt idx="41">
                  <c:v>-22.692589088767566</c:v>
                </c:pt>
                <c:pt idx="42">
                  <c:v>-23.165940205918499</c:v>
                </c:pt>
                <c:pt idx="43">
                  <c:v>-23.646876226394891</c:v>
                </c:pt>
                <c:pt idx="44">
                  <c:v>-24.135380961536711</c:v>
                </c:pt>
                <c:pt idx="45">
                  <c:v>-24.631429232616213</c:v>
                </c:pt>
                <c:pt idx="46">
                  <c:v>-25.134986493766615</c:v>
                </c:pt>
                <c:pt idx="47">
                  <c:v>-25.646008465148061</c:v>
                </c:pt>
                <c:pt idx="48">
                  <c:v>-26.164440779045567</c:v>
                </c:pt>
                <c:pt idx="49">
                  <c:v>-26.690218641725355</c:v>
                </c:pt>
                <c:pt idx="50">
                  <c:v>-27.2232665139902</c:v>
                </c:pt>
                <c:pt idx="51">
                  <c:v>-27.763497813472604</c:v>
                </c:pt>
                <c:pt idx="52">
                  <c:v>-28.310814641773241</c:v>
                </c:pt>
                <c:pt idx="53">
                  <c:v>-28.865107539607813</c:v>
                </c:pt>
                <c:pt idx="54">
                  <c:v>-29.426255273132305</c:v>
                </c:pt>
                <c:pt idx="55">
                  <c:v>-29.994124654614719</c:v>
                </c:pt>
                <c:pt idx="56">
                  <c:v>-30.568570400561629</c:v>
                </c:pt>
                <c:pt idx="57">
                  <c:v>-31.14943503033037</c:v>
                </c:pt>
                <c:pt idx="58">
                  <c:v>-31.736548808122198</c:v>
                </c:pt>
                <c:pt idx="59">
                  <c:v>-32.329729731086054</c:v>
                </c:pt>
                <c:pt idx="60">
                  <c:v>-32.928783566055536</c:v>
                </c:pt>
                <c:pt idx="61">
                  <c:v>-33.533503937177301</c:v>
                </c:pt>
                <c:pt idx="62">
                  <c:v>-34.143672466396616</c:v>
                </c:pt>
                <c:pt idx="63">
                  <c:v>-34.759058968427269</c:v>
                </c:pt>
                <c:pt idx="64">
                  <c:v>-35.379421701445288</c:v>
                </c:pt>
                <c:pt idx="65">
                  <c:v>-36.004507674332153</c:v>
                </c:pt>
                <c:pt idx="66">
                  <c:v>-36.63405301084655</c:v>
                </c:pt>
                <c:pt idx="67">
                  <c:v>-37.267783370610729</c:v>
                </c:pt>
                <c:pt idx="68">
                  <c:v>-37.905414426308823</c:v>
                </c:pt>
                <c:pt idx="69">
                  <c:v>-38.546652395959399</c:v>
                </c:pt>
                <c:pt idx="70">
                  <c:v>-39.191194628604578</c:v>
                </c:pt>
                <c:pt idx="71">
                  <c:v>-39.838730241218073</c:v>
                </c:pt>
                <c:pt idx="72">
                  <c:v>-40.488940804109731</c:v>
                </c:pt>
                <c:pt idx="73">
                  <c:v>-41.141501071585964</c:v>
                </c:pt>
                <c:pt idx="74">
                  <c:v>-41.796079754139001</c:v>
                </c:pt>
                <c:pt idx="75">
                  <c:v>-42.452340327975115</c:v>
                </c:pt>
                <c:pt idx="76">
                  <c:v>-43.109941877262578</c:v>
                </c:pt>
                <c:pt idx="77">
                  <c:v>-43.768539964116819</c:v>
                </c:pt>
                <c:pt idx="78">
                  <c:v>-44.427787521004298</c:v>
                </c:pt>
                <c:pt idx="79">
                  <c:v>-45.087335759990822</c:v>
                </c:pt>
                <c:pt idx="80">
                  <c:v>-45.746835093055552</c:v>
                </c:pt>
                <c:pt idx="81">
                  <c:v>-46.405936057564766</c:v>
                </c:pt>
                <c:pt idx="82">
                  <c:v>-47.064290240924834</c:v>
                </c:pt>
                <c:pt idx="83">
                  <c:v>-47.721551198467957</c:v>
                </c:pt>
                <c:pt idx="84">
                  <c:v>-48.377375358674911</c:v>
                </c:pt>
                <c:pt idx="85">
                  <c:v>-49.031422910016047</c:v>
                </c:pt>
                <c:pt idx="86">
                  <c:v>-49.683358663895092</c:v>
                </c:pt>
                <c:pt idx="87">
                  <c:v>-50.332852888463407</c:v>
                </c:pt>
                <c:pt idx="88">
                  <c:v>-50.97958210841783</c:v>
                </c:pt>
                <c:pt idx="89">
                  <c:v>-51.623229866273093</c:v>
                </c:pt>
                <c:pt idx="90">
                  <c:v>-52.263487441045612</c:v>
                </c:pt>
                <c:pt idx="91">
                  <c:v>-52.90005452074459</c:v>
                </c:pt>
                <c:pt idx="92">
                  <c:v>-53.532639825576112</c:v>
                </c:pt>
                <c:pt idx="93">
                  <c:v>-54.160961679274422</c:v>
                </c:pt>
                <c:pt idx="94">
                  <c:v>-54.784748526514264</c:v>
                </c:pt>
                <c:pt idx="95">
                  <c:v>-55.403739394883708</c:v>
                </c:pt>
                <c:pt idx="96">
                  <c:v>-56.017684300429508</c:v>
                </c:pt>
                <c:pt idx="97">
                  <c:v>-56.626344596308712</c:v>
                </c:pt>
                <c:pt idx="98">
                  <c:v>-57.229493264565768</c:v>
                </c:pt>
                <c:pt idx="99">
                  <c:v>-57.826915151543069</c:v>
                </c:pt>
                <c:pt idx="100">
                  <c:v>-58.418407147860989</c:v>
                </c:pt>
                <c:pt idx="101">
                  <c:v>-59.003778314323505</c:v>
                </c:pt>
                <c:pt idx="102">
                  <c:v>-59.582849955467395</c:v>
                </c:pt>
                <c:pt idx="103">
                  <c:v>-60.155455642805222</c:v>
                </c:pt>
                <c:pt idx="104">
                  <c:v>-60.721441190099959</c:v>
                </c:pt>
                <c:pt idx="105">
                  <c:v>-61.280664583251784</c:v>
                </c:pt>
                <c:pt idx="106">
                  <c:v>-61.832995867574077</c:v>
                </c:pt>
                <c:pt idx="107">
                  <c:v>-62.378316995400063</c:v>
                </c:pt>
                <c:pt idx="108">
                  <c:v>-62.916521637072378</c:v>
                </c:pt>
                <c:pt idx="109">
                  <c:v>-63.447514958444607</c:v>
                </c:pt>
                <c:pt idx="110">
                  <c:v>-63.971213368065662</c:v>
                </c:pt>
                <c:pt idx="111">
                  <c:v>-64.487544237220604</c:v>
                </c:pt>
                <c:pt idx="112">
                  <c:v>-64.996445595976709</c:v>
                </c:pt>
                <c:pt idx="113">
                  <c:v>-65.497865808326679</c:v>
                </c:pt>
                <c:pt idx="114">
                  <c:v>-65.991763229442284</c:v>
                </c:pt>
                <c:pt idx="115">
                  <c:v>-66.478105847952307</c:v>
                </c:pt>
                <c:pt idx="116">
                  <c:v>-66.9568709160324</c:v>
                </c:pt>
                <c:pt idx="117">
                  <c:v>-67.42804456996825</c:v>
                </c:pt>
                <c:pt idx="118">
                  <c:v>-67.891621443698668</c:v>
                </c:pt>
                <c:pt idx="119">
                  <c:v>-68.347604277694103</c:v>
                </c:pt>
                <c:pt idx="120">
                  <c:v>-68.796003525361158</c:v>
                </c:pt>
                <c:pt idx="121">
                  <c:v>-69.236836958998182</c:v>
                </c:pt>
                <c:pt idx="122">
                  <c:v>-69.670129277157713</c:v>
                </c:pt>
                <c:pt idx="123">
                  <c:v>-70.095911715107974</c:v>
                </c:pt>
                <c:pt idx="124">
                  <c:v>-70.514221659911627</c:v>
                </c:pt>
                <c:pt idx="125">
                  <c:v>-70.925102271490204</c:v>
                </c:pt>
                <c:pt idx="126">
                  <c:v>-71.328602110874215</c:v>
                </c:pt>
                <c:pt idx="127">
                  <c:v>-71.724774776695099</c:v>
                </c:pt>
                <c:pt idx="128">
                  <c:v>-72.113678550829491</c:v>
                </c:pt>
                <c:pt idx="129">
                  <c:v>-72.495376053971327</c:v>
                </c:pt>
                <c:pt idx="130">
                  <c:v>-72.869933911774055</c:v>
                </c:pt>
                <c:pt idx="131">
                  <c:v>-73.237422432094078</c:v>
                </c:pt>
                <c:pt idx="132">
                  <c:v>-73.597915293746354</c:v>
                </c:pt>
                <c:pt idx="133">
                  <c:v>-73.951489247087792</c:v>
                </c:pt>
                <c:pt idx="134">
                  <c:v>-74.29822382664463</c:v>
                </c:pt>
                <c:pt idx="135">
                  <c:v>-74.638201075917976</c:v>
                </c:pt>
                <c:pt idx="136">
                  <c:v>-74.971505284423117</c:v>
                </c:pt>
                <c:pt idx="137">
                  <c:v>-75.298222736948574</c:v>
                </c:pt>
                <c:pt idx="138">
                  <c:v>-75.61844147495799</c:v>
                </c:pt>
                <c:pt idx="139">
                  <c:v>-75.932251070007581</c:v>
                </c:pt>
                <c:pt idx="140">
                  <c:v>-76.239742408997373</c:v>
                </c:pt>
                <c:pt idx="141">
                  <c:v>-76.54100749103992</c:v>
                </c:pt>
                <c:pt idx="142">
                  <c:v>-76.836139235688918</c:v>
                </c:pt>
                <c:pt idx="143">
                  <c:v>-77.125231302244117</c:v>
                </c:pt>
                <c:pt idx="144">
                  <c:v>-77.408377919822868</c:v>
                </c:pt>
                <c:pt idx="145">
                  <c:v>-77.68567372786687</c:v>
                </c:pt>
                <c:pt idx="146">
                  <c:v>-77.957213626740128</c:v>
                </c:pt>
                <c:pt idx="147">
                  <c:v>-78.223092638057551</c:v>
                </c:pt>
                <c:pt idx="148">
                  <c:v>-78.483405774379847</c:v>
                </c:pt>
                <c:pt idx="149">
                  <c:v>-78.738247917901063</c:v>
                </c:pt>
                <c:pt idx="150">
                  <c:v>-78.987713707753912</c:v>
                </c:pt>
                <c:pt idx="151">
                  <c:v>-79.231897435557798</c:v>
                </c:pt>
                <c:pt idx="152">
                  <c:v>-79.47089294883601</c:v>
                </c:pt>
                <c:pt idx="153">
                  <c:v>-79.704793561932448</c:v>
                </c:pt>
                <c:pt idx="154">
                  <c:v>-79.933691974062626</c:v>
                </c:pt>
                <c:pt idx="155">
                  <c:v>-80.157680194142173</c:v>
                </c:pt>
                <c:pt idx="156">
                  <c:v>-80.376849472041826</c:v>
                </c:pt>
                <c:pt idx="157">
                  <c:v>-80.59129023592898</c:v>
                </c:pt>
                <c:pt idx="158">
                  <c:v>-80.801092035362785</c:v>
                </c:pt>
                <c:pt idx="159">
                  <c:v>-81.006343489822555</c:v>
                </c:pt>
                <c:pt idx="160">
                  <c:v>-81.20713224235827</c:v>
                </c:pt>
                <c:pt idx="161">
                  <c:v>-81.403544918063915</c:v>
                </c:pt>
                <c:pt idx="162">
                  <c:v>-81.59566708708482</c:v>
                </c:pt>
                <c:pt idx="163">
                  <c:v>-81.783583231883156</c:v>
                </c:pt>
                <c:pt idx="164">
                  <c:v>-81.967376718495302</c:v>
                </c:pt>
                <c:pt idx="165">
                  <c:v>-82.147129771527545</c:v>
                </c:pt>
                <c:pt idx="166">
                  <c:v>-82.322923452648311</c:v>
                </c:pt>
                <c:pt idx="167">
                  <c:v>-82.494837642344805</c:v>
                </c:pt>
                <c:pt idx="168">
                  <c:v>-82.662951024724975</c:v>
                </c:pt>
                <c:pt idx="169">
                  <c:v>-82.827341075154678</c:v>
                </c:pt>
                <c:pt idx="170">
                  <c:v>-82.988084050532507</c:v>
                </c:pt>
                <c:pt idx="171">
                  <c:v>-83.145254982013</c:v>
                </c:pt>
                <c:pt idx="172">
                  <c:v>-83.298927670000694</c:v>
                </c:pt>
                <c:pt idx="173">
                  <c:v>-83.449174681246021</c:v>
                </c:pt>
                <c:pt idx="174">
                  <c:v>-83.596067347883945</c:v>
                </c:pt>
                <c:pt idx="175">
                  <c:v>-83.739675768265215</c:v>
                </c:pt>
                <c:pt idx="176">
                  <c:v>-83.880068809438427</c:v>
                </c:pt>
                <c:pt idx="177">
                  <c:v>-84.017314111149588</c:v>
                </c:pt>
                <c:pt idx="178">
                  <c:v>-84.151478091234267</c:v>
                </c:pt>
                <c:pt idx="179">
                  <c:v>-84.282625952283723</c:v>
                </c:pt>
                <c:pt idx="180">
                  <c:v>-84.410821689475526</c:v>
                </c:pt>
                <c:pt idx="181">
                  <c:v>-84.536128099464548</c:v>
                </c:pt>
                <c:pt idx="182">
                  <c:v>-84.658606790236817</c:v>
                </c:pt>
                <c:pt idx="183">
                  <c:v>-84.778318191836959</c:v>
                </c:pt>
                <c:pt idx="184">
                  <c:v>-84.895321567882831</c:v>
                </c:pt>
                <c:pt idx="185">
                  <c:v>-85.009675027789285</c:v>
                </c:pt>
                <c:pt idx="186">
                  <c:v>-85.121435539626702</c:v>
                </c:pt>
                <c:pt idx="187">
                  <c:v>-85.230658943546118</c:v>
                </c:pt>
                <c:pt idx="188">
                  <c:v>-85.33739996570624</c:v>
                </c:pt>
                <c:pt idx="189">
                  <c:v>-85.441712232643638</c:v>
                </c:pt>
                <c:pt idx="190">
                  <c:v>-85.543648286030887</c:v>
                </c:pt>
                <c:pt idx="191">
                  <c:v>-85.643259597771305</c:v>
                </c:pt>
                <c:pt idx="192">
                  <c:v>-85.740596585382974</c:v>
                </c:pt>
                <c:pt idx="193">
                  <c:v>-85.835708627629074</c:v>
                </c:pt>
                <c:pt idx="194">
                  <c:v>-85.928644080353592</c:v>
                </c:pt>
                <c:pt idx="195">
                  <c:v>-86.019450292485189</c:v>
                </c:pt>
                <c:pt idx="196">
                  <c:v>-86.108173622176196</c:v>
                </c:pt>
                <c:pt idx="197">
                  <c:v>-86.194859453044117</c:v>
                </c:pt>
                <c:pt idx="198">
                  <c:v>-86.279552210488148</c:v>
                </c:pt>
                <c:pt idx="199">
                  <c:v>-86.362295378053759</c:v>
                </c:pt>
                <c:pt idx="200">
                  <c:v>-86.443131513822834</c:v>
                </c:pt>
                <c:pt idx="201">
                  <c:v>-86.522102266806229</c:v>
                </c:pt>
                <c:pt idx="202">
                  <c:v>-86.59924839332011</c:v>
                </c:pt>
                <c:pt idx="203">
                  <c:v>-86.67460977332928</c:v>
                </c:pt>
                <c:pt idx="204">
                  <c:v>-86.748225426740291</c:v>
                </c:pt>
                <c:pt idx="205">
                  <c:v>-86.820133529631576</c:v>
                </c:pt>
                <c:pt idx="206">
                  <c:v>-86.890371430406958</c:v>
                </c:pt>
                <c:pt idx="207">
                  <c:v>-86.958975665863775</c:v>
                </c:pt>
                <c:pt idx="208">
                  <c:v>-87.025981977163212</c:v>
                </c:pt>
                <c:pt idx="209">
                  <c:v>-87.091425325697784</c:v>
                </c:pt>
                <c:pt idx="210">
                  <c:v>-87.155339908845903</c:v>
                </c:pt>
                <c:pt idx="211">
                  <c:v>-87.217759175610809</c:v>
                </c:pt>
                <c:pt idx="212">
                  <c:v>-87.278715842136435</c:v>
                </c:pt>
                <c:pt idx="213">
                  <c:v>-87.338241907098677</c:v>
                </c:pt>
                <c:pt idx="214">
                  <c:v>-87.396368666967277</c:v>
                </c:pt>
                <c:pt idx="215">
                  <c:v>-87.453126731137999</c:v>
                </c:pt>
                <c:pt idx="216">
                  <c:v>-87.508546036933041</c:v>
                </c:pt>
                <c:pt idx="217">
                  <c:v>-87.562655864469306</c:v>
                </c:pt>
                <c:pt idx="218">
                  <c:v>-87.615484851394939</c:v>
                </c:pt>
                <c:pt idx="219">
                  <c:v>-87.667061007494652</c:v>
                </c:pt>
                <c:pt idx="220">
                  <c:v>-87.717411729165562</c:v>
                </c:pt>
                <c:pt idx="221">
                  <c:v>-87.766563813764677</c:v>
                </c:pt>
                <c:pt idx="222">
                  <c:v>-87.814543473830724</c:v>
                </c:pt>
                <c:pt idx="223">
                  <c:v>-87.861376351183097</c:v>
                </c:pt>
                <c:pt idx="224">
                  <c:v>-87.907087530899332</c:v>
                </c:pt>
                <c:pt idx="225">
                  <c:v>-87.951701555176157</c:v>
                </c:pt>
                <c:pt idx="226">
                  <c:v>-87.995242437075348</c:v>
                </c:pt>
                <c:pt idx="227">
                  <c:v>-88.037733674158758</c:v>
                </c:pt>
                <c:pt idx="228">
                  <c:v>-88.079198262015268</c:v>
                </c:pt>
                <c:pt idx="229">
                  <c:v>-88.119658707682831</c:v>
                </c:pt>
                <c:pt idx="230">
                  <c:v>-88.159137042968169</c:v>
                </c:pt>
                <c:pt idx="231">
                  <c:v>-88.197654837667685</c:v>
                </c:pt>
                <c:pt idx="232">
                  <c:v>-88.235233212690503</c:v>
                </c:pt>
                <c:pt idx="233">
                  <c:v>-88.271892853087053</c:v>
                </c:pt>
                <c:pt idx="234">
                  <c:v>-88.307654020982852</c:v>
                </c:pt>
                <c:pt idx="235">
                  <c:v>-88.34253656841959</c:v>
                </c:pt>
                <c:pt idx="236">
                  <c:v>-88.376559950102205</c:v>
                </c:pt>
                <c:pt idx="237">
                  <c:v>-88.409743236051753</c:v>
                </c:pt>
                <c:pt idx="238">
                  <c:v>-88.442105124161046</c:v>
                </c:pt>
                <c:pt idx="239">
                  <c:v>-88.473663952651407</c:v>
                </c:pt>
                <c:pt idx="240">
                  <c:v>-88.504437712424178</c:v>
                </c:pt>
                <c:pt idx="241">
                  <c:v>-88.534444059302643</c:v>
                </c:pt>
                <c:pt idx="242">
                  <c:v>-88.563700326156109</c:v>
                </c:pt>
                <c:pt idx="243">
                  <c:v>-88.592223534897613</c:v>
                </c:pt>
                <c:pt idx="244">
                  <c:v>-88.620030408344121</c:v>
                </c:pt>
                <c:pt idx="245">
                  <c:v>-88.647137381926413</c:v>
                </c:pt>
                <c:pt idx="246">
                  <c:v>-88.673560615234067</c:v>
                </c:pt>
                <c:pt idx="247">
                  <c:v>-88.699316003378328</c:v>
                </c:pt>
                <c:pt idx="248">
                  <c:v>-88.724419188153718</c:v>
                </c:pt>
                <c:pt idx="249">
                  <c:v>-88.748885568977045</c:v>
                </c:pt>
                <c:pt idx="250">
                  <c:v>-88.772730313579316</c:v>
                </c:pt>
                <c:pt idx="251">
                  <c:v>-88.795968368424127</c:v>
                </c:pt>
                <c:pt idx="252">
                  <c:v>-88.818614468824393</c:v>
                </c:pt>
                <c:pt idx="253">
                  <c:v>-88.840683148724509</c:v>
                </c:pt>
                <c:pt idx="254">
                  <c:v>-88.862188750115635</c:v>
                </c:pt>
                <c:pt idx="255">
                  <c:v>-88.883145432046376</c:v>
                </c:pt>
                <c:pt idx="256">
                  <c:v>-88.903567179191484</c:v>
                </c:pt>
                <c:pt idx="257">
                  <c:v>-88.923467809937762</c:v>
                </c:pt>
                <c:pt idx="258">
                  <c:v>-88.942860983944826</c:v>
                </c:pt>
                <c:pt idx="259">
                  <c:v>-88.961760209136699</c:v>
                </c:pt>
                <c:pt idx="260">
                  <c:v>-88.9801788480802</c:v>
                </c:pt>
                <c:pt idx="261">
                  <c:v>-88.998130123703561</c:v>
                </c:pt>
                <c:pt idx="262">
                  <c:v>-89.015627124310242</c:v>
                </c:pt>
                <c:pt idx="263">
                  <c:v>-89.032682807842221</c:v>
                </c:pt>
                <c:pt idx="264">
                  <c:v>-89.049310005348531</c:v>
                </c:pt>
                <c:pt idx="265">
                  <c:v>-89.065521423616332</c:v>
                </c:pt>
                <c:pt idx="266">
                  <c:v>-89.081329646925042</c:v>
                </c:pt>
                <c:pt idx="267">
                  <c:v>-89.096747137885345</c:v>
                </c:pt>
                <c:pt idx="268">
                  <c:v>-89.111786237332879</c:v>
                </c:pt>
                <c:pt idx="269">
                  <c:v>-89.126459163247048</c:v>
                </c:pt>
                <c:pt idx="270">
                  <c:v>-89.140778008675014</c:v>
                </c:pt>
                <c:pt idx="271">
                  <c:v>-89.154754738646702</c:v>
                </c:pt>
                <c:pt idx="272">
                  <c:v>-89.168401186074547</c:v>
                </c:pt>
                <c:pt idx="273">
                  <c:v>-89.181729046640356</c:v>
                </c:pt>
                <c:pt idx="274">
                  <c:v>-89.194749872682976</c:v>
                </c:pt>
                <c:pt idx="275">
                  <c:v>-89.207475066109168</c:v>
                </c:pt>
                <c:pt idx="276">
                  <c:v>-89.219915870362456</c:v>
                </c:pt>
                <c:pt idx="277">
                  <c:v>-89.232083361496407</c:v>
                </c:pt>
                <c:pt idx="278">
                  <c:v>-89.24398843841081</c:v>
                </c:pt>
                <c:pt idx="279">
                  <c:v>-89.25564181232177</c:v>
                </c:pt>
                <c:pt idx="280">
                  <c:v>-89.267053995549219</c:v>
                </c:pt>
                <c:pt idx="281">
                  <c:v>-89.278235289716648</c:v>
                </c:pt>
                <c:pt idx="282">
                  <c:v>-89.289195773471931</c:v>
                </c:pt>
                <c:pt idx="283">
                  <c:v>-89.299945289846235</c:v>
                </c:pt>
                <c:pt idx="284">
                  <c:v>-89.310493433379563</c:v>
                </c:pt>
                <c:pt idx="285">
                  <c:v>-89.320849537150835</c:v>
                </c:pt>
                <c:pt idx="286">
                  <c:v>-89.331022659855989</c:v>
                </c:pt>
                <c:pt idx="287">
                  <c:v>-89.341021573084518</c:v>
                </c:pt>
                <c:pt idx="288">
                  <c:v>-89.350854748948052</c:v>
                </c:pt>
                <c:pt idx="289">
                  <c:v>-89.360530348215391</c:v>
                </c:pt>
                <c:pt idx="290">
                  <c:v>-89.37005620910918</c:v>
                </c:pt>
                <c:pt idx="291">
                  <c:v>-89.379439836913974</c:v>
                </c:pt>
                <c:pt idx="292">
                  <c:v>-89.388688394542385</c:v>
                </c:pt>
                <c:pt idx="293">
                  <c:v>-89.397808694195618</c:v>
                </c:pt>
                <c:pt idx="294">
                  <c:v>-89.406807190246155</c:v>
                </c:pt>
                <c:pt idx="295">
                  <c:v>-89.415689973456608</c:v>
                </c:pt>
                <c:pt idx="296">
                  <c:v>-89.424462766634733</c:v>
                </c:pt>
                <c:pt idx="297">
                  <c:v>-89.433130921807759</c:v>
                </c:pt>
                <c:pt idx="298">
                  <c:v>-89.441699418982097</c:v>
                </c:pt>
                <c:pt idx="299">
                  <c:v>-89.45017286653227</c:v>
                </c:pt>
                <c:pt idx="300">
                  <c:v>-89.458555503249855</c:v>
                </c:pt>
                <c:pt idx="301">
                  <c:v>-89.466851202052467</c:v>
                </c:pt>
                <c:pt idx="302">
                  <c:v>-89.475063475340249</c:v>
                </c:pt>
                <c:pt idx="303">
                  <c:v>-89.483195481966249</c:v>
                </c:pt>
                <c:pt idx="304">
                  <c:v>-89.491250035763329</c:v>
                </c:pt>
                <c:pt idx="305">
                  <c:v>-89.499229615554015</c:v>
                </c:pt>
                <c:pt idx="306">
                  <c:v>-89.507136376552978</c:v>
                </c:pt>
                <c:pt idx="307">
                  <c:v>-89.51497216305907</c:v>
                </c:pt>
                <c:pt idx="308">
                  <c:v>-89.522738522311158</c:v>
                </c:pt>
                <c:pt idx="309">
                  <c:v>-89.530436719384511</c:v>
                </c:pt>
                <c:pt idx="310">
                  <c:v>-89.538067752979316</c:v>
                </c:pt>
                <c:pt idx="311">
                  <c:v>-89.545632371965084</c:v>
                </c:pt>
                <c:pt idx="312">
                  <c:v>-89.553131092518498</c:v>
                </c:pt>
                <c:pt idx="313">
                  <c:v>-89.560564215714606</c:v>
                </c:pt>
                <c:pt idx="314">
                  <c:v>-89.567931845409021</c:v>
                </c:pt>
                <c:pt idx="315">
                  <c:v>-89.575233906269006</c:v>
                </c:pt>
                <c:pt idx="316">
                  <c:v>-89.582470161804309</c:v>
                </c:pt>
                <c:pt idx="317">
                  <c:v>-89.589640232264955</c:v>
                </c:pt>
                <c:pt idx="318">
                  <c:v>-89.596743612271183</c:v>
                </c:pt>
                <c:pt idx="319">
                  <c:v>-89.603779688059291</c:v>
                </c:pt>
                <c:pt idx="320">
                  <c:v>-89.610747754231596</c:v>
                </c:pt>
                <c:pt idx="321">
                  <c:v>-89.617647029915119</c:v>
                </c:pt>
                <c:pt idx="322">
                  <c:v>-89.624476674239858</c:v>
                </c:pt>
                <c:pt idx="323">
                  <c:v>-89.631235801067248</c:v>
                </c:pt>
                <c:pt idx="324">
                  <c:v>-89.63792349290263</c:v>
                </c:pt>
                <c:pt idx="325">
                  <c:v>-89.644538813948174</c:v>
                </c:pt>
                <c:pt idx="326">
                  <c:v>-89.651080822256802</c:v>
                </c:pt>
                <c:pt idx="327">
                  <c:v>-89.657548580962128</c:v>
                </c:pt>
                <c:pt idx="328">
                  <c:v>-89.663941168570176</c:v>
                </c:pt>
                <c:pt idx="329">
                  <c:v>-89.670257688311025</c:v>
                </c:pt>
                <c:pt idx="330">
                  <c:v>-89.676497276551842</c:v>
                </c:pt>
                <c:pt idx="331">
                  <c:v>-89.682659110288867</c:v>
                </c:pt>
                <c:pt idx="332">
                  <c:v>-89.68874241373635</c:v>
                </c:pt>
                <c:pt idx="333">
                  <c:v>-89.694746464043206</c:v>
                </c:pt>
                <c:pt idx="334">
                  <c:v>-89.70067059616764</c:v>
                </c:pt>
                <c:pt idx="335">
                  <c:v>-89.706514206950914</c:v>
                </c:pt>
                <c:pt idx="336">
                  <c:v>-89.712276758428871</c:v>
                </c:pt>
                <c:pt idx="337">
                  <c:v>-89.717957780428833</c:v>
                </c:pt>
                <c:pt idx="338">
                  <c:v>-89.723556872495791</c:v>
                </c:pt>
                <c:pt idx="339">
                  <c:v>-89.729073705198559</c:v>
                </c:pt>
                <c:pt idx="340">
                  <c:v>-89.734508020862549</c:v>
                </c:pt>
                <c:pt idx="341">
                  <c:v>-89.739859633778934</c:v>
                </c:pt>
                <c:pt idx="342">
                  <c:v>-89.745128429938575</c:v>
                </c:pt>
                <c:pt idx="343">
                  <c:v>-89.750314366337804</c:v>
                </c:pt>
                <c:pt idx="344">
                  <c:v>-89.755417469902241</c:v>
                </c:pt>
                <c:pt idx="345">
                  <c:v>-89.760437836073223</c:v>
                </c:pt>
                <c:pt idx="346">
                  <c:v>-89.765375627098777</c:v>
                </c:pt>
                <c:pt idx="347">
                  <c:v>-89.770231070070594</c:v>
                </c:pt>
                <c:pt idx="348">
                  <c:v>-89.775004454743666</c:v>
                </c:pt>
                <c:pt idx="349">
                  <c:v>-89.779696131175584</c:v>
                </c:pt>
                <c:pt idx="350">
                  <c:v>-89.784306507218005</c:v>
                </c:pt>
                <c:pt idx="351">
                  <c:v>-89.788836045890662</c:v>
                </c:pt>
                <c:pt idx="352">
                  <c:v>-89.793285262667794</c:v>
                </c:pt>
                <c:pt idx="353">
                  <c:v>-89.797654722700159</c:v>
                </c:pt>
                <c:pt idx="354">
                  <c:v>-89.801945037999047</c:v>
                </c:pt>
                <c:pt idx="355">
                  <c:v>-89.806156864600865</c:v>
                </c:pt>
                <c:pt idx="356">
                  <c:v>-89.81029089973228</c:v>
                </c:pt>
                <c:pt idx="357">
                  <c:v>-89.814347878993146</c:v>
                </c:pt>
                <c:pt idx="358">
                  <c:v>-89.818328573570852</c:v>
                </c:pt>
                <c:pt idx="359">
                  <c:v>-89.822233787499485</c:v>
                </c:pt>
                <c:pt idx="360">
                  <c:v>-89.826064354975159</c:v>
                </c:pt>
                <c:pt idx="361">
                  <c:v>-89.829821137736459</c:v>
                </c:pt>
                <c:pt idx="362">
                  <c:v>-89.833505022518224</c:v>
                </c:pt>
                <c:pt idx="363">
                  <c:v>-89.837116918585366</c:v>
                </c:pt>
                <c:pt idx="364">
                  <c:v>-89.840657755351472</c:v>
                </c:pt>
                <c:pt idx="365">
                  <c:v>-89.844128480087051</c:v>
                </c:pt>
                <c:pt idx="366">
                  <c:v>-89.847530055719915</c:v>
                </c:pt>
                <c:pt idx="367">
                  <c:v>-89.850863458730103</c:v>
                </c:pt>
                <c:pt idx="368">
                  <c:v>-89.854129677140847</c:v>
                </c:pt>
                <c:pt idx="369">
                  <c:v>-89.857329708605718</c:v>
                </c:pt>
                <c:pt idx="370">
                  <c:v>-89.860464558592426</c:v>
                </c:pt>
                <c:pt idx="371">
                  <c:v>-89.863535238662109</c:v>
                </c:pt>
                <c:pt idx="372">
                  <c:v>-89.866542764843459</c:v>
                </c:pt>
                <c:pt idx="373">
                  <c:v>-89.869488156099834</c:v>
                </c:pt>
                <c:pt idx="374">
                  <c:v>-89.872372432887431</c:v>
                </c:pt>
                <c:pt idx="375">
                  <c:v>-89.875196615802764</c:v>
                </c:pt>
                <c:pt idx="376">
                  <c:v>-89.877961724316194</c:v>
                </c:pt>
                <c:pt idx="377">
                  <c:v>-89.880668775589655</c:v>
                </c:pt>
                <c:pt idx="378">
                  <c:v>-89.883318783375373</c:v>
                </c:pt>
                <c:pt idx="379">
                  <c:v>-89.885912756992354</c:v>
                </c:pt>
                <c:pt idx="380">
                  <c:v>-89.888451700378582</c:v>
                </c:pt>
                <c:pt idx="381">
                  <c:v>-89.890936611214528</c:v>
                </c:pt>
                <c:pt idx="382">
                  <c:v>-89.893368480116123</c:v>
                </c:pt>
                <c:pt idx="383">
                  <c:v>-89.895748289893149</c:v>
                </c:pt>
                <c:pt idx="384">
                  <c:v>-89.898077014870566</c:v>
                </c:pt>
                <c:pt idx="385">
                  <c:v>-89.900355620269309</c:v>
                </c:pt>
                <c:pt idx="386">
                  <c:v>-89.902585061643848</c:v>
                </c:pt>
                <c:pt idx="387">
                  <c:v>-89.904766284373181</c:v>
                </c:pt>
                <c:pt idx="388">
                  <c:v>-89.906900223202896</c:v>
                </c:pt>
                <c:pt idx="389">
                  <c:v>-89.908987801834755</c:v>
                </c:pt>
                <c:pt idx="390">
                  <c:v>-89.911029932561846</c:v>
                </c:pt>
                <c:pt idx="391">
                  <c:v>-89.913027515946155</c:v>
                </c:pt>
                <c:pt idx="392">
                  <c:v>-89.914981440535982</c:v>
                </c:pt>
                <c:pt idx="393">
                  <c:v>-89.916892582621216</c:v>
                </c:pt>
                <c:pt idx="394">
                  <c:v>-89.918761806023397</c:v>
                </c:pt>
                <c:pt idx="395">
                  <c:v>-89.920589961919063</c:v>
                </c:pt>
                <c:pt idx="396">
                  <c:v>-89.922377888693561</c:v>
                </c:pt>
                <c:pt idx="397">
                  <c:v>-89.924126411823678</c:v>
                </c:pt>
                <c:pt idx="398">
                  <c:v>-89.925836343786983</c:v>
                </c:pt>
                <c:pt idx="399">
                  <c:v>-89.927508483995751</c:v>
                </c:pt>
                <c:pt idx="400">
                  <c:v>-89.929143618754409</c:v>
                </c:pt>
                <c:pt idx="401">
                  <c:v>-89.930742521237946</c:v>
                </c:pt>
                <c:pt idx="402">
                  <c:v>-89.932305951489994</c:v>
                </c:pt>
                <c:pt idx="403">
                  <c:v>-89.933834656439501</c:v>
                </c:pt>
                <c:pt idx="404">
                  <c:v>-89.935329369934081</c:v>
                </c:pt>
                <c:pt idx="405">
                  <c:v>-89.936790812788715</c:v>
                </c:pt>
                <c:pt idx="406">
                  <c:v>-89.938219692848349</c:v>
                </c:pt>
                <c:pt idx="407">
                  <c:v>-89.939616705064324</c:v>
                </c:pt>
                <c:pt idx="408">
                  <c:v>-89.940982531581525</c:v>
                </c:pt>
                <c:pt idx="409">
                  <c:v>-89.942317841837379</c:v>
                </c:pt>
                <c:pt idx="410">
                  <c:v>-89.94362329266967</c:v>
                </c:pt>
                <c:pt idx="411">
                  <c:v>-89.944899528434064</c:v>
                </c:pt>
                <c:pt idx="412">
                  <c:v>-89.946147181128779</c:v>
                </c:pt>
                <c:pt idx="413">
                  <c:v>-89.947366870527219</c:v>
                </c:pt>
                <c:pt idx="414">
                  <c:v>-89.948559204316339</c:v>
                </c:pt>
                <c:pt idx="415">
                  <c:v>-89.949724778241077</c:v>
                </c:pt>
                <c:pt idx="416">
                  <c:v>-89.950864176253589</c:v>
                </c:pt>
                <c:pt idx="417">
                  <c:v>-89.951977970667016</c:v>
                </c:pt>
                <c:pt idx="418">
                  <c:v>-89.953066722312869</c:v>
                </c:pt>
                <c:pt idx="419">
                  <c:v>-89.954130980702004</c:v>
                </c:pt>
                <c:pt idx="420">
                  <c:v>-89.955171284187941</c:v>
                </c:pt>
                <c:pt idx="421">
                  <c:v>-89.956188160132953</c:v>
                </c:pt>
                <c:pt idx="422">
                  <c:v>-89.957182125075576</c:v>
                </c:pt>
                <c:pt idx="423">
                  <c:v>-89.958153684900083</c:v>
                </c:pt>
                <c:pt idx="424">
                  <c:v>-89.959103335006617</c:v>
                </c:pt>
                <c:pt idx="425">
                  <c:v>-89.960031560482463</c:v>
                </c:pt>
                <c:pt idx="426">
                  <c:v>-89.960938836273542</c:v>
                </c:pt>
                <c:pt idx="427">
                  <c:v>-89.961825627356319</c:v>
                </c:pt>
                <c:pt idx="428">
                  <c:v>-89.962692388909375</c:v>
                </c:pt>
                <c:pt idx="429">
                  <c:v>-89.963539566484826</c:v>
                </c:pt>
                <c:pt idx="430">
                  <c:v>-89.964367596179216</c:v>
                </c:pt>
                <c:pt idx="431">
                  <c:v>-89.965176904803528</c:v>
                </c:pt>
                <c:pt idx="432">
                  <c:v>-89.965967910052356</c:v>
                </c:pt>
                <c:pt idx="433">
                  <c:v>-89.966741020672032</c:v>
                </c:pt>
                <c:pt idx="434">
                  <c:v>-89.967496636627303</c:v>
                </c:pt>
                <c:pt idx="435">
                  <c:v>-89.968235149266917</c:v>
                </c:pt>
                <c:pt idx="436">
                  <c:v>-89.968956941487377</c:v>
                </c:pt>
                <c:pt idx="437">
                  <c:v>-89.969662387895411</c:v>
                </c:pt>
                <c:pt idx="438">
                  <c:v>-89.970351854968342</c:v>
                </c:pt>
                <c:pt idx="439">
                  <c:v>-89.971025701213009</c:v>
                </c:pt>
                <c:pt idx="440">
                  <c:v>-89.971684277322581</c:v>
                </c:pt>
                <c:pt idx="441">
                  <c:v>-89.972327926331459</c:v>
                </c:pt>
                <c:pt idx="442">
                  <c:v>-89.972956983768199</c:v>
                </c:pt>
                <c:pt idx="443">
                  <c:v>-89.973571777806299</c:v>
                </c:pt>
                <c:pt idx="444">
                  <c:v>-89.97417262941299</c:v>
                </c:pt>
                <c:pt idx="445">
                  <c:v>-89.974759852495708</c:v>
                </c:pt>
                <c:pt idx="446">
                  <c:v>-89.975333754046559</c:v>
                </c:pt>
                <c:pt idx="447">
                  <c:v>-89.975894634284387</c:v>
                </c:pt>
                <c:pt idx="448">
                  <c:v>-89.976442786794763</c:v>
                </c:pt>
                <c:pt idx="449">
                  <c:v>-89.976978498667719</c:v>
                </c:pt>
                <c:pt idx="450">
                  <c:v>-89.977502050633106</c:v>
                </c:pt>
                <c:pt idx="451">
                  <c:v>-89.978013717193775</c:v>
                </c:pt>
                <c:pt idx="452">
                  <c:v>-89.978513766756564</c:v>
                </c:pt>
                <c:pt idx="453">
                  <c:v>-89.979002461760885</c:v>
                </c:pt>
                <c:pt idx="454">
                  <c:v>-89.979480058805066</c:v>
                </c:pt>
                <c:pt idx="455">
                  <c:v>-89.979946808770578</c:v>
                </c:pt>
                <c:pt idx="456">
                  <c:v>-89.980402956943891</c:v>
                </c:pt>
                <c:pt idx="457">
                  <c:v>-89.980848743136121</c:v>
                </c:pt>
                <c:pt idx="458">
                  <c:v>-89.981284401800522</c:v>
                </c:pt>
                <c:pt idx="459">
                  <c:v>-89.981710162147664</c:v>
                </c:pt>
                <c:pt idx="460">
                  <c:v>-89.982126248258623</c:v>
                </c:pt>
                <c:pt idx="461">
                  <c:v>-89.982532879195801</c:v>
                </c:pt>
                <c:pt idx="462">
                  <c:v>-89.982930269111733</c:v>
                </c:pt>
                <c:pt idx="463">
                  <c:v>-89.983318627355771</c:v>
                </c:pt>
                <c:pt idx="464">
                  <c:v>-89.983698158578662</c:v>
                </c:pt>
                <c:pt idx="465">
                  <c:v>-89.98406906283499</c:v>
                </c:pt>
                <c:pt idx="466">
                  <c:v>-89.984431535683797</c:v>
                </c:pt>
                <c:pt idx="467">
                  <c:v>-89.984785768286841</c:v>
                </c:pt>
                <c:pt idx="468">
                  <c:v>-89.985131947505266</c:v>
                </c:pt>
                <c:pt idx="469">
                  <c:v>-89.985470255994016</c:v>
                </c:pt>
                <c:pt idx="470">
                  <c:v>-89.985800872294476</c:v>
                </c:pt>
                <c:pt idx="471">
                  <c:v>-89.986123970925078</c:v>
                </c:pt>
                <c:pt idx="472">
                  <c:v>-89.986439722470294</c:v>
                </c:pt>
                <c:pt idx="473">
                  <c:v>-89.986748293667475</c:v>
                </c:pt>
                <c:pt idx="474">
                  <c:v>-89.987049847492059</c:v>
                </c:pt>
                <c:pt idx="475">
                  <c:v>-89.987344543241065</c:v>
                </c:pt>
                <c:pt idx="476">
                  <c:v>-89.987632536614598</c:v>
                </c:pt>
                <c:pt idx="477">
                  <c:v>-89.987913979795877</c:v>
                </c:pt>
                <c:pt idx="478">
                  <c:v>-89.98818902152945</c:v>
                </c:pt>
                <c:pt idx="479">
                  <c:v>-89.988457807197761</c:v>
                </c:pt>
                <c:pt idx="480">
                  <c:v>-89.988720478896113</c:v>
                </c:pt>
                <c:pt idx="481">
                  <c:v>-89.988977175505966</c:v>
                </c:pt>
                <c:pt idx="482">
                  <c:v>-89.989228032766832</c:v>
                </c:pt>
                <c:pt idx="483">
                  <c:v>-89.989473183346377</c:v>
                </c:pt>
                <c:pt idx="484">
                  <c:v>-89.989712756909199</c:v>
                </c:pt>
                <c:pt idx="485">
                  <c:v>-89.989946880184092</c:v>
                </c:pt>
                <c:pt idx="486">
                  <c:v>-89.990175677029782</c:v>
                </c:pt>
                <c:pt idx="487">
                  <c:v>-89.990399268499303</c:v>
                </c:pt>
                <c:pt idx="488">
                  <c:v>-89.990617772902922</c:v>
                </c:pt>
                <c:pt idx="489">
                  <c:v>-89.99083130586979</c:v>
                </c:pt>
                <c:pt idx="490">
                  <c:v>-89.991039980408104</c:v>
                </c:pt>
                <c:pt idx="491">
                  <c:v>-89.991243906964058</c:v>
                </c:pt>
                <c:pt idx="492">
                  <c:v>-89.991443193479483</c:v>
                </c:pt>
                <c:pt idx="493">
                  <c:v>-89.991637945448176</c:v>
                </c:pt>
                <c:pt idx="494">
                  <c:v>-89.991828265970994</c:v>
                </c:pt>
                <c:pt idx="495">
                  <c:v>-89.992014255809906</c:v>
                </c:pt>
                <c:pt idx="496">
                  <c:v>-89.992196013440491</c:v>
                </c:pt>
                <c:pt idx="497">
                  <c:v>-89.992373635103704</c:v>
                </c:pt>
                <c:pt idx="498">
                  <c:v>-89.992547214856131</c:v>
                </c:pt>
                <c:pt idx="499">
                  <c:v>-89.992716844619338</c:v>
                </c:pt>
                <c:pt idx="500">
                  <c:v>-89.992882614228108</c:v>
                </c:pt>
                <c:pt idx="501">
                  <c:v>-89.993044611477515</c:v>
                </c:pt>
                <c:pt idx="502">
                  <c:v>-89.993202922169033</c:v>
                </c:pt>
                <c:pt idx="503">
                  <c:v>-89.993357630155586</c:v>
                </c:pt>
                <c:pt idx="504">
                  <c:v>-89.993508817385617</c:v>
                </c:pt>
                <c:pt idx="505">
                  <c:v>-89.993656563946104</c:v>
                </c:pt>
                <c:pt idx="506">
                  <c:v>-89.993800948104735</c:v>
                </c:pt>
                <c:pt idx="507">
                  <c:v>-89.993942046351052</c:v>
                </c:pt>
                <c:pt idx="508">
                  <c:v>-89.994079933436666</c:v>
                </c:pt>
                <c:pt idx="509">
                  <c:v>-89.99421468241465</c:v>
                </c:pt>
                <c:pt idx="510">
                  <c:v>-89.994346364677966</c:v>
                </c:pt>
                <c:pt idx="511">
                  <c:v>-89.994475049997106</c:v>
                </c:pt>
                <c:pt idx="512">
                  <c:v>-89.994600806556775</c:v>
                </c:pt>
                <c:pt idx="513">
                  <c:v>-89.994723700991941</c:v>
                </c:pt>
                <c:pt idx="514">
                  <c:v>-89.994843798422821</c:v>
                </c:pt>
                <c:pt idx="515">
                  <c:v>-89.994961162489375</c:v>
                </c:pt>
                <c:pt idx="516">
                  <c:v>-89.995075855384727</c:v>
                </c:pt>
                <c:pt idx="517">
                  <c:v>-89.995187937888062</c:v>
                </c:pt>
                <c:pt idx="518">
                  <c:v>-89.995297469396661</c:v>
                </c:pt>
                <c:pt idx="519">
                  <c:v>-89.995404507957275</c:v>
                </c:pt>
                <c:pt idx="520">
                  <c:v>-89.995509110296709</c:v>
                </c:pt>
                <c:pt idx="521">
                  <c:v>-89.995611331851876</c:v>
                </c:pt>
                <c:pt idx="522">
                  <c:v>-89.99571122679896</c:v>
                </c:pt>
                <c:pt idx="523">
                  <c:v>-89.995808848082106</c:v>
                </c:pt>
                <c:pt idx="524">
                  <c:v>-89.995904247441359</c:v>
                </c:pt>
                <c:pt idx="525">
                  <c:v>-89.995997475440035</c:v>
                </c:pt>
                <c:pt idx="526">
                  <c:v>-89.996088581491364</c:v>
                </c:pt>
                <c:pt idx="527">
                  <c:v>-89.996177613884697</c:v>
                </c:pt>
                <c:pt idx="528">
                  <c:v>-89.996264619810972</c:v>
                </c:pt>
                <c:pt idx="529">
                  <c:v>-89.996349645387696</c:v>
                </c:pt>
                <c:pt idx="530">
                  <c:v>-89.9964327356833</c:v>
                </c:pt>
                <c:pt idx="531">
                  <c:v>-89.996513934741017</c:v>
                </c:pt>
                <c:pt idx="532">
                  <c:v>-89.996593285602103</c:v>
                </c:pt>
                <c:pt idx="533">
                  <c:v>-89.996670830328682</c:v>
                </c:pt>
                <c:pt idx="534">
                  <c:v>-89.996746610025937</c:v>
                </c:pt>
                <c:pt idx="535">
                  <c:v>-89.99682066486389</c:v>
                </c:pt>
                <c:pt idx="536">
                  <c:v>-89.996893034098647</c:v>
                </c:pt>
                <c:pt idx="537">
                  <c:v>-89.996963756093166</c:v>
                </c:pt>
                <c:pt idx="538">
                  <c:v>-89.997032868337556</c:v>
                </c:pt>
                <c:pt idx="539">
                  <c:v>-89.997100407468935</c:v>
                </c:pt>
                <c:pt idx="540">
                  <c:v>-89.997166409290813</c:v>
                </c:pt>
                <c:pt idx="541">
                  <c:v>-89.997230908792034</c:v>
                </c:pt>
              </c:numCache>
            </c:numRef>
          </c:yVal>
          <c:smooth val="1"/>
          <c:extLst>
            <c:ext xmlns:c16="http://schemas.microsoft.com/office/drawing/2014/chart" uri="{C3380CC4-5D6E-409C-BE32-E72D297353CC}">
              <c16:uniqueId val="{00000001-F7C0-4EEE-87E3-EE720F12A204}"/>
            </c:ext>
          </c:extLst>
        </c:ser>
        <c:dLbls>
          <c:showLegendKey val="0"/>
          <c:showVal val="0"/>
          <c:showCatName val="0"/>
          <c:showSerName val="0"/>
          <c:showPercent val="0"/>
          <c:showBubbleSize val="0"/>
        </c:dLbls>
        <c:axId val="555313792"/>
        <c:axId val="555312256"/>
      </c:scatterChart>
      <c:valAx>
        <c:axId val="555304064"/>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555305984"/>
        <c:crosses val="autoZero"/>
        <c:crossBetween val="midCat"/>
      </c:valAx>
      <c:valAx>
        <c:axId val="555305984"/>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555304064"/>
        <c:crosses val="autoZero"/>
        <c:crossBetween val="midCat"/>
        <c:majorUnit val="20"/>
        <c:minorUnit val="10"/>
      </c:valAx>
      <c:valAx>
        <c:axId val="555312256"/>
        <c:scaling>
          <c:orientation val="minMax"/>
          <c:max val="180"/>
          <c:min val="-180"/>
        </c:scaling>
        <c:delete val="0"/>
        <c:axPos val="r"/>
        <c:numFmt formatCode="General" sourceLinked="1"/>
        <c:majorTickMark val="out"/>
        <c:minorTickMark val="none"/>
        <c:tickLblPos val="nextTo"/>
        <c:crossAx val="555313792"/>
        <c:crosses val="max"/>
        <c:crossBetween val="midCat"/>
        <c:majorUnit val="90"/>
        <c:minorUnit val="45"/>
      </c:valAx>
      <c:valAx>
        <c:axId val="555313792"/>
        <c:scaling>
          <c:logBase val="10"/>
          <c:orientation val="minMax"/>
        </c:scaling>
        <c:delete val="1"/>
        <c:axPos val="b"/>
        <c:numFmt formatCode="0.00" sourceLinked="1"/>
        <c:majorTickMark val="out"/>
        <c:minorTickMark val="none"/>
        <c:tickLblPos val="nextTo"/>
        <c:crossAx val="555312256"/>
        <c:crosses val="autoZero"/>
        <c:crossBetween val="midCat"/>
      </c:valAx>
    </c:plotArea>
    <c:legend>
      <c:legendPos val="r"/>
      <c:layout>
        <c:manualLayout>
          <c:xMode val="edge"/>
          <c:yMode val="edge"/>
          <c:x val="0.79880558209512509"/>
          <c:y val="0.14321997959862004"/>
          <c:w val="0.13459449276057311"/>
          <c:h val="0.10691609861199437"/>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DCM Control Loop Transfer Function</a:t>
            </a:r>
          </a:p>
        </c:rich>
      </c:tx>
      <c:overlay val="0"/>
    </c:title>
    <c:autoTitleDeleted val="0"/>
    <c:plotArea>
      <c:layout/>
      <c:scatterChart>
        <c:scatterStyle val="smoothMarker"/>
        <c:varyColors val="0"/>
        <c:ser>
          <c:idx val="0"/>
          <c:order val="0"/>
          <c:spPr>
            <a:ln w="38100">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Loop_Modeling!$BJ$19:$BJ$560</c:f>
              <c:numCache>
                <c:formatCode>0.000</c:formatCode>
                <c:ptCount val="542"/>
                <c:pt idx="0">
                  <c:v>85.387517313093454</c:v>
                </c:pt>
                <c:pt idx="1">
                  <c:v>85.182254928218754</c:v>
                </c:pt>
                <c:pt idx="2">
                  <c:v>84.976751392015984</c:v>
                </c:pt>
                <c:pt idx="3">
                  <c:v>84.770995981857908</c:v>
                </c:pt>
                <c:pt idx="4">
                  <c:v>84.564977529018478</c:v>
                </c:pt>
                <c:pt idx="5">
                  <c:v>84.358684402974745</c:v>
                </c:pt>
                <c:pt idx="6">
                  <c:v>84.152104495428958</c:v>
                </c:pt>
                <c:pt idx="7">
                  <c:v>83.945225204072585</c:v>
                </c:pt>
                <c:pt idx="8">
                  <c:v>83.738033416122434</c:v>
                </c:pt>
                <c:pt idx="9">
                  <c:v>83.530515491657283</c:v>
                </c:pt>
                <c:pt idx="10">
                  <c:v>83.322657246792971</c:v>
                </c:pt>
                <c:pt idx="11">
                  <c:v>83.114443936734276</c:v>
                </c:pt>
                <c:pt idx="12">
                  <c:v>82.905860238750705</c:v>
                </c:pt>
                <c:pt idx="13">
                  <c:v>82.696890235124286</c:v>
                </c:pt>
                <c:pt idx="14">
                  <c:v>82.487517396128396</c:v>
                </c:pt>
                <c:pt idx="15">
                  <c:v>82.277724563096143</c:v>
                </c:pt>
                <c:pt idx="16">
                  <c:v>82.067493931649707</c:v>
                </c:pt>
                <c:pt idx="17">
                  <c:v>81.856807035163882</c:v>
                </c:pt>
                <c:pt idx="18">
                  <c:v>81.645644728545619</c:v>
                </c:pt>
                <c:pt idx="19">
                  <c:v>81.433987172420132</c:v>
                </c:pt>
                <c:pt idx="20">
                  <c:v>81.221813817818401</c:v>
                </c:pt>
                <c:pt idx="21">
                  <c:v>81.009103391472166</c:v>
                </c:pt>
                <c:pt idx="22">
                  <c:v>80.795833881828145</c:v>
                </c:pt>
                <c:pt idx="23">
                  <c:v>80.581982525902148</c:v>
                </c:pt>
                <c:pt idx="24">
                  <c:v>80.367525797103355</c:v>
                </c:pt>
                <c:pt idx="25">
                  <c:v>80.152439394164418</c:v>
                </c:pt>
                <c:pt idx="26">
                  <c:v>79.93669823132619</c:v>
                </c:pt>
                <c:pt idx="27">
                  <c:v>79.720276429928475</c:v>
                </c:pt>
                <c:pt idx="28">
                  <c:v>79.503147311571965</c:v>
                </c:pt>
                <c:pt idx="29">
                  <c:v>79.285283393020762</c:v>
                </c:pt>
                <c:pt idx="30">
                  <c:v>79.066656383023513</c:v>
                </c:pt>
                <c:pt idx="31">
                  <c:v>78.84723718123908</c:v>
                </c:pt>
                <c:pt idx="32">
                  <c:v>78.626995879457667</c:v>
                </c:pt>
                <c:pt idx="33">
                  <c:v>78.40590176531451</c:v>
                </c:pt>
                <c:pt idx="34">
                  <c:v>78.183923328697858</c:v>
                </c:pt>
                <c:pt idx="35">
                  <c:v>77.961028271056392</c:v>
                </c:pt>
                <c:pt idx="36">
                  <c:v>77.73718351781244</c:v>
                </c:pt>
                <c:pt idx="37">
                  <c:v>77.512355234088972</c:v>
                </c:pt>
                <c:pt idx="38">
                  <c:v>77.286508843955929</c:v>
                </c:pt>
                <c:pt idx="39">
                  <c:v>77.059609053398901</c:v>
                </c:pt>
                <c:pt idx="40">
                  <c:v>76.831619877207388</c:v>
                </c:pt>
                <c:pt idx="41">
                  <c:v>76.602504669971168</c:v>
                </c:pt>
                <c:pt idx="42">
                  <c:v>76.372226161364523</c:v>
                </c:pt>
                <c:pt idx="43">
                  <c:v>76.140746495882439</c:v>
                </c:pt>
                <c:pt idx="44">
                  <c:v>75.908027277178547</c:v>
                </c:pt>
                <c:pt idx="45">
                  <c:v>75.674029617134011</c:v>
                </c:pt>
                <c:pt idx="46">
                  <c:v>75.438714189763004</c:v>
                </c:pt>
                <c:pt idx="47">
                  <c:v>75.202041290036846</c:v>
                </c:pt>
                <c:pt idx="48">
                  <c:v>74.96397089767602</c:v>
                </c:pt>
                <c:pt idx="49">
                  <c:v>74.724462745928818</c:v>
                </c:pt>
                <c:pt idx="50">
                  <c:v>74.483476395317595</c:v>
                </c:pt>
                <c:pt idx="51">
                  <c:v>74.240971312294434</c:v>
                </c:pt>
                <c:pt idx="52">
                  <c:v>73.996906952705643</c:v>
                </c:pt>
                <c:pt idx="53">
                  <c:v>73.751242849917773</c:v>
                </c:pt>
                <c:pt idx="54">
                  <c:v>73.503938707411322</c:v>
                </c:pt>
                <c:pt idx="55">
                  <c:v>73.25495449559763</c:v>
                </c:pt>
                <c:pt idx="56">
                  <c:v>73.004250552561871</c:v>
                </c:pt>
                <c:pt idx="57">
                  <c:v>72.751787688384255</c:v>
                </c:pt>
                <c:pt idx="58">
                  <c:v>72.497527292636363</c:v>
                </c:pt>
                <c:pt idx="59">
                  <c:v>72.241431444599314</c:v>
                </c:pt>
                <c:pt idx="60">
                  <c:v>71.983463025696622</c:v>
                </c:pt>
                <c:pt idx="61">
                  <c:v>71.723585833586682</c:v>
                </c:pt>
                <c:pt idx="62">
                  <c:v>71.461764697313001</c:v>
                </c:pt>
                <c:pt idx="63">
                  <c:v>71.197965592866396</c:v>
                </c:pt>
                <c:pt idx="64">
                  <c:v>70.93215575847691</c:v>
                </c:pt>
                <c:pt idx="65">
                  <c:v>70.664303808919286</c:v>
                </c:pt>
                <c:pt idx="66">
                  <c:v>70.394379848090779</c:v>
                </c:pt>
                <c:pt idx="67">
                  <c:v>70.122355579099263</c:v>
                </c:pt>
                <c:pt idx="68">
                  <c:v>69.848204411092084</c:v>
                </c:pt>
                <c:pt idx="69">
                  <c:v>69.571901562049902</c:v>
                </c:pt>
                <c:pt idx="70">
                  <c:v>69.293424156779082</c:v>
                </c:pt>
                <c:pt idx="71">
                  <c:v>69.012751319351423</c:v>
                </c:pt>
                <c:pt idx="72">
                  <c:v>68.729864259265852</c:v>
                </c:pt>
                <c:pt idx="73">
                  <c:v>68.444746350640287</c:v>
                </c:pt>
                <c:pt idx="74">
                  <c:v>68.157383203790971</c:v>
                </c:pt>
                <c:pt idx="75">
                  <c:v>67.867762728604532</c:v>
                </c:pt>
                <c:pt idx="76">
                  <c:v>67.575875189174411</c:v>
                </c:pt>
                <c:pt idx="77">
                  <c:v>67.28171324924169</c:v>
                </c:pt>
                <c:pt idx="78">
                  <c:v>66.985272008057592</c:v>
                </c:pt>
                <c:pt idx="79">
                  <c:v>66.686549026366777</c:v>
                </c:pt>
                <c:pt idx="80">
                  <c:v>66.385544342298516</c:v>
                </c:pt>
                <c:pt idx="81">
                  <c:v>66.08226047704315</c:v>
                </c:pt>
                <c:pt idx="82">
                  <c:v>65.776702430284246</c:v>
                </c:pt>
                <c:pt idx="83">
                  <c:v>65.468877665447962</c:v>
                </c:pt>
                <c:pt idx="84">
                  <c:v>65.158796084926024</c:v>
                </c:pt>
                <c:pt idx="85">
                  <c:v>64.846469995516401</c:v>
                </c:pt>
                <c:pt idx="86">
                  <c:v>64.531914064412064</c:v>
                </c:pt>
                <c:pt idx="87">
                  <c:v>64.215145266150671</c:v>
                </c:pt>
                <c:pt idx="88">
                  <c:v>63.896182821012424</c:v>
                </c:pt>
                <c:pt idx="89">
                  <c:v>63.575048125419272</c:v>
                </c:pt>
                <c:pt idx="90">
                  <c:v>63.251764674953719</c:v>
                </c:pt>
                <c:pt idx="91">
                  <c:v>62.926357980660811</c:v>
                </c:pt>
                <c:pt idx="92">
                  <c:v>62.598855479343321</c:v>
                </c:pt>
                <c:pt idx="93">
                  <c:v>62.269286438591763</c:v>
                </c:pt>
                <c:pt idx="94">
                  <c:v>61.93768185731269</c:v>
                </c:pt>
                <c:pt idx="95">
                  <c:v>61.604074362534327</c:v>
                </c:pt>
                <c:pt idx="96">
                  <c:v>61.268498103271938</c:v>
                </c:pt>
                <c:pt idx="97">
                  <c:v>60.93098864222987</c:v>
                </c:pt>
                <c:pt idx="98">
                  <c:v>60.591582846105979</c:v>
                </c:pt>
                <c:pt idx="99">
                  <c:v>60.250318775241539</c:v>
                </c:pt>
                <c:pt idx="100">
                  <c:v>59.907235573333878</c:v>
                </c:pt>
                <c:pt idx="101">
                  <c:v>59.562373357891701</c:v>
                </c:pt>
                <c:pt idx="102">
                  <c:v>59.215773112078537</c:v>
                </c:pt>
                <c:pt idx="103">
                  <c:v>58.867476578540241</c:v>
                </c:pt>
                <c:pt idx="104">
                  <c:v>58.51752615577049</c:v>
                </c:pt>
                <c:pt idx="105">
                  <c:v>58.165964797514114</c:v>
                </c:pt>
                <c:pt idx="106">
                  <c:v>57.812835915659015</c:v>
                </c:pt>
                <c:pt idx="107">
                  <c:v>57.458183287012467</c:v>
                </c:pt>
                <c:pt idx="108">
                  <c:v>57.102050964307708</c:v>
                </c:pt>
                <c:pt idx="109">
                  <c:v>56.744483191730659</c:v>
                </c:pt>
                <c:pt idx="110">
                  <c:v>56.385524325209104</c:v>
                </c:pt>
                <c:pt idx="111">
                  <c:v>56.025218757653562</c:v>
                </c:pt>
                <c:pt idx="112">
                  <c:v>55.663610849295104</c:v>
                </c:pt>
                <c:pt idx="113">
                  <c:v>55.300744863218185</c:v>
                </c:pt>
                <c:pt idx="114">
                  <c:v>54.936664906145928</c:v>
                </c:pt>
                <c:pt idx="115">
                  <c:v>54.571414874495339</c:v>
                </c:pt>
                <c:pt idx="116">
                  <c:v>54.205038405686196</c:v>
                </c:pt>
                <c:pt idx="117">
                  <c:v>53.837578834653037</c:v>
                </c:pt>
                <c:pt idx="118">
                  <c:v>53.469079155482632</c:v>
                </c:pt>
                <c:pt idx="119">
                  <c:v>53.099581988072387</c:v>
                </c:pt>
                <c:pt idx="120">
                  <c:v>52.729129549684906</c:v>
                </c:pt>
                <c:pt idx="121">
                  <c:v>52.35776363125207</c:v>
                </c:pt>
                <c:pt idx="122">
                  <c:v>51.985525578269964</c:v>
                </c:pt>
                <c:pt idx="123">
                  <c:v>51.612456276108468</c:v>
                </c:pt>
                <c:pt idx="124">
                  <c:v>51.23859613955343</c:v>
                </c:pt>
                <c:pt idx="125">
                  <c:v>50.863985106387979</c:v>
                </c:pt>
                <c:pt idx="126">
                  <c:v>50.488662634814816</c:v>
                </c:pt>
                <c:pt idx="127">
                  <c:v>50.112667704520355</c:v>
                </c:pt>
                <c:pt idx="128">
                  <c:v>49.736038821175498</c:v>
                </c:pt>
                <c:pt idx="129">
                  <c:v>49.358814024169561</c:v>
                </c:pt>
                <c:pt idx="130">
                  <c:v>48.981030897378027</c:v>
                </c:pt>
                <c:pt idx="131">
                  <c:v>48.602726582760702</c:v>
                </c:pt>
                <c:pt idx="132">
                  <c:v>48.223937796597419</c:v>
                </c:pt>
                <c:pt idx="133">
                  <c:v>47.844700848165751</c:v>
                </c:pt>
                <c:pt idx="134">
                  <c:v>47.465051660675741</c:v>
                </c:pt>
                <c:pt idx="135">
                  <c:v>47.085025794277954</c:v>
                </c:pt>
                <c:pt idx="136">
                  <c:v>46.704658470967892</c:v>
                </c:pt>
                <c:pt idx="137">
                  <c:v>46.323984601215273</c:v>
                </c:pt>
                <c:pt idx="138">
                  <c:v>45.943038812152786</c:v>
                </c:pt>
                <c:pt idx="139">
                  <c:v>45.561855477163029</c:v>
                </c:pt>
                <c:pt idx="140">
                  <c:v>45.180468746708939</c:v>
                </c:pt>
                <c:pt idx="141">
                  <c:v>44.798912580256676</c:v>
                </c:pt>
                <c:pt idx="142">
                  <c:v>44.417220779146113</c:v>
                </c:pt>
                <c:pt idx="143">
                  <c:v>44.035427020266638</c:v>
                </c:pt>
                <c:pt idx="144">
                  <c:v>43.653564890400261</c:v>
                </c:pt>
                <c:pt idx="145">
                  <c:v>43.271667921096359</c:v>
                </c:pt>
                <c:pt idx="146">
                  <c:v>42.889769623946982</c:v>
                </c:pt>
                <c:pt idx="147">
                  <c:v>42.507903526130022</c:v>
                </c:pt>
                <c:pt idx="148">
                  <c:v>42.126103206091628</c:v>
                </c:pt>
                <c:pt idx="149">
                  <c:v>41.74440232923849</c:v>
                </c:pt>
                <c:pt idx="150">
                  <c:v>41.362834683510087</c:v>
                </c:pt>
                <c:pt idx="151">
                  <c:v>40.981434214701665</c:v>
                </c:pt>
                <c:pt idx="152">
                  <c:v>40.600235061404931</c:v>
                </c:pt>
                <c:pt idx="153">
                  <c:v>40.219271589433475</c:v>
                </c:pt>
                <c:pt idx="154">
                  <c:v>39.838578425596218</c:v>
                </c:pt>
                <c:pt idx="155">
                  <c:v>39.458190490678945</c:v>
                </c:pt>
                <c:pt idx="156">
                  <c:v>39.078143031489894</c:v>
                </c:pt>
                <c:pt idx="157">
                  <c:v>38.698471651822437</c:v>
                </c:pt>
                <c:pt idx="158">
                  <c:v>38.319212342181068</c:v>
                </c:pt>
                <c:pt idx="159">
                  <c:v>37.940401508114782</c:v>
                </c:pt>
                <c:pt idx="160">
                  <c:v>37.562075996993336</c:v>
                </c:pt>
                <c:pt idx="161">
                  <c:v>37.184273123061033</c:v>
                </c:pt>
                <c:pt idx="162">
                  <c:v>36.8070306905921</c:v>
                </c:pt>
                <c:pt idx="163">
                  <c:v>36.430387014972126</c:v>
                </c:pt>
                <c:pt idx="164">
                  <c:v>36.05438094152057</c:v>
                </c:pt>
                <c:pt idx="165">
                  <c:v>35.679051861867663</c:v>
                </c:pt>
                <c:pt idx="166">
                  <c:v>35.304439727695318</c:v>
                </c:pt>
                <c:pt idx="167">
                  <c:v>34.930585061645289</c:v>
                </c:pt>
                <c:pt idx="168">
                  <c:v>34.557528965201463</c:v>
                </c:pt>
                <c:pt idx="169">
                  <c:v>34.185313123345857</c:v>
                </c:pt>
                <c:pt idx="170">
                  <c:v>33.813979805793636</c:v>
                </c:pt>
                <c:pt idx="171">
                  <c:v>33.443571864610888</c:v>
                </c:pt>
                <c:pt idx="172">
                  <c:v>33.0741327280261</c:v>
                </c:pt>
                <c:pt idx="173">
                  <c:v>32.705706390246625</c:v>
                </c:pt>
                <c:pt idx="174">
                  <c:v>32.338337397108006</c:v>
                </c:pt>
                <c:pt idx="175">
                  <c:v>31.972070827385132</c:v>
                </c:pt>
                <c:pt idx="176">
                  <c:v>31.606952269615437</c:v>
                </c:pt>
                <c:pt idx="177">
                  <c:v>31.243027794294839</c:v>
                </c:pt>
                <c:pt idx="178">
                  <c:v>30.880343921331132</c:v>
                </c:pt>
                <c:pt idx="179">
                  <c:v>30.518947582656306</c:v>
                </c:pt>
                <c:pt idx="180">
                  <c:v>30.158886079930859</c:v>
                </c:pt>
                <c:pt idx="181">
                  <c:v>29.800207037297554</c:v>
                </c:pt>
                <c:pt idx="182">
                  <c:v>29.442958349177765</c:v>
                </c:pt>
                <c:pt idx="183">
                  <c:v>29.087188123135576</c:v>
                </c:pt>
                <c:pt idx="184">
                  <c:v>28.732944617879468</c:v>
                </c:pt>
                <c:pt idx="185">
                  <c:v>28.380276176506939</c:v>
                </c:pt>
                <c:pt idx="186">
                  <c:v>28.029231155147365</c:v>
                </c:pt>
                <c:pt idx="187">
                  <c:v>27.679857847204264</c:v>
                </c:pt>
                <c:pt idx="188">
                  <c:v>27.33220440344855</c:v>
                </c:pt>
                <c:pt idx="189">
                  <c:v>26.986318748262569</c:v>
                </c:pt>
                <c:pt idx="190">
                  <c:v>26.642248492393747</c:v>
                </c:pt>
                <c:pt idx="191">
                  <c:v>26.300040842624021</c:v>
                </c:pt>
                <c:pt idx="192">
                  <c:v>25.959742508816063</c:v>
                </c:pt>
                <c:pt idx="193">
                  <c:v>25.621399608851995</c:v>
                </c:pt>
                <c:pt idx="194">
                  <c:v>25.285057572025458</c:v>
                </c:pt>
                <c:pt idx="195">
                  <c:v>24.950761041501348</c:v>
                </c:pt>
                <c:pt idx="196">
                  <c:v>24.618553776496803</c:v>
                </c:pt>
                <c:pt idx="197">
                  <c:v>24.288478554880427</c:v>
                </c:pt>
                <c:pt idx="198">
                  <c:v>23.960577076919108</c:v>
                </c:pt>
                <c:pt idx="199">
                  <c:v>23.634889870929534</c:v>
                </c:pt>
                <c:pt idx="200">
                  <c:v>23.31145620161573</c:v>
                </c:pt>
                <c:pt idx="201">
                  <c:v>22.990313981883371</c:v>
                </c:pt>
                <c:pt idx="202">
                  <c:v>22.671499688928776</c:v>
                </c:pt>
                <c:pt idx="203">
                  <c:v>22.355048285396816</c:v>
                </c:pt>
                <c:pt idx="204">
                  <c:v>22.040993146385993</c:v>
                </c:pt>
                <c:pt idx="205">
                  <c:v>21.729365993059009</c:v>
                </c:pt>
                <c:pt idx="206">
                  <c:v>21.420196833581603</c:v>
                </c:pt>
                <c:pt idx="207">
                  <c:v>21.113513912071529</c:v>
                </c:pt>
                <c:pt idx="208">
                  <c:v>20.809343666186511</c:v>
                </c:pt>
                <c:pt idx="209">
                  <c:v>20.507710693921709</c:v>
                </c:pt>
                <c:pt idx="210">
                  <c:v>20.208637730114614</c:v>
                </c:pt>
                <c:pt idx="211">
                  <c:v>19.912145633083597</c:v>
                </c:pt>
                <c:pt idx="212">
                  <c:v>19.618253381739233</c:v>
                </c:pt>
                <c:pt idx="213">
                  <c:v>19.326978083424205</c:v>
                </c:pt>
                <c:pt idx="214">
                  <c:v>19.038334992642845</c:v>
                </c:pt>
                <c:pt idx="215">
                  <c:v>18.75233754074641</c:v>
                </c:pt>
                <c:pt idx="216">
                  <c:v>18.468997376549719</c:v>
                </c:pt>
                <c:pt idx="217">
                  <c:v>18.188324417751105</c:v>
                </c:pt>
                <c:pt idx="218">
                  <c:v>17.910326912941624</c:v>
                </c:pt>
                <c:pt idx="219">
                  <c:v>17.63501151389341</c:v>
                </c:pt>
                <c:pt idx="220">
                  <c:v>17.362383357731005</c:v>
                </c:pt>
                <c:pt idx="221">
                  <c:v>17.092446158510441</c:v>
                </c:pt>
                <c:pt idx="222">
                  <c:v>16.825202307651367</c:v>
                </c:pt>
                <c:pt idx="223">
                  <c:v>16.560652982603369</c:v>
                </c:pt>
                <c:pt idx="224">
                  <c:v>16.298798263065716</c:v>
                </c:pt>
                <c:pt idx="225">
                  <c:v>16.039637254028211</c:v>
                </c:pt>
                <c:pt idx="226">
                  <c:v>15.783168214858351</c:v>
                </c:pt>
                <c:pt idx="227">
                  <c:v>15.529388693627189</c:v>
                </c:pt>
                <c:pt idx="228">
                  <c:v>15.278295665840451</c:v>
                </c:pt>
                <c:pt idx="229">
                  <c:v>15.029885676724762</c:v>
                </c:pt>
                <c:pt idx="230">
                  <c:v>14.784154986215285</c:v>
                </c:pt>
                <c:pt idx="231">
                  <c:v>14.541099715785419</c:v>
                </c:pt>
                <c:pt idx="232">
                  <c:v>14.300715996272622</c:v>
                </c:pt>
                <c:pt idx="233">
                  <c:v>14.063000115865584</c:v>
                </c:pt>
                <c:pt idx="234">
                  <c:v>13.827948667438847</c:v>
                </c:pt>
                <c:pt idx="235">
                  <c:v>13.595558694446401</c:v>
                </c:pt>
                <c:pt idx="236">
                  <c:v>13.36582783461415</c:v>
                </c:pt>
                <c:pt idx="237">
                  <c:v>13.138754460704856</c:v>
                </c:pt>
                <c:pt idx="238">
                  <c:v>12.914337817662201</c:v>
                </c:pt>
                <c:pt idx="239">
                  <c:v>12.692578155477147</c:v>
                </c:pt>
                <c:pt idx="240">
                  <c:v>12.473476857157602</c:v>
                </c:pt>
                <c:pt idx="241">
                  <c:v>12.257036561217504</c:v>
                </c:pt>
                <c:pt idx="242">
                  <c:v>12.043261278138697</c:v>
                </c:pt>
                <c:pt idx="243">
                  <c:v>11.832156500293271</c:v>
                </c:pt>
                <c:pt idx="244">
                  <c:v>11.62372930484673</c:v>
                </c:pt>
                <c:pt idx="245">
                  <c:v>11.417988449194747</c:v>
                </c:pt>
                <c:pt idx="246">
                  <c:v>11.21494445851374</c:v>
                </c:pt>
                <c:pt idx="247">
                  <c:v>11.014609705032823</c:v>
                </c:pt>
                <c:pt idx="248">
                  <c:v>10.816998478657236</c:v>
                </c:pt>
                <c:pt idx="249">
                  <c:v>10.622127048597193</c:v>
                </c:pt>
                <c:pt idx="250">
                  <c:v>10.430013715672464</c:v>
                </c:pt>
                <c:pt idx="251">
                  <c:v>10.240678854982409</c:v>
                </c:pt>
                <c:pt idx="252">
                  <c:v>10.054144948645312</c:v>
                </c:pt>
                <c:pt idx="253">
                  <c:v>9.8704366083253845</c:v>
                </c:pt>
                <c:pt idx="254">
                  <c:v>9.6895805872793197</c:v>
                </c:pt>
                <c:pt idx="255">
                  <c:v>9.5116057816657911</c:v>
                </c:pt>
                <c:pt idx="256">
                  <c:v>9.3365432208776475</c:v>
                </c:pt>
                <c:pt idx="257">
                  <c:v>9.164426046665044</c:v>
                </c:pt>
                <c:pt idx="258">
                  <c:v>8.9952894808387533</c:v>
                </c:pt>
                <c:pt idx="259">
                  <c:v>8.8291707813566891</c:v>
                </c:pt>
                <c:pt idx="260">
                  <c:v>8.6661091866168469</c:v>
                </c:pt>
                <c:pt idx="261">
                  <c:v>8.5061458478058114</c:v>
                </c:pt>
                <c:pt idx="262">
                  <c:v>8.3493237491758769</c:v>
                </c:pt>
                <c:pt idx="263">
                  <c:v>8.195687616157711</c:v>
                </c:pt>
                <c:pt idx="264">
                  <c:v>8.0452838112519345</c:v>
                </c:pt>
                <c:pt idx="265">
                  <c:v>7.8981602176845502</c:v>
                </c:pt>
                <c:pt idx="266">
                  <c:v>7.754366110859384</c:v>
                </c:pt>
                <c:pt idx="267">
                  <c:v>7.6139520176950617</c:v>
                </c:pt>
                <c:pt idx="268">
                  <c:v>7.4769695639933644</c:v>
                </c:pt>
                <c:pt idx="269">
                  <c:v>7.3434713100538449</c:v>
                </c:pt>
                <c:pt idx="270">
                  <c:v>7.2135105748193791</c:v>
                </c:pt>
                <c:pt idx="271">
                  <c:v>7.087141248919143</c:v>
                </c:pt>
                <c:pt idx="272">
                  <c:v>6.9644175970564905</c:v>
                </c:pt>
                <c:pt idx="273">
                  <c:v>6.8453940502784585</c:v>
                </c:pt>
                <c:pt idx="274">
                  <c:v>6.7301249887583223</c:v>
                </c:pt>
                <c:pt idx="275">
                  <c:v>6.6186645158150759</c:v>
                </c:pt>
                <c:pt idx="276">
                  <c:v>6.5110662239942654</c:v>
                </c:pt>
                <c:pt idx="277">
                  <c:v>6.4073829541313945</c:v>
                </c:pt>
                <c:pt idx="278">
                  <c:v>6.3076665484195704</c:v>
                </c:pt>
                <c:pt idx="279">
                  <c:v>6.21196759859445</c:v>
                </c:pt>
                <c:pt idx="280">
                  <c:v>6.1203351904460437</c:v>
                </c:pt>
                <c:pt idx="281">
                  <c:v>6.0328166459505042</c:v>
                </c:pt>
                <c:pt idx="282">
                  <c:v>5.9494572643939687</c:v>
                </c:pt>
                <c:pt idx="283">
                  <c:v>5.870300063931464</c:v>
                </c:pt>
                <c:pt idx="284">
                  <c:v>5.7953855250821196</c:v>
                </c:pt>
                <c:pt idx="285">
                  <c:v>5.7247513377064756</c:v>
                </c:pt>
                <c:pt idx="286">
                  <c:v>5.6584321530467587</c:v>
                </c:pt>
                <c:pt idx="287">
                  <c:v>5.596459342424362</c:v>
                </c:pt>
                <c:pt idx="288">
                  <c:v>5.5388607641908383</c:v>
                </c:pt>
                <c:pt idx="289">
                  <c:v>5.4856605405077659</c:v>
                </c:pt>
                <c:pt idx="290">
                  <c:v>5.4368788454978576</c:v>
                </c:pt>
                <c:pt idx="291">
                  <c:v>5.3925317062517317</c:v>
                </c:pt>
                <c:pt idx="292">
                  <c:v>5.3526308181023454</c:v>
                </c:pt>
                <c:pt idx="293">
                  <c:v>5.3171833754880469</c:v>
                </c:pt>
                <c:pt idx="294">
                  <c:v>5.2861919196139864</c:v>
                </c:pt>
                <c:pt idx="295">
                  <c:v>5.259654203997826</c:v>
                </c:pt>
                <c:pt idx="296">
                  <c:v>5.2375630788451097</c:v>
                </c:pt>
                <c:pt idx="297">
                  <c:v>5.2199063950460083</c:v>
                </c:pt>
                <c:pt idx="298">
                  <c:v>5.2066669284229272</c:v>
                </c:pt>
                <c:pt idx="299">
                  <c:v>5.1978223246844291</c:v>
                </c:pt>
                <c:pt idx="300">
                  <c:v>5.1933450653647037</c:v>
                </c:pt>
                <c:pt idx="301">
                  <c:v>5.193202454846654</c:v>
                </c:pt>
                <c:pt idx="302">
                  <c:v>5.197356628386868</c:v>
                </c:pt>
                <c:pt idx="303">
                  <c:v>5.2057645808799684</c:v>
                </c:pt>
                <c:pt idx="304">
                  <c:v>5.2183782159314696</c:v>
                </c:pt>
                <c:pt idx="305">
                  <c:v>5.2351444146403727</c:v>
                </c:pt>
                <c:pt idx="306">
                  <c:v>5.2560051233411977</c:v>
                </c:pt>
                <c:pt idx="307">
                  <c:v>5.280897459413497</c:v>
                </c:pt>
                <c:pt idx="308">
                  <c:v>5.3097538341408121</c:v>
                </c:pt>
                <c:pt idx="309">
                  <c:v>5.342502091493774</c:v>
                </c:pt>
                <c:pt idx="310">
                  <c:v>5.3790656616166279</c:v>
                </c:pt>
                <c:pt idx="311">
                  <c:v>5.4193637277268216</c:v>
                </c:pt>
                <c:pt idx="312">
                  <c:v>5.463311405081325</c:v>
                </c:pt>
                <c:pt idx="313">
                  <c:v>5.5108199306295838</c:v>
                </c:pt>
                <c:pt idx="314">
                  <c:v>5.5617968619569327</c:v>
                </c:pt>
                <c:pt idx="315">
                  <c:v>5.6161462841244774</c:v>
                </c:pt>
                <c:pt idx="316">
                  <c:v>5.6737690230324382</c:v>
                </c:pt>
                <c:pt idx="317">
                  <c:v>5.7345628639685007</c:v>
                </c:pt>
                <c:pt idx="318">
                  <c:v>5.7984227740564673</c:v>
                </c:pt>
                <c:pt idx="319">
                  <c:v>5.8652411273801732</c:v>
                </c:pt>
                <c:pt idx="320">
                  <c:v>5.9349079316382678</c:v>
                </c:pt>
                <c:pt idx="321">
                  <c:v>6.0073110552657338</c:v>
                </c:pt>
                <c:pt idx="322">
                  <c:v>6.0823364540511768</c:v>
                </c:pt>
                <c:pt idx="323">
                  <c:v>6.1598683963775382</c:v>
                </c:pt>
                <c:pt idx="324">
                  <c:v>6.239789686314011</c:v>
                </c:pt>
                <c:pt idx="325">
                  <c:v>6.3219818838869459</c:v>
                </c:pt>
                <c:pt idx="326">
                  <c:v>6.4063255219598627</c:v>
                </c:pt>
                <c:pt idx="327">
                  <c:v>6.4927003192573647</c:v>
                </c:pt>
                <c:pt idx="328">
                  <c:v>6.5809853891517855</c:v>
                </c:pt>
                <c:pt idx="329">
                  <c:v>6.6710594439347961</c:v>
                </c:pt>
                <c:pt idx="330">
                  <c:v>6.7628009943695826</c:v>
                </c:pt>
                <c:pt idx="331">
                  <c:v>6.8560885444020228</c:v>
                </c:pt>
                <c:pt idx="332">
                  <c:v>6.9508007809725569</c:v>
                </c:pt>
                <c:pt idx="333">
                  <c:v>7.0468167589335504</c:v>
                </c:pt>
                <c:pt idx="334">
                  <c:v>7.1440160811209541</c:v>
                </c:pt>
                <c:pt idx="335">
                  <c:v>7.2422790736710718</c:v>
                </c:pt>
                <c:pt idx="336">
                  <c:v>7.34148695670007</c:v>
                </c:pt>
                <c:pt idx="337">
                  <c:v>7.4415220104839142</c:v>
                </c:pt>
                <c:pt idx="338">
                  <c:v>7.5422677372831881</c:v>
                </c:pt>
                <c:pt idx="339">
                  <c:v>7.6436090189554653</c:v>
                </c:pt>
                <c:pt idx="340">
                  <c:v>7.7454322704902347</c:v>
                </c:pt>
                <c:pt idx="341">
                  <c:v>7.8476255895799714</c:v>
                </c:pt>
                <c:pt idx="342">
                  <c:v>7.9500789023155063</c:v>
                </c:pt>
                <c:pt idx="343">
                  <c:v>8.0526841050600666</c:v>
                </c:pt>
                <c:pt idx="344">
                  <c:v>8.1553352025186019</c:v>
                </c:pt>
                <c:pt idx="345">
                  <c:v>8.2579284419735703</c:v>
                </c:pt>
                <c:pt idx="346">
                  <c:v>8.360362443613214</c:v>
                </c:pt>
                <c:pt idx="347">
                  <c:v>8.4625383268266283</c:v>
                </c:pt>
                <c:pt idx="348">
                  <c:v>8.5643598322936363</c:v>
                </c:pt>
                <c:pt idx="349">
                  <c:v>8.6657334396425405</c:v>
                </c:pt>
                <c:pt idx="350">
                  <c:v>8.7665684804057911</c:v>
                </c:pt>
                <c:pt idx="351">
                  <c:v>8.8667772459544469</c:v>
                </c:pt>
                <c:pt idx="352">
                  <c:v>8.9662750900539372</c:v>
                </c:pt>
                <c:pt idx="353">
                  <c:v>9.064980525646817</c:v>
                </c:pt>
                <c:pt idx="354">
                  <c:v>9.1628153154399232</c:v>
                </c:pt>
                <c:pt idx="355">
                  <c:v>9.2597045558487494</c:v>
                </c:pt>
                <c:pt idx="356">
                  <c:v>9.3555767538436516</c:v>
                </c:pt>
                <c:pt idx="357">
                  <c:v>9.4503638962309466</c:v>
                </c:pt>
                <c:pt idx="358">
                  <c:v>9.5440015109116505</c:v>
                </c:pt>
                <c:pt idx="359">
                  <c:v>9.6364287196716134</c:v>
                </c:pt>
                <c:pt idx="360">
                  <c:v>9.727588282081264</c:v>
                </c:pt>
                <c:pt idx="361">
                  <c:v>9.8174266301154756</c:v>
                </c:pt>
                <c:pt idx="362">
                  <c:v>9.905893893147141</c:v>
                </c:pt>
                <c:pt idx="363">
                  <c:v>9.9929439130164912</c:v>
                </c:pt>
                <c:pt idx="364">
                  <c:v>10.078534248940114</c:v>
                </c:pt>
                <c:pt idx="365">
                  <c:v>10.162626172083016</c:v>
                </c:pt>
                <c:pt idx="366">
                  <c:v>10.245184649695434</c:v>
                </c:pt>
                <c:pt idx="367">
                  <c:v>10.326178318783066</c:v>
                </c:pt>
                <c:pt idx="368">
                  <c:v>10.405579449367217</c:v>
                </c:pt>
                <c:pt idx="369">
                  <c:v>10.483363897463162</c:v>
                </c:pt>
                <c:pt idx="370">
                  <c:v>10.559511047992558</c:v>
                </c:pt>
                <c:pt idx="371">
                  <c:v>10.634003747922913</c:v>
                </c:pt>
                <c:pt idx="372">
                  <c:v>10.70682823000476</c:v>
                </c:pt>
                <c:pt idx="373">
                  <c:v>10.777974027551583</c:v>
                </c:pt>
                <c:pt idx="374">
                  <c:v>10.847433880776752</c:v>
                </c:pt>
                <c:pt idx="375">
                  <c:v>10.915203635265666</c:v>
                </c:pt>
                <c:pt idx="376">
                  <c:v>10.981282133213481</c:v>
                </c:pt>
                <c:pt idx="377">
                  <c:v>11.045671098112829</c:v>
                </c:pt>
                <c:pt idx="378">
                  <c:v>11.108375013611138</c:v>
                </c:pt>
                <c:pt idx="379">
                  <c:v>11.169400997289811</c:v>
                </c:pt>
                <c:pt idx="380">
                  <c:v>11.228758670140413</c:v>
                </c:pt>
                <c:pt idx="381">
                  <c:v>11.286460022524011</c:v>
                </c:pt>
                <c:pt idx="382">
                  <c:v>11.342519277405156</c:v>
                </c:pt>
                <c:pt idx="383">
                  <c:v>11.396952751647518</c:v>
                </c:pt>
                <c:pt idx="384">
                  <c:v>11.449778716142426</c:v>
                </c:pt>
                <c:pt idx="385">
                  <c:v>11.501017255524635</c:v>
                </c:pt>
                <c:pt idx="386">
                  <c:v>11.550690128197854</c:v>
                </c:pt>
                <c:pt idx="387">
                  <c:v>11.598820627361626</c:v>
                </c:pt>
                <c:pt idx="388">
                  <c:v>11.645433443690191</c:v>
                </c:pt>
                <c:pt idx="389">
                  <c:v>11.69055453026899</c:v>
                </c:pt>
                <c:pt idx="390">
                  <c:v>11.734210970348668</c:v>
                </c:pt>
                <c:pt idx="391">
                  <c:v>11.776430848423765</c:v>
                </c:pt>
                <c:pt idx="392">
                  <c:v>11.817243125091512</c:v>
                </c:pt>
                <c:pt idx="393">
                  <c:v>11.856677516092873</c:v>
                </c:pt>
                <c:pt idx="394">
                  <c:v>11.89476437588252</c:v>
                </c:pt>
                <c:pt idx="395">
                  <c:v>11.931534586022604</c:v>
                </c:pt>
                <c:pt idx="396">
                  <c:v>11.967019448640082</c:v>
                </c:pt>
                <c:pt idx="397">
                  <c:v>12.001250585138809</c:v>
                </c:pt>
                <c:pt idx="398">
                  <c:v>12.034259840306547</c:v>
                </c:pt>
                <c:pt idx="399">
                  <c:v>12.066079191911982</c:v>
                </c:pt>
                <c:pt idx="400">
                  <c:v>12.096740665842155</c:v>
                </c:pt>
                <c:pt idx="401">
                  <c:v>12.126276256790851</c:v>
                </c:pt>
                <c:pt idx="402">
                  <c:v>12.154717854472498</c:v>
                </c:pt>
                <c:pt idx="403">
                  <c:v>12.182097175298068</c:v>
                </c:pt>
                <c:pt idx="404">
                  <c:v>12.208445699425765</c:v>
                </c:pt>
                <c:pt idx="405">
                  <c:v>12.233794613066603</c:v>
                </c:pt>
                <c:pt idx="406">
                  <c:v>12.258174755903937</c:v>
                </c:pt>
                <c:pt idx="407">
                  <c:v>12.281616573468161</c:v>
                </c:pt>
                <c:pt idx="408">
                  <c:v>12.304150074285417</c:v>
                </c:pt>
                <c:pt idx="409">
                  <c:v>12.325804791612905</c:v>
                </c:pt>
                <c:pt idx="410">
                  <c:v>12.346609749554364</c:v>
                </c:pt>
                <c:pt idx="411">
                  <c:v>12.366593433348656</c:v>
                </c:pt>
                <c:pt idx="412">
                  <c:v>12.385783763612707</c:v>
                </c:pt>
                <c:pt idx="413">
                  <c:v>12.404208074320922</c:v>
                </c:pt>
                <c:pt idx="414">
                  <c:v>12.421893094298934</c:v>
                </c:pt>
                <c:pt idx="415">
                  <c:v>12.438864932011901</c:v>
                </c:pt>
                <c:pt idx="416">
                  <c:v>12.455149063427488</c:v>
                </c:pt>
                <c:pt idx="417">
                  <c:v>12.470770322740369</c:v>
                </c:pt>
                <c:pt idx="418">
                  <c:v>12.48575289574635</c:v>
                </c:pt>
                <c:pt idx="419">
                  <c:v>12.500120315660912</c:v>
                </c:pt>
                <c:pt idx="420">
                  <c:v>12.513895461186264</c:v>
                </c:pt>
                <c:pt idx="421">
                  <c:v>12.527100556633922</c:v>
                </c:pt>
                <c:pt idx="422">
                  <c:v>12.539757173920012</c:v>
                </c:pt>
                <c:pt idx="423">
                  <c:v>12.551886236259646</c:v>
                </c:pt>
                <c:pt idx="424">
                  <c:v>12.563508023392293</c:v>
                </c:pt>
                <c:pt idx="425">
                  <c:v>12.574642178182412</c:v>
                </c:pt>
                <c:pt idx="426">
                  <c:v>12.58530771444404</c:v>
                </c:pt>
                <c:pt idx="427">
                  <c:v>12.595523025851845</c:v>
                </c:pt>
                <c:pt idx="428">
                  <c:v>12.605305895804843</c:v>
                </c:pt>
                <c:pt idx="429">
                  <c:v>12.61467350812211</c:v>
                </c:pt>
                <c:pt idx="430">
                  <c:v>12.623642458454738</c:v>
                </c:pt>
                <c:pt idx="431">
                  <c:v>12.632228766307838</c:v>
                </c:pt>
                <c:pt idx="432">
                  <c:v>12.640447887574776</c:v>
                </c:pt>
                <c:pt idx="433">
                  <c:v>12.648314727493197</c:v>
                </c:pt>
                <c:pt idx="434">
                  <c:v>12.655843653938534</c:v>
                </c:pt>
                <c:pt idx="435">
                  <c:v>12.66304851097888</c:v>
                </c:pt>
                <c:pt idx="436">
                  <c:v>12.669942632621749</c:v>
                </c:pt>
                <c:pt idx="437">
                  <c:v>12.676538856688824</c:v>
                </c:pt>
                <c:pt idx="438">
                  <c:v>12.682849538761475</c:v>
                </c:pt>
                <c:pt idx="439">
                  <c:v>12.688886566144221</c:v>
                </c:pt>
                <c:pt idx="440">
                  <c:v>12.694661371800262</c:v>
                </c:pt>
                <c:pt idx="441">
                  <c:v>12.700184948216522</c:v>
                </c:pt>
                <c:pt idx="442">
                  <c:v>12.705467861161191</c:v>
                </c:pt>
                <c:pt idx="443">
                  <c:v>12.710520263300584</c:v>
                </c:pt>
                <c:pt idx="444">
                  <c:v>12.715351907646449</c:v>
                </c:pt>
                <c:pt idx="445">
                  <c:v>12.719972160807471</c:v>
                </c:pt>
                <c:pt idx="446">
                  <c:v>12.724390016024227</c:v>
                </c:pt>
                <c:pt idx="447">
                  <c:v>12.728614105966825</c:v>
                </c:pt>
                <c:pt idx="448">
                  <c:v>12.732652715280885</c:v>
                </c:pt>
                <c:pt idx="449">
                  <c:v>12.736513792866663</c:v>
                </c:pt>
                <c:pt idx="450">
                  <c:v>12.740204963881698</c:v>
                </c:pt>
                <c:pt idx="451">
                  <c:v>12.743733541456379</c:v>
                </c:pt>
                <c:pt idx="452">
                  <c:v>12.747106538116801</c:v>
                </c:pt>
                <c:pt idx="453">
                  <c:v>12.750330676908682</c:v>
                </c:pt>
                <c:pt idx="454">
                  <c:v>12.753412402219308</c:v>
                </c:pt>
                <c:pt idx="455">
                  <c:v>12.756357890294762</c:v>
                </c:pt>
                <c:pt idx="456">
                  <c:v>12.759173059451838</c:v>
                </c:pt>
                <c:pt idx="457">
                  <c:v>12.761863579984871</c:v>
                </c:pt>
                <c:pt idx="458">
                  <c:v>12.76443488376859</c:v>
                </c:pt>
                <c:pt idx="459">
                  <c:v>12.766892173559143</c:v>
                </c:pt>
                <c:pt idx="460">
                  <c:v>12.769240431996426</c:v>
                </c:pt>
                <c:pt idx="461">
                  <c:v>12.77148443031146</c:v>
                </c:pt>
                <c:pt idx="462">
                  <c:v>12.773628736742111</c:v>
                </c:pt>
                <c:pt idx="463">
                  <c:v>12.775677724663668</c:v>
                </c:pt>
                <c:pt idx="464">
                  <c:v>12.77763558043808</c:v>
                </c:pt>
                <c:pt idx="465">
                  <c:v>12.779506310987653</c:v>
                </c:pt>
                <c:pt idx="466">
                  <c:v>12.781293751099804</c:v>
                </c:pt>
                <c:pt idx="467">
                  <c:v>12.783001570468484</c:v>
                </c:pt>
                <c:pt idx="468">
                  <c:v>12.784633280478417</c:v>
                </c:pt>
                <c:pt idx="469">
                  <c:v>12.786192240739876</c:v>
                </c:pt>
                <c:pt idx="470">
                  <c:v>12.787681665378489</c:v>
                </c:pt>
                <c:pt idx="471">
                  <c:v>12.789104629089534</c:v>
                </c:pt>
                <c:pt idx="472">
                  <c:v>12.790464072961178</c:v>
                </c:pt>
                <c:pt idx="473">
                  <c:v>12.791762810074662</c:v>
                </c:pt>
                <c:pt idx="474">
                  <c:v>12.793003530887329</c:v>
                </c:pt>
                <c:pt idx="475">
                  <c:v>12.794188808407277</c:v>
                </c:pt>
                <c:pt idx="476">
                  <c:v>12.795321103162774</c:v>
                </c:pt>
                <c:pt idx="477">
                  <c:v>12.796402767976891</c:v>
                </c:pt>
                <c:pt idx="478">
                  <c:v>12.797436052551344</c:v>
                </c:pt>
                <c:pt idx="479">
                  <c:v>12.798423107866498</c:v>
                </c:pt>
                <c:pt idx="480">
                  <c:v>12.799365990405269</c:v>
                </c:pt>
                <c:pt idx="481">
                  <c:v>12.800266666204065</c:v>
                </c:pt>
                <c:pt idx="482">
                  <c:v>12.801127014740828</c:v>
                </c:pt>
                <c:pt idx="483">
                  <c:v>12.801948832662644</c:v>
                </c:pt>
                <c:pt idx="484">
                  <c:v>12.802733837360519</c:v>
                </c:pt>
                <c:pt idx="485">
                  <c:v>12.803483670396314</c:v>
                </c:pt>
                <c:pt idx="486">
                  <c:v>12.804199900788419</c:v>
                </c:pt>
                <c:pt idx="487">
                  <c:v>12.804884028159334</c:v>
                </c:pt>
                <c:pt idx="488">
                  <c:v>12.805537485752787</c:v>
                </c:pt>
                <c:pt idx="489">
                  <c:v>12.806161643323753</c:v>
                </c:pt>
                <c:pt idx="490">
                  <c:v>12.806757809907367</c:v>
                </c:pt>
                <c:pt idx="491">
                  <c:v>12.807327236469987</c:v>
                </c:pt>
                <c:pt idx="492">
                  <c:v>12.807871118449361</c:v>
                </c:pt>
                <c:pt idx="493">
                  <c:v>12.808390598185941</c:v>
                </c:pt>
                <c:pt idx="494">
                  <c:v>12.808886767250522</c:v>
                </c:pt>
                <c:pt idx="495">
                  <c:v>12.809360668673513</c:v>
                </c:pt>
                <c:pt idx="496">
                  <c:v>12.809813299077746</c:v>
                </c:pt>
                <c:pt idx="497">
                  <c:v>12.810245610720422</c:v>
                </c:pt>
                <c:pt idx="498">
                  <c:v>12.810658513446992</c:v>
                </c:pt>
                <c:pt idx="499">
                  <c:v>12.811052876560783</c:v>
                </c:pt>
                <c:pt idx="500">
                  <c:v>12.811429530612219</c:v>
                </c:pt>
                <c:pt idx="501">
                  <c:v>12.811789269109832</c:v>
                </c:pt>
                <c:pt idx="502">
                  <c:v>12.812132850158687</c:v>
                </c:pt>
                <c:pt idx="503">
                  <c:v>12.812460998025694</c:v>
                </c:pt>
                <c:pt idx="504">
                  <c:v>12.812774404638272</c:v>
                </c:pt>
                <c:pt idx="505">
                  <c:v>12.81307373101718</c:v>
                </c:pt>
                <c:pt idx="506">
                  <c:v>12.813359608647239</c:v>
                </c:pt>
                <c:pt idx="507">
                  <c:v>12.813632640787333</c:v>
                </c:pt>
                <c:pt idx="508">
                  <c:v>12.813893403723666</c:v>
                </c:pt>
                <c:pt idx="509">
                  <c:v>12.81414244796842</c:v>
                </c:pt>
                <c:pt idx="510">
                  <c:v>12.814380299405506</c:v>
                </c:pt>
                <c:pt idx="511">
                  <c:v>12.814607460385348</c:v>
                </c:pt>
                <c:pt idx="512">
                  <c:v>12.814824410772928</c:v>
                </c:pt>
                <c:pt idx="513">
                  <c:v>12.815031608948624</c:v>
                </c:pt>
                <c:pt idx="514">
                  <c:v>12.815229492765127</c:v>
                </c:pt>
                <c:pt idx="515">
                  <c:v>12.815418480462313</c:v>
                </c:pt>
                <c:pt idx="516">
                  <c:v>12.81559897154195</c:v>
                </c:pt>
                <c:pt idx="517">
                  <c:v>12.815771347603697</c:v>
                </c:pt>
                <c:pt idx="518">
                  <c:v>12.815935973143208</c:v>
                </c:pt>
                <c:pt idx="519">
                  <c:v>12.81609319631646</c:v>
                </c:pt>
                <c:pt idx="520">
                  <c:v>12.816243349669136</c:v>
                </c:pt>
                <c:pt idx="521">
                  <c:v>12.816386750833992</c:v>
                </c:pt>
                <c:pt idx="522">
                  <c:v>12.816523703197236</c:v>
                </c:pt>
                <c:pt idx="523">
                  <c:v>12.816654496535492</c:v>
                </c:pt>
                <c:pt idx="524">
                  <c:v>12.816779407624189</c:v>
                </c:pt>
                <c:pt idx="525">
                  <c:v>12.816898700819973</c:v>
                </c:pt>
                <c:pt idx="526">
                  <c:v>12.817012628614677</c:v>
                </c:pt>
                <c:pt idx="527">
                  <c:v>12.817121432167946</c:v>
                </c:pt>
                <c:pt idx="528">
                  <c:v>12.817225341813664</c:v>
                </c:pt>
                <c:pt idx="529">
                  <c:v>12.8173245775449</c:v>
                </c:pt>
                <c:pt idx="530">
                  <c:v>12.81741934947706</c:v>
                </c:pt>
                <c:pt idx="531">
                  <c:v>12.817509858290725</c:v>
                </c:pt>
                <c:pt idx="532">
                  <c:v>12.817596295653416</c:v>
                </c:pt>
                <c:pt idx="533">
                  <c:v>12.817678844624394</c:v>
                </c:pt>
                <c:pt idx="534">
                  <c:v>12.817757680040438</c:v>
                </c:pt>
                <c:pt idx="535">
                  <c:v>12.817832968884327</c:v>
                </c:pt>
                <c:pt idx="536">
                  <c:v>12.817904870636605</c:v>
                </c:pt>
                <c:pt idx="537">
                  <c:v>12.817973537612811</c:v>
                </c:pt>
                <c:pt idx="538">
                  <c:v>12.818039115284259</c:v>
                </c:pt>
                <c:pt idx="539">
                  <c:v>12.818101742585547</c:v>
                </c:pt>
                <c:pt idx="540">
                  <c:v>12.818161552207432</c:v>
                </c:pt>
                <c:pt idx="541">
                  <c:v>12.818218670877199</c:v>
                </c:pt>
              </c:numCache>
            </c:numRef>
          </c:yVal>
          <c:smooth val="1"/>
          <c:extLst>
            <c:ext xmlns:c16="http://schemas.microsoft.com/office/drawing/2014/chart" uri="{C3380CC4-5D6E-409C-BE32-E72D297353CC}">
              <c16:uniqueId val="{00000000-F11A-4C29-9835-786B9CEC5C6A}"/>
            </c:ext>
          </c:extLst>
        </c:ser>
        <c:dLbls>
          <c:showLegendKey val="0"/>
          <c:showVal val="0"/>
          <c:showCatName val="0"/>
          <c:showSerName val="0"/>
          <c:showPercent val="0"/>
          <c:showBubbleSize val="0"/>
        </c:dLbls>
        <c:axId val="555344640"/>
        <c:axId val="555346560"/>
      </c:scatterChart>
      <c:scatterChart>
        <c:scatterStyle val="smoothMarker"/>
        <c:varyColors val="0"/>
        <c:ser>
          <c:idx val="1"/>
          <c:order val="1"/>
          <c:spPr>
            <a:ln w="38100">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Loop_Modeling!$BK$19:$BK$560</c:f>
              <c:numCache>
                <c:formatCode>General</c:formatCode>
                <c:ptCount val="542"/>
                <c:pt idx="0">
                  <c:v>81.179939710782264</c:v>
                </c:pt>
                <c:pt idx="1">
                  <c:v>80.978334571374333</c:v>
                </c:pt>
                <c:pt idx="2">
                  <c:v>80.77230197133774</c:v>
                </c:pt>
                <c:pt idx="3">
                  <c:v>80.561757256186894</c:v>
                </c:pt>
                <c:pt idx="4">
                  <c:v>80.346615034907785</c:v>
                </c:pt>
                <c:pt idx="5">
                  <c:v>80.126789241203554</c:v>
                </c:pt>
                <c:pt idx="6">
                  <c:v>79.902193200649776</c:v>
                </c:pt>
                <c:pt idx="7">
                  <c:v>79.672739704094838</c:v>
                </c:pt>
                <c:pt idx="8">
                  <c:v>79.438341087651182</c:v>
                </c:pt>
                <c:pt idx="9">
                  <c:v>79.198909319631767</c:v>
                </c:pt>
                <c:pt idx="10">
                  <c:v>78.954356094791493</c:v>
                </c:pt>
                <c:pt idx="11">
                  <c:v>78.704592936242804</c:v>
                </c:pt>
                <c:pt idx="12">
                  <c:v>78.449531305418176</c:v>
                </c:pt>
                <c:pt idx="13">
                  <c:v>78.189082720453598</c:v>
                </c:pt>
                <c:pt idx="14">
                  <c:v>77.923158883373731</c:v>
                </c:pt>
                <c:pt idx="15">
                  <c:v>77.651671816450559</c:v>
                </c:pt>
                <c:pt idx="16">
                  <c:v>77.374534008112477</c:v>
                </c:pt>
                <c:pt idx="17">
                  <c:v>77.091658568768537</c:v>
                </c:pt>
                <c:pt idx="18">
                  <c:v>76.80295939690356</c:v>
                </c:pt>
                <c:pt idx="19">
                  <c:v>76.508351355791319</c:v>
                </c:pt>
                <c:pt idx="20">
                  <c:v>76.207750461150141</c:v>
                </c:pt>
                <c:pt idx="21">
                  <c:v>75.901074080046897</c:v>
                </c:pt>
                <c:pt idx="22">
                  <c:v>75.588241141330371</c:v>
                </c:pt>
                <c:pt idx="23">
                  <c:v>75.269172357838713</c:v>
                </c:pt>
                <c:pt idx="24">
                  <c:v>74.94379046059683</c:v>
                </c:pt>
                <c:pt idx="25">
                  <c:v>74.612020445164745</c:v>
                </c:pt>
                <c:pt idx="26">
                  <c:v>74.27378983026324</c:v>
                </c:pt>
                <c:pt idx="27">
                  <c:v>73.929028928731569</c:v>
                </c:pt>
                <c:pt idx="28">
                  <c:v>73.577671130819127</c:v>
                </c:pt>
                <c:pt idx="29">
                  <c:v>73.219653199735816</c:v>
                </c:pt>
                <c:pt idx="30">
                  <c:v>72.854915579309051</c:v>
                </c:pt>
                <c:pt idx="31">
                  <c:v>72.483402713504887</c:v>
                </c:pt>
                <c:pt idx="32">
                  <c:v>72.105063377478288</c:v>
                </c:pt>
                <c:pt idx="33">
                  <c:v>71.719851019707534</c:v>
                </c:pt>
                <c:pt idx="34">
                  <c:v>71.327724114659802</c:v>
                </c:pt>
                <c:pt idx="35">
                  <c:v>70.92864652530902</c:v>
                </c:pt>
                <c:pt idx="36">
                  <c:v>70.522587874697237</c:v>
                </c:pt>
                <c:pt idx="37">
                  <c:v>70.109523925594814</c:v>
                </c:pt>
                <c:pt idx="38">
                  <c:v>69.689436967164951</c:v>
                </c:pt>
                <c:pt idx="39">
                  <c:v>69.262316207390541</c:v>
                </c:pt>
                <c:pt idx="40">
                  <c:v>68.828158169858554</c:v>
                </c:pt>
                <c:pt idx="41">
                  <c:v>68.386967093336551</c:v>
                </c:pt>
                <c:pt idx="42">
                  <c:v>67.938755332409229</c:v>
                </c:pt>
                <c:pt idx="43">
                  <c:v>67.483543757276436</c:v>
                </c:pt>
                <c:pt idx="44">
                  <c:v>67.021362150642148</c:v>
                </c:pt>
                <c:pt idx="45">
                  <c:v>66.552249599463806</c:v>
                </c:pt>
                <c:pt idx="46">
                  <c:v>66.076254879166314</c:v>
                </c:pt>
                <c:pt idx="47">
                  <c:v>65.593436827772408</c:v>
                </c:pt>
                <c:pt idx="48">
                  <c:v>65.103864707257941</c:v>
                </c:pt>
                <c:pt idx="49">
                  <c:v>64.607618549307787</c:v>
                </c:pt>
                <c:pt idx="50">
                  <c:v>64.104789482534599</c:v>
                </c:pt>
                <c:pt idx="51">
                  <c:v>63.595480038124343</c:v>
                </c:pt>
                <c:pt idx="52">
                  <c:v>63.079804430804089</c:v>
                </c:pt>
                <c:pt idx="53">
                  <c:v>62.55788881197099</c:v>
                </c:pt>
                <c:pt idx="54">
                  <c:v>62.029871491815271</c:v>
                </c:pt>
                <c:pt idx="55">
                  <c:v>61.495903127272122</c:v>
                </c:pt>
                <c:pt idx="56">
                  <c:v>60.956146872696372</c:v>
                </c:pt>
                <c:pt idx="57">
                  <c:v>60.410778490231316</c:v>
                </c:pt>
                <c:pt idx="58">
                  <c:v>59.859986416979396</c:v>
                </c:pt>
                <c:pt idx="59">
                  <c:v>59.303971786246933</c:v>
                </c:pt>
                <c:pt idx="60">
                  <c:v>58.742948400343366</c:v>
                </c:pt>
                <c:pt idx="61">
                  <c:v>58.177142652677446</c:v>
                </c:pt>
                <c:pt idx="62">
                  <c:v>57.606793397188859</c:v>
                </c:pt>
                <c:pt idx="63">
                  <c:v>57.03215176348813</c:v>
                </c:pt>
                <c:pt idx="64">
                  <c:v>56.453480916467853</c:v>
                </c:pt>
                <c:pt idx="65">
                  <c:v>55.871055759562708</c:v>
                </c:pt>
                <c:pt idx="66">
                  <c:v>55.285162581277511</c:v>
                </c:pt>
                <c:pt idx="67">
                  <c:v>54.69609864510204</c:v>
                </c:pt>
                <c:pt idx="68">
                  <c:v>54.104171723414673</c:v>
                </c:pt>
                <c:pt idx="69">
                  <c:v>53.509699576513171</c:v>
                </c:pt>
                <c:pt idx="70">
                  <c:v>52.913009378431923</c:v>
                </c:pt>
                <c:pt idx="71">
                  <c:v>52.314437091744402</c:v>
                </c:pt>
                <c:pt idx="72">
                  <c:v>51.714326794069663</c:v>
                </c:pt>
                <c:pt idx="73">
                  <c:v>51.113029959530429</c:v>
                </c:pt>
                <c:pt idx="74">
                  <c:v>50.510904698880289</c:v>
                </c:pt>
                <c:pt idx="75">
                  <c:v>49.908314962497514</c:v>
                </c:pt>
                <c:pt idx="76">
                  <c:v>49.305629710857431</c:v>
                </c:pt>
                <c:pt idx="77">
                  <c:v>48.703222057466739</c:v>
                </c:pt>
                <c:pt idx="78">
                  <c:v>48.10146838957705</c:v>
                </c:pt>
                <c:pt idx="79">
                  <c:v>47.500747472245301</c:v>
                </c:pt>
                <c:pt idx="80">
                  <c:v>46.9014395415211</c:v>
                </c:pt>
                <c:pt idx="81">
                  <c:v>46.303925392660489</c:v>
                </c:pt>
                <c:pt idx="82">
                  <c:v>45.708585469341166</c:v>
                </c:pt>
                <c:pt idx="83">
                  <c:v>45.115798959823437</c:v>
                </c:pt>
                <c:pt idx="84">
                  <c:v>44.525942905943666</c:v>
                </c:pt>
                <c:pt idx="85">
                  <c:v>43.939391330653073</c:v>
                </c:pt>
                <c:pt idx="86">
                  <c:v>43.356514389609565</c:v>
                </c:pt>
                <c:pt idx="87">
                  <c:v>42.777677552047408</c:v>
                </c:pt>
                <c:pt idx="88">
                  <c:v>42.20324081579875</c:v>
                </c:pt>
                <c:pt idx="89">
                  <c:v>41.633557960966137</c:v>
                </c:pt>
                <c:pt idx="90">
                  <c:v>41.068975846301242</c:v>
                </c:pt>
                <c:pt idx="91">
                  <c:v>40.509833751871426</c:v>
                </c:pt>
                <c:pt idx="92">
                  <c:v>39.956462771103809</c:v>
                </c:pt>
                <c:pt idx="93">
                  <c:v>39.409185254767891</c:v>
                </c:pt>
                <c:pt idx="94">
                  <c:v>38.868314308928454</c:v>
                </c:pt>
                <c:pt idx="95">
                  <c:v>38.334153348371657</c:v>
                </c:pt>
                <c:pt idx="96">
                  <c:v>37.806995706465123</c:v>
                </c:pt>
                <c:pt idx="97">
                  <c:v>37.287124301899794</c:v>
                </c:pt>
                <c:pt idx="98">
                  <c:v>36.774811362265986</c:v>
                </c:pt>
                <c:pt idx="99">
                  <c:v>36.270318203928369</c:v>
                </c:pt>
                <c:pt idx="100">
                  <c:v>35.773895067233646</c:v>
                </c:pt>
                <c:pt idx="101">
                  <c:v>35.285781005661399</c:v>
                </c:pt>
                <c:pt idx="102">
                  <c:v>34.806203827164865</c:v>
                </c:pt>
                <c:pt idx="103">
                  <c:v>34.335380085612542</c:v>
                </c:pt>
                <c:pt idx="104">
                  <c:v>33.873515119951172</c:v>
                </c:pt>
                <c:pt idx="105">
                  <c:v>33.420803138464073</c:v>
                </c:pt>
                <c:pt idx="106">
                  <c:v>32.977427345299851</c:v>
                </c:pt>
                <c:pt idx="107">
                  <c:v>32.543560106277262</c:v>
                </c:pt>
                <c:pt idx="108">
                  <c:v>32.119363150857261</c:v>
                </c:pt>
                <c:pt idx="109">
                  <c:v>31.704987807094017</c:v>
                </c:pt>
                <c:pt idx="110">
                  <c:v>31.300575266326668</c:v>
                </c:pt>
                <c:pt idx="111">
                  <c:v>30.906256874370953</c:v>
                </c:pt>
                <c:pt idx="112">
                  <c:v>30.52215444598535</c:v>
                </c:pt>
                <c:pt idx="113">
                  <c:v>30.148380599440159</c:v>
                </c:pt>
                <c:pt idx="114">
                  <c:v>29.785039108091659</c:v>
                </c:pt>
                <c:pt idx="115">
                  <c:v>29.432225265953093</c:v>
                </c:pt>
                <c:pt idx="116">
                  <c:v>29.090026264380985</c:v>
                </c:pt>
                <c:pt idx="117">
                  <c:v>28.758521577107306</c:v>
                </c:pt>
                <c:pt idx="118">
                  <c:v>28.437783351001499</c:v>
                </c:pt>
                <c:pt idx="119">
                  <c:v>28.127876800089254</c:v>
                </c:pt>
                <c:pt idx="120">
                  <c:v>27.828860600508037</c:v>
                </c:pt>
                <c:pt idx="121">
                  <c:v>27.54078728424518</c:v>
                </c:pt>
                <c:pt idx="122">
                  <c:v>27.263703629656174</c:v>
                </c:pt>
                <c:pt idx="123">
                  <c:v>26.997651046922172</c:v>
                </c:pt>
                <c:pt idx="124">
                  <c:v>26.742665956769091</c:v>
                </c:pt>
                <c:pt idx="125">
                  <c:v>26.49878016090949</c:v>
                </c:pt>
                <c:pt idx="126">
                  <c:v>26.266021202829503</c:v>
                </c:pt>
                <c:pt idx="127">
                  <c:v>26.044412717674973</c:v>
                </c:pt>
                <c:pt idx="128">
                  <c:v>25.833974770128172</c:v>
                </c:pt>
                <c:pt idx="129">
                  <c:v>25.634724179288792</c:v>
                </c:pt>
                <c:pt idx="130">
                  <c:v>25.446674829698146</c:v>
                </c:pt>
                <c:pt idx="131">
                  <c:v>25.26983796774266</c:v>
                </c:pt>
                <c:pt idx="132">
                  <c:v>25.104222482780926</c:v>
                </c:pt>
                <c:pt idx="133">
                  <c:v>24.949835172430038</c:v>
                </c:pt>
                <c:pt idx="134">
                  <c:v>24.806680991524296</c:v>
                </c:pt>
                <c:pt idx="135">
                  <c:v>24.674763284334468</c:v>
                </c:pt>
                <c:pt idx="136">
                  <c:v>24.554083999708144</c:v>
                </c:pt>
                <c:pt idx="137">
                  <c:v>24.444643888840595</c:v>
                </c:pt>
                <c:pt idx="138">
                  <c:v>24.346442685442877</c:v>
                </c:pt>
                <c:pt idx="139">
                  <c:v>24.25947926811461</c:v>
                </c:pt>
                <c:pt idx="140">
                  <c:v>24.183751804767393</c:v>
                </c:pt>
                <c:pt idx="141">
                  <c:v>24.119257878977876</c:v>
                </c:pt>
                <c:pt idx="142">
                  <c:v>24.065994598173056</c:v>
                </c:pt>
                <c:pt idx="143">
                  <c:v>24.023958683575188</c:v>
                </c:pt>
                <c:pt idx="144">
                  <c:v>23.993146541850706</c:v>
                </c:pt>
                <c:pt idx="145">
                  <c:v>23.973554318423137</c:v>
                </c:pt>
                <c:pt idx="146">
                  <c:v>23.965177932418655</c:v>
                </c:pt>
                <c:pt idx="147">
                  <c:v>23.968013093230812</c:v>
                </c:pt>
                <c:pt idx="148">
                  <c:v>23.982055298689605</c:v>
                </c:pt>
                <c:pt idx="149">
                  <c:v>24.00729981483736</c:v>
                </c:pt>
                <c:pt idx="150">
                  <c:v>24.043741637316156</c:v>
                </c:pt>
                <c:pt idx="151">
                  <c:v>24.091375434381447</c:v>
                </c:pt>
                <c:pt idx="152">
                  <c:v>24.150195471571759</c:v>
                </c:pt>
                <c:pt idx="153">
                  <c:v>24.22019551806487</c:v>
                </c:pt>
                <c:pt idx="154">
                  <c:v>24.301368734779846</c:v>
                </c:pt>
                <c:pt idx="155">
                  <c:v>24.393707544289892</c:v>
                </c:pt>
                <c:pt idx="156">
                  <c:v>24.49720348264086</c:v>
                </c:pt>
                <c:pt idx="157">
                  <c:v>24.611847033191896</c:v>
                </c:pt>
                <c:pt idx="158">
                  <c:v>24.73762744262952</c:v>
                </c:pt>
                <c:pt idx="159">
                  <c:v>24.87453251934047</c:v>
                </c:pt>
                <c:pt idx="160">
                  <c:v>25.022548414376722</c:v>
                </c:pt>
                <c:pt idx="161">
                  <c:v>25.181659385288871</c:v>
                </c:pt>
                <c:pt idx="162">
                  <c:v>25.351847543172834</c:v>
                </c:pt>
                <c:pt idx="163">
                  <c:v>25.533092583326933</c:v>
                </c:pt>
                <c:pt idx="164">
                  <c:v>25.725371500004336</c:v>
                </c:pt>
                <c:pt idx="165">
                  <c:v>25.928658285815015</c:v>
                </c:pt>
                <c:pt idx="166">
                  <c:v>26.142923616429346</c:v>
                </c:pt>
                <c:pt idx="167">
                  <c:v>26.368134521335314</c:v>
                </c:pt>
                <c:pt idx="168">
                  <c:v>26.604254041504937</c:v>
                </c:pt>
                <c:pt idx="169">
                  <c:v>26.85124087494605</c:v>
                </c:pt>
                <c:pt idx="170">
                  <c:v>27.109049011239119</c:v>
                </c:pt>
                <c:pt idx="171">
                  <c:v>27.377627356294973</c:v>
                </c:pt>
                <c:pt idx="172">
                  <c:v>27.65691934870194</c:v>
                </c:pt>
                <c:pt idx="173">
                  <c:v>27.946862569189907</c:v>
                </c:pt>
                <c:pt idx="174">
                  <c:v>28.247388344877844</c:v>
                </c:pt>
                <c:pt idx="175">
                  <c:v>28.558421350137774</c:v>
                </c:pt>
                <c:pt idx="176">
                  <c:v>28.879879206061645</c:v>
                </c:pt>
                <c:pt idx="177">
                  <c:v>29.211672080679353</c:v>
                </c:pt>
                <c:pt idx="178">
                  <c:v>29.553702292233432</c:v>
                </c:pt>
                <c:pt idx="179">
                  <c:v>29.905863917973207</c:v>
                </c:pt>
                <c:pt idx="180">
                  <c:v>30.268042411077335</c:v>
                </c:pt>
                <c:pt idx="181">
                  <c:v>30.64011422845677</c:v>
                </c:pt>
                <c:pt idx="182">
                  <c:v>31.021946472319279</c:v>
                </c:pt>
                <c:pt idx="183">
                  <c:v>31.413396548488098</c:v>
                </c:pt>
                <c:pt idx="184">
                  <c:v>31.814311844567051</c:v>
                </c:pt>
                <c:pt idx="185">
                  <c:v>32.224529431118007</c:v>
                </c:pt>
                <c:pt idx="186">
                  <c:v>32.643875789069881</c:v>
                </c:pt>
                <c:pt idx="187">
                  <c:v>33.072166566594262</c:v>
                </c:pt>
                <c:pt idx="188">
                  <c:v>33.509206368684239</c:v>
                </c:pt>
                <c:pt idx="189">
                  <c:v>33.954788582627216</c:v>
                </c:pt>
                <c:pt idx="190">
                  <c:v>34.408695242474913</c:v>
                </c:pt>
                <c:pt idx="191">
                  <c:v>34.870696935513358</c:v>
                </c:pt>
                <c:pt idx="192">
                  <c:v>35.340552753559813</c:v>
                </c:pt>
                <c:pt idx="193">
                  <c:v>35.818010291718103</c:v>
                </c:pt>
                <c:pt idx="194">
                  <c:v>36.302805696988401</c:v>
                </c:pt>
                <c:pt idx="195">
                  <c:v>36.794663768817948</c:v>
                </c:pt>
                <c:pt idx="196">
                  <c:v>37.293298113373346</c:v>
                </c:pt>
                <c:pt idx="197">
                  <c:v>37.798411352928753</c:v>
                </c:pt>
                <c:pt idx="198">
                  <c:v>38.30969539135603</c:v>
                </c:pt>
                <c:pt idx="199">
                  <c:v>38.826831736271323</c:v>
                </c:pt>
                <c:pt idx="200">
                  <c:v>39.349491877902672</c:v>
                </c:pt>
                <c:pt idx="201">
                  <c:v>39.87733772425252</c:v>
                </c:pt>
                <c:pt idx="202">
                  <c:v>40.410022091615566</c:v>
                </c:pt>
                <c:pt idx="203">
                  <c:v>40.947189248967014</c:v>
                </c:pt>
                <c:pt idx="204">
                  <c:v>41.488475514217932</c:v>
                </c:pt>
                <c:pt idx="205">
                  <c:v>42.033509899788633</c:v>
                </c:pt>
                <c:pt idx="206">
                  <c:v>42.581914804437936</c:v>
                </c:pt>
                <c:pt idx="207">
                  <c:v>43.133306747780857</c:v>
                </c:pt>
                <c:pt idx="208">
                  <c:v>43.687297143455609</c:v>
                </c:pt>
                <c:pt idx="209">
                  <c:v>44.243493106463383</c:v>
                </c:pt>
                <c:pt idx="210">
                  <c:v>44.801498289810183</c:v>
                </c:pt>
                <c:pt idx="211">
                  <c:v>45.360913745239138</c:v>
                </c:pt>
                <c:pt idx="212">
                  <c:v>45.921338802557621</c:v>
                </c:pt>
                <c:pt idx="213">
                  <c:v>46.482371961837949</c:v>
                </c:pt>
                <c:pt idx="214">
                  <c:v>47.043611792620645</c:v>
                </c:pt>
                <c:pt idx="215">
                  <c:v>47.604657834157962</c:v>
                </c:pt>
                <c:pt idx="216">
                  <c:v>48.165111490726524</c:v>
                </c:pt>
                <c:pt idx="217">
                  <c:v>48.724576916092659</c:v>
                </c:pt>
                <c:pt idx="218">
                  <c:v>49.282661881340914</c:v>
                </c:pt>
                <c:pt idx="219">
                  <c:v>49.838978620479814</c:v>
                </c:pt>
                <c:pt idx="220">
                  <c:v>50.393144648487123</c:v>
                </c:pt>
                <c:pt idx="221">
                  <c:v>50.944783546792991</c:v>
                </c:pt>
                <c:pt idx="222">
                  <c:v>51.493525711554121</c:v>
                </c:pt>
                <c:pt idx="223">
                  <c:v>52.039009060514552</c:v>
                </c:pt>
                <c:pt idx="224">
                  <c:v>52.580879694684192</c:v>
                </c:pt>
                <c:pt idx="225">
                  <c:v>53.118792511579315</c:v>
                </c:pt>
                <c:pt idx="226">
                  <c:v>53.652411767264979</c:v>
                </c:pt>
                <c:pt idx="227">
                  <c:v>54.181411584978022</c:v>
                </c:pt>
                <c:pt idx="228">
                  <c:v>54.705476408637693</c:v>
                </c:pt>
                <c:pt idx="229">
                  <c:v>55.224301400085714</c:v>
                </c:pt>
                <c:pt idx="230">
                  <c:v>55.737592779419522</c:v>
                </c:pt>
                <c:pt idx="231">
                  <c:v>56.245068108284492</c:v>
                </c:pt>
                <c:pt idx="232">
                  <c:v>56.746456516476265</c:v>
                </c:pt>
                <c:pt idx="233">
                  <c:v>57.241498872664302</c:v>
                </c:pt>
                <c:pt idx="234">
                  <c:v>57.729947900453048</c:v>
                </c:pt>
                <c:pt idx="235">
                  <c:v>58.211568241397238</c:v>
                </c:pt>
                <c:pt idx="236">
                  <c:v>58.686136466924168</c:v>
                </c:pt>
                <c:pt idx="237">
                  <c:v>59.153441041416031</c:v>
                </c:pt>
                <c:pt idx="238">
                  <c:v>59.613282238971543</c:v>
                </c:pt>
                <c:pt idx="239">
                  <c:v>60.065472016573935</c:v>
                </c:pt>
                <c:pt idx="240">
                  <c:v>60.509833846572008</c:v>
                </c:pt>
                <c:pt idx="241">
                  <c:v>60.946202511511579</c:v>
                </c:pt>
                <c:pt idx="242">
                  <c:v>61.374423864441503</c:v>
                </c:pt>
                <c:pt idx="243">
                  <c:v>61.794354557877412</c:v>
                </c:pt>
                <c:pt idx="244">
                  <c:v>62.205861744625452</c:v>
                </c:pt>
                <c:pt idx="245">
                  <c:v>62.608822753648433</c:v>
                </c:pt>
                <c:pt idx="246">
                  <c:v>63.00312474412349</c:v>
                </c:pt>
                <c:pt idx="247">
                  <c:v>63.388664340762602</c:v>
                </c:pt>
                <c:pt idx="248">
                  <c:v>63.765347253385038</c:v>
                </c:pt>
                <c:pt idx="249">
                  <c:v>64.133087883612305</c:v>
                </c:pt>
                <c:pt idx="250">
                  <c:v>64.491808921437936</c:v>
                </c:pt>
                <c:pt idx="251">
                  <c:v>64.841440934280243</c:v>
                </c:pt>
                <c:pt idx="252">
                  <c:v>65.181921950978634</c:v>
                </c:pt>
                <c:pt idx="253">
                  <c:v>65.513197043039696</c:v>
                </c:pt>
                <c:pt idx="254">
                  <c:v>65.835217905277787</c:v>
                </c:pt>
                <c:pt idx="255">
                  <c:v>66.147942437830011</c:v>
                </c:pt>
                <c:pt idx="256">
                  <c:v>66.451334331368471</c:v>
                </c:pt>
                <c:pt idx="257">
                  <c:v>66.745362657165032</c:v>
                </c:pt>
                <c:pt idx="258">
                  <c:v>67.030001463507205</c:v>
                </c:pt>
                <c:pt idx="259">
                  <c:v>67.305229379816339</c:v>
                </c:pt>
                <c:pt idx="260">
                  <c:v>67.571029229661519</c:v>
                </c:pt>
                <c:pt idx="261">
                  <c:v>67.827387653727556</c:v>
                </c:pt>
                <c:pt idx="262">
                  <c:v>68.074294743661</c:v>
                </c:pt>
                <c:pt idx="263">
                  <c:v>68.311743687587338</c:v>
                </c:pt>
                <c:pt idx="264">
                  <c:v>68.539730427978071</c:v>
                </c:pt>
                <c:pt idx="265">
                  <c:v>68.758253332433043</c:v>
                </c:pt>
                <c:pt idx="266">
                  <c:v>68.967312877840911</c:v>
                </c:pt>
                <c:pt idx="267">
                  <c:v>69.166911348287059</c:v>
                </c:pt>
                <c:pt idx="268">
                  <c:v>69.357052546991483</c:v>
                </c:pt>
                <c:pt idx="269">
                  <c:v>69.537741522479578</c:v>
                </c:pt>
                <c:pt idx="270">
                  <c:v>69.708984309116744</c:v>
                </c:pt>
                <c:pt idx="271">
                  <c:v>69.870787682075402</c:v>
                </c:pt>
                <c:pt idx="272">
                  <c:v>70.023158926742184</c:v>
                </c:pt>
                <c:pt idx="273">
                  <c:v>70.166105622524725</c:v>
                </c:pt>
                <c:pt idx="274">
                  <c:v>70.299635440969055</c:v>
                </c:pt>
                <c:pt idx="275">
                  <c:v>70.423755958062117</c:v>
                </c:pt>
                <c:pt idx="276">
                  <c:v>70.53847448055636</c:v>
                </c:pt>
                <c:pt idx="277">
                  <c:v>70.643797886125512</c:v>
                </c:pt>
                <c:pt idx="278">
                  <c:v>70.739732477138631</c:v>
                </c:pt>
                <c:pt idx="279">
                  <c:v>70.826283847811041</c:v>
                </c:pt>
                <c:pt idx="280">
                  <c:v>70.903456764486634</c:v>
                </c:pt>
                <c:pt idx="281">
                  <c:v>70.971255058786298</c:v>
                </c:pt>
                <c:pt idx="282">
                  <c:v>71.029681533348054</c:v>
                </c:pt>
                <c:pt idx="283">
                  <c:v>71.078737879891492</c:v>
                </c:pt>
                <c:pt idx="284">
                  <c:v>71.118424609323739</c:v>
                </c:pt>
                <c:pt idx="285">
                  <c:v>71.148740993622624</c:v>
                </c:pt>
                <c:pt idx="286">
                  <c:v>71.169685019228012</c:v>
                </c:pt>
                <c:pt idx="287">
                  <c:v>71.181253351691765</c:v>
                </c:pt>
                <c:pt idx="288">
                  <c:v>71.183441311344879</c:v>
                </c:pt>
                <c:pt idx="289">
                  <c:v>71.176242859761601</c:v>
                </c:pt>
                <c:pt idx="290">
                  <c:v>71.159650596819702</c:v>
                </c:pt>
                <c:pt idx="291">
                  <c:v>71.133655768177931</c:v>
                </c:pt>
                <c:pt idx="292">
                  <c:v>71.098248283022286</c:v>
                </c:pt>
                <c:pt idx="293">
                  <c:v>71.053416741958046</c:v>
                </c:pt>
                <c:pt idx="294">
                  <c:v>70.999148474955746</c:v>
                </c:pt>
                <c:pt idx="295">
                  <c:v>70.935429589294543</c:v>
                </c:pt>
                <c:pt idx="296">
                  <c:v>70.862245027477925</c:v>
                </c:pt>
                <c:pt idx="297">
                  <c:v>70.779578635133632</c:v>
                </c:pt>
                <c:pt idx="298">
                  <c:v>70.68741323894119</c:v>
                </c:pt>
                <c:pt idx="299">
                  <c:v>70.58573073467349</c:v>
                </c:pt>
                <c:pt idx="300">
                  <c:v>70.474512185456931</c:v>
                </c:pt>
                <c:pt idx="301">
                  <c:v>70.353737930405998</c:v>
                </c:pt>
                <c:pt idx="302">
                  <c:v>70.22338770380324</c:v>
                </c:pt>
                <c:pt idx="303">
                  <c:v>70.083440765023283</c:v>
                </c:pt>
                <c:pt idx="304">
                  <c:v>69.933876039428043</c:v>
                </c:pt>
                <c:pt idx="305">
                  <c:v>69.774672270473587</c:v>
                </c:pt>
                <c:pt idx="306">
                  <c:v>69.605808183279194</c:v>
                </c:pt>
                <c:pt idx="307">
                  <c:v>69.427262659914362</c:v>
                </c:pt>
                <c:pt idx="308">
                  <c:v>69.239014926667309</c:v>
                </c:pt>
                <c:pt idx="309">
                  <c:v>69.041044753532802</c:v>
                </c:pt>
                <c:pt idx="310">
                  <c:v>68.833332666159819</c:v>
                </c:pt>
                <c:pt idx="311">
                  <c:v>68.61586017045353</c:v>
                </c:pt>
                <c:pt idx="312">
                  <c:v>68.38860999001362</c:v>
                </c:pt>
                <c:pt idx="313">
                  <c:v>68.151566316523542</c:v>
                </c:pt>
                <c:pt idx="314">
                  <c:v>67.904715073171033</c:v>
                </c:pt>
                <c:pt idx="315">
                  <c:v>67.648044191104631</c:v>
                </c:pt>
                <c:pt idx="316">
                  <c:v>67.381543898861906</c:v>
                </c:pt>
                <c:pt idx="317">
                  <c:v>67.105207024615467</c:v>
                </c:pt>
                <c:pt idx="318">
                  <c:v>66.819029310996939</c:v>
                </c:pt>
                <c:pt idx="319">
                  <c:v>66.523009742142989</c:v>
                </c:pt>
                <c:pt idx="320">
                  <c:v>66.217150882502338</c:v>
                </c:pt>
                <c:pt idx="321">
                  <c:v>65.90145922681225</c:v>
                </c:pt>
                <c:pt idx="322">
                  <c:v>65.575945560517269</c:v>
                </c:pt>
                <c:pt idx="323">
                  <c:v>65.240625329768861</c:v>
                </c:pt>
                <c:pt idx="324">
                  <c:v>64.895519019984974</c:v>
                </c:pt>
                <c:pt idx="325">
                  <c:v>64.540652541795026</c:v>
                </c:pt>
                <c:pt idx="326">
                  <c:v>64.176057623026452</c:v>
                </c:pt>
                <c:pt idx="327">
                  <c:v>63.801772205232588</c:v>
                </c:pt>
                <c:pt idx="328">
                  <c:v>63.4178408430734</c:v>
                </c:pt>
                <c:pt idx="329">
                  <c:v>63.024315104692043</c:v>
                </c:pt>
                <c:pt idx="330">
                  <c:v>62.621253971066338</c:v>
                </c:pt>
                <c:pt idx="331">
                  <c:v>62.208724232118485</c:v>
                </c:pt>
                <c:pt idx="332">
                  <c:v>61.78680087722379</c:v>
                </c:pt>
                <c:pt idx="333">
                  <c:v>61.355567477574247</c:v>
                </c:pt>
                <c:pt idx="334">
                  <c:v>60.915116557720658</c:v>
                </c:pt>
                <c:pt idx="335">
                  <c:v>60.465549953456112</c:v>
                </c:pt>
                <c:pt idx="336">
                  <c:v>60.006979153103451</c:v>
                </c:pt>
                <c:pt idx="337">
                  <c:v>59.539525619132618</c:v>
                </c:pt>
                <c:pt idx="338">
                  <c:v>59.063321086981269</c:v>
                </c:pt>
                <c:pt idx="339">
                  <c:v>58.578507837862752</c:v>
                </c:pt>
                <c:pt idx="340">
                  <c:v>58.085238942339615</c:v>
                </c:pt>
                <c:pt idx="341">
                  <c:v>57.58367847141659</c:v>
                </c:pt>
                <c:pt idx="342">
                  <c:v>57.074001671963067</c:v>
                </c:pt>
                <c:pt idx="343">
                  <c:v>56.55639510332891</c:v>
                </c:pt>
                <c:pt idx="344">
                  <c:v>56.031056732137849</c:v>
                </c:pt>
                <c:pt idx="345">
                  <c:v>55.498195982392488</c:v>
                </c:pt>
                <c:pt idx="346">
                  <c:v>54.958033738213089</c:v>
                </c:pt>
                <c:pt idx="347">
                  <c:v>54.410802296784688</c:v>
                </c:pt>
                <c:pt idx="348">
                  <c:v>53.856745269348806</c:v>
                </c:pt>
                <c:pt idx="349">
                  <c:v>53.296117428417567</c:v>
                </c:pt>
                <c:pt idx="350">
                  <c:v>52.729184499743297</c:v>
                </c:pt>
                <c:pt idx="351">
                  <c:v>52.156222897983511</c:v>
                </c:pt>
                <c:pt idx="352">
                  <c:v>51.577519405440242</c:v>
                </c:pt>
                <c:pt idx="353">
                  <c:v>50.993370793725369</c:v>
                </c:pt>
                <c:pt idx="354">
                  <c:v>50.404083388692172</c:v>
                </c:pt>
                <c:pt idx="355">
                  <c:v>49.809972579504837</c:v>
                </c:pt>
                <c:pt idx="356">
                  <c:v>49.211362273228197</c:v>
                </c:pt>
                <c:pt idx="357">
                  <c:v>48.608584296873076</c:v>
                </c:pt>
                <c:pt idx="358">
                  <c:v>48.001977749355966</c:v>
                </c:pt>
                <c:pt idx="359">
                  <c:v>47.391888306361075</c:v>
                </c:pt>
                <c:pt idx="360">
                  <c:v>46.778667481593601</c:v>
                </c:pt>
                <c:pt idx="361">
                  <c:v>46.162671848397586</c:v>
                </c:pt>
                <c:pt idx="362">
                  <c:v>45.544262226148902</c:v>
                </c:pt>
                <c:pt idx="363">
                  <c:v>44.923802836238394</c:v>
                </c:pt>
                <c:pt idx="364">
                  <c:v>44.301660432811111</c:v>
                </c:pt>
                <c:pt idx="365">
                  <c:v>43.678203413717185</c:v>
                </c:pt>
                <c:pt idx="366">
                  <c:v>43.053800917366715</c:v>
                </c:pt>
                <c:pt idx="367">
                  <c:v>42.428821911343071</c:v>
                </c:pt>
                <c:pt idx="368">
                  <c:v>41.803634278728509</c:v>
                </c:pt>
                <c:pt idx="369">
                  <c:v>41.178603908115235</c:v>
                </c:pt>
                <c:pt idx="370">
                  <c:v>40.554093793235154</c:v>
                </c:pt>
                <c:pt idx="371">
                  <c:v>39.930463148018887</c:v>
                </c:pt>
                <c:pt idx="372">
                  <c:v>39.308066542706683</c:v>
                </c:pt>
                <c:pt idx="373">
                  <c:v>38.687253066390987</c:v>
                </c:pt>
                <c:pt idx="374">
                  <c:v>38.068365521046864</c:v>
                </c:pt>
                <c:pt idx="375">
                  <c:v>37.451739651755219</c:v>
                </c:pt>
                <c:pt idx="376">
                  <c:v>36.837703417387822</c:v>
                </c:pt>
                <c:pt idx="377">
                  <c:v>36.226576305600908</c:v>
                </c:pt>
                <c:pt idx="378">
                  <c:v>35.61866869546337</c:v>
                </c:pt>
                <c:pt idx="379">
                  <c:v>35.014281270563714</c:v>
                </c:pt>
                <c:pt idx="380">
                  <c:v>34.413704484892989</c:v>
                </c:pt>
                <c:pt idx="381">
                  <c:v>33.817218083287635</c:v>
                </c:pt>
                <c:pt idx="382">
                  <c:v>33.225090677661093</c:v>
                </c:pt>
                <c:pt idx="383">
                  <c:v>32.637579379753006</c:v>
                </c:pt>
                <c:pt idx="384">
                  <c:v>32.054929490598958</c:v>
                </c:pt>
                <c:pt idx="385">
                  <c:v>31.477374246450239</c:v>
                </c:pt>
                <c:pt idx="386">
                  <c:v>30.905134620404443</c:v>
                </c:pt>
                <c:pt idx="387">
                  <c:v>30.338419178597043</c:v>
                </c:pt>
                <c:pt idx="388">
                  <c:v>29.777423989396848</c:v>
                </c:pt>
                <c:pt idx="389">
                  <c:v>29.22233258372377</c:v>
                </c:pt>
                <c:pt idx="390">
                  <c:v>28.673315964273083</c:v>
                </c:pt>
                <c:pt idx="391">
                  <c:v>28.130532661189424</c:v>
                </c:pt>
                <c:pt idx="392">
                  <c:v>27.594128831501983</c:v>
                </c:pt>
                <c:pt idx="393">
                  <c:v>27.064238399453501</c:v>
                </c:pt>
                <c:pt idx="394">
                  <c:v>26.540983234729591</c:v>
                </c:pt>
                <c:pt idx="395">
                  <c:v>26.024473365490056</c:v>
                </c:pt>
                <c:pt idx="396">
                  <c:v>25.514807223051555</c:v>
                </c:pt>
                <c:pt idx="397">
                  <c:v>25.01207191505306</c:v>
                </c:pt>
                <c:pt idx="398">
                  <c:v>24.516343523941362</c:v>
                </c:pt>
                <c:pt idx="399">
                  <c:v>24.027687427659892</c:v>
                </c:pt>
                <c:pt idx="400">
                  <c:v>23.546158639491427</c:v>
                </c:pt>
                <c:pt idx="401">
                  <c:v>23.071802164097502</c:v>
                </c:pt>
                <c:pt idx="402">
                  <c:v>22.604653366906827</c:v>
                </c:pt>
                <c:pt idx="403">
                  <c:v>22.144738354137321</c:v>
                </c:pt>
                <c:pt idx="404">
                  <c:v>21.692074360870247</c:v>
                </c:pt>
                <c:pt idx="405">
                  <c:v>21.246670144757438</c:v>
                </c:pt>
                <c:pt idx="406">
                  <c:v>20.80852638309457</c:v>
                </c:pt>
                <c:pt idx="407">
                  <c:v>20.377636071157511</c:v>
                </c:pt>
                <c:pt idx="408">
                  <c:v>19.953984919876909</c:v>
                </c:pt>
                <c:pt idx="409">
                  <c:v>19.537551751076016</c:v>
                </c:pt>
                <c:pt idx="410">
                  <c:v>19.128308888684696</c:v>
                </c:pt>
                <c:pt idx="411">
                  <c:v>18.726222544484987</c:v>
                </c:pt>
                <c:pt idx="412">
                  <c:v>18.331253197122678</c:v>
                </c:pt>
                <c:pt idx="413">
                  <c:v>17.943355963253794</c:v>
                </c:pt>
                <c:pt idx="414">
                  <c:v>17.562480959860775</c:v>
                </c:pt>
                <c:pt idx="415">
                  <c:v>17.188573656895649</c:v>
                </c:pt>
                <c:pt idx="416">
                  <c:v>16.821575219553058</c:v>
                </c:pt>
                <c:pt idx="417">
                  <c:v>16.461422839590938</c:v>
                </c:pt>
                <c:pt idx="418">
                  <c:v>16.108050055236504</c:v>
                </c:pt>
                <c:pt idx="419">
                  <c:v>15.761387059319908</c:v>
                </c:pt>
                <c:pt idx="420">
                  <c:v>15.421360995374492</c:v>
                </c:pt>
                <c:pt idx="421">
                  <c:v>15.087896241535939</c:v>
                </c:pt>
                <c:pt idx="422">
                  <c:v>14.760914682152103</c:v>
                </c:pt>
                <c:pt idx="423">
                  <c:v>14.440335967082387</c:v>
                </c:pt>
                <c:pt idx="424">
                  <c:v>14.12607775874317</c:v>
                </c:pt>
                <c:pt idx="425">
                  <c:v>13.818055967002525</c:v>
                </c:pt>
                <c:pt idx="426">
                  <c:v>13.516184972081538</c:v>
                </c:pt>
                <c:pt idx="427">
                  <c:v>13.220377835669215</c:v>
                </c:pt>
                <c:pt idx="428">
                  <c:v>12.930546500488036</c:v>
                </c:pt>
                <c:pt idx="429">
                  <c:v>12.646601978583618</c:v>
                </c:pt>
                <c:pt idx="430">
                  <c:v>12.368454528641081</c:v>
                </c:pt>
                <c:pt idx="431">
                  <c:v>12.096013822649226</c:v>
                </c:pt>
                <c:pt idx="432">
                  <c:v>11.829189102253043</c:v>
                </c:pt>
                <c:pt idx="433">
                  <c:v>11.567889325148641</c:v>
                </c:pt>
                <c:pt idx="434">
                  <c:v>11.312023301886885</c:v>
                </c:pt>
                <c:pt idx="435">
                  <c:v>11.061499823455064</c:v>
                </c:pt>
                <c:pt idx="436">
                  <c:v>10.816227780012692</c:v>
                </c:pt>
                <c:pt idx="437">
                  <c:v>10.576116271159217</c:v>
                </c:pt>
                <c:pt idx="438">
                  <c:v>10.341074708108238</c:v>
                </c:pt>
                <c:pt idx="439">
                  <c:v>10.111012908141008</c:v>
                </c:pt>
                <c:pt idx="440">
                  <c:v>9.8858411817104237</c:v>
                </c:pt>
                <c:pt idx="441">
                  <c:v>9.6654704125532902</c:v>
                </c:pt>
                <c:pt idx="442">
                  <c:v>9.4498121311698693</c:v>
                </c:pt>
                <c:pt idx="443">
                  <c:v>9.2387785820158186</c:v>
                </c:pt>
                <c:pt idx="444">
                  <c:v>9.0322827847426002</c:v>
                </c:pt>
                <c:pt idx="445">
                  <c:v>8.8302385898157603</c:v>
                </c:pt>
                <c:pt idx="446">
                  <c:v>8.632560728826709</c:v>
                </c:pt>
                <c:pt idx="447">
                  <c:v>8.4391648598041389</c:v>
                </c:pt>
                <c:pt idx="448">
                  <c:v>8.2499676078197144</c:v>
                </c:pt>
                <c:pt idx="449">
                  <c:v>8.0648866011715956</c:v>
                </c:pt>
                <c:pt idx="450">
                  <c:v>7.8838405034169332</c:v>
                </c:pt>
                <c:pt idx="451">
                  <c:v>7.7067490415142537</c:v>
                </c:pt>
                <c:pt idx="452">
                  <c:v>7.5335330303242509</c:v>
                </c:pt>
                <c:pt idx="453">
                  <c:v>7.3641143937055302</c:v>
                </c:pt>
                <c:pt idx="454">
                  <c:v>7.1984161824336299</c:v>
                </c:pt>
                <c:pt idx="455">
                  <c:v>7.0363625891558241</c:v>
                </c:pt>
                <c:pt idx="456">
                  <c:v>6.8778789605888351</c:v>
                </c:pt>
                <c:pt idx="457">
                  <c:v>6.7228918071515826</c:v>
                </c:pt>
                <c:pt idx="458">
                  <c:v>6.5713288102176826</c:v>
                </c:pt>
                <c:pt idx="459">
                  <c:v>6.4231188271622779</c:v>
                </c:pt>
                <c:pt idx="460">
                  <c:v>6.2781918943664783</c:v>
                </c:pt>
                <c:pt idx="461">
                  <c:v>6.1364792283362286</c:v>
                </c:pt>
                <c:pt idx="462">
                  <c:v>5.9979132250811995</c:v>
                </c:pt>
                <c:pt idx="463">
                  <c:v>5.8624274578924362</c:v>
                </c:pt>
                <c:pt idx="464">
                  <c:v>5.7299566736485374</c:v>
                </c:pt>
                <c:pt idx="465">
                  <c:v>5.6004367877730479</c:v>
                </c:pt>
                <c:pt idx="466">
                  <c:v>5.4738048779573694</c:v>
                </c:pt>
                <c:pt idx="467">
                  <c:v>5.3499991767579553</c:v>
                </c:pt>
                <c:pt idx="468">
                  <c:v>5.2289590631678378</c:v>
                </c:pt>
                <c:pt idx="469">
                  <c:v>5.1106250532585289</c:v>
                </c:pt>
                <c:pt idx="470">
                  <c:v>4.9949387899797255</c:v>
                </c:pt>
                <c:pt idx="471">
                  <c:v>4.881843032200301</c:v>
                </c:pt>
                <c:pt idx="472">
                  <c:v>4.7712816430690994</c:v>
                </c:pt>
                <c:pt idx="473">
                  <c:v>4.6631995777654884</c:v>
                </c:pt>
                <c:pt idx="474">
                  <c:v>4.5575428707093666</c:v>
                </c:pt>
                <c:pt idx="475">
                  <c:v>4.4542586222926461</c:v>
                </c:pt>
                <c:pt idx="476">
                  <c:v>4.3532949851898213</c:v>
                </c:pt>
                <c:pt idx="477">
                  <c:v>4.2546011503037739</c:v>
                </c:pt>
                <c:pt idx="478">
                  <c:v>4.1581273323955852</c:v>
                </c:pt>
                <c:pt idx="479">
                  <c:v>4.0638247554464098</c:v>
                </c:pt>
                <c:pt idx="480">
                  <c:v>3.9716456377938916</c:v>
                </c:pt>
                <c:pt idx="481">
                  <c:v>3.8815431770844415</c:v>
                </c:pt>
                <c:pt idx="482">
                  <c:v>3.7934715350774537</c:v>
                </c:pt>
                <c:pt idx="483">
                  <c:v>3.7073858223363105</c:v>
                </c:pt>
                <c:pt idx="484">
                  <c:v>3.623242082837927</c:v>
                </c:pt>
                <c:pt idx="485">
                  <c:v>3.540997278530075</c:v>
                </c:pt>
                <c:pt idx="486">
                  <c:v>3.4606092738626923</c:v>
                </c:pt>
                <c:pt idx="487">
                  <c:v>3.3820368203184117</c:v>
                </c:pt>
                <c:pt idx="488">
                  <c:v>3.3052395409652564</c:v>
                </c:pt>
                <c:pt idx="489">
                  <c:v>3.2301779150508305</c:v>
                </c:pt>
                <c:pt idx="490">
                  <c:v>3.1568132626584862</c:v>
                </c:pt>
                <c:pt idx="491">
                  <c:v>3.0851077294415936</c:v>
                </c:pt>
                <c:pt idx="492">
                  <c:v>3.0150242714519462</c:v>
                </c:pt>
                <c:pt idx="493">
                  <c:v>2.946526640076645</c:v>
                </c:pt>
                <c:pt idx="494">
                  <c:v>2.8795793670960355</c:v>
                </c:pt>
                <c:pt idx="495">
                  <c:v>2.814147749874496</c:v>
                </c:pt>
                <c:pt idx="496">
                  <c:v>2.7501978366943258</c:v>
                </c:pt>
                <c:pt idx="497">
                  <c:v>2.6876964122423095</c:v>
                </c:pt>
                <c:pt idx="498">
                  <c:v>2.6266109832569731</c:v>
                </c:pt>
                <c:pt idx="499">
                  <c:v>2.5669097643440639</c:v>
                </c:pt>
                <c:pt idx="500">
                  <c:v>2.5085616639667494</c:v>
                </c:pt>
                <c:pt idx="501">
                  <c:v>2.4515362706162827</c:v>
                </c:pt>
                <c:pt idx="502">
                  <c:v>2.3958038391678795</c:v>
                </c:pt>
                <c:pt idx="503">
                  <c:v>2.3413352774261753</c:v>
                </c:pt>
                <c:pt idx="504">
                  <c:v>2.2881021328639224</c:v>
                </c:pt>
                <c:pt idx="505">
                  <c:v>2.2360765795568516</c:v>
                </c:pt>
                <c:pt idx="506">
                  <c:v>2.1852314053170363</c:v>
                </c:pt>
                <c:pt idx="507">
                  <c:v>2.1355399990270501</c:v>
                </c:pt>
                <c:pt idx="508">
                  <c:v>2.0869763381761111</c:v>
                </c:pt>
                <c:pt idx="509">
                  <c:v>2.0395149765994041</c:v>
                </c:pt>
                <c:pt idx="510">
                  <c:v>1.9931310324210862</c:v>
                </c:pt>
                <c:pt idx="511">
                  <c:v>1.9478001762017016</c:v>
                </c:pt>
                <c:pt idx="512">
                  <c:v>1.9034986192895174</c:v>
                </c:pt>
                <c:pt idx="513">
                  <c:v>1.8602031023755747</c:v>
                </c:pt>
                <c:pt idx="514">
                  <c:v>1.8178908842522563</c:v>
                </c:pt>
                <c:pt idx="515">
                  <c:v>1.7765397307739006</c:v>
                </c:pt>
                <c:pt idx="516">
                  <c:v>1.7361279040188584</c:v>
                </c:pt>
                <c:pt idx="517">
                  <c:v>1.6966341516514429</c:v>
                </c:pt>
                <c:pt idx="518">
                  <c:v>1.6580376964826056</c:v>
                </c:pt>
                <c:pt idx="519">
                  <c:v>1.6203182262273084</c:v>
                </c:pt>
                <c:pt idx="520">
                  <c:v>1.5834558834570513</c:v>
                </c:pt>
                <c:pt idx="521">
                  <c:v>1.5474312557456649</c:v>
                </c:pt>
                <c:pt idx="522">
                  <c:v>1.5122253660062155</c:v>
                </c:pt>
                <c:pt idx="523">
                  <c:v>1.4778196630167888</c:v>
                </c:pt>
                <c:pt idx="524">
                  <c:v>1.444196012133101</c:v>
                </c:pt>
                <c:pt idx="525">
                  <c:v>1.4113366861855592</c:v>
                </c:pt>
                <c:pt idx="526">
                  <c:v>1.3792243565581286</c:v>
                </c:pt>
                <c:pt idx="527">
                  <c:v>1.3478420844468988</c:v>
                </c:pt>
                <c:pt idx="528">
                  <c:v>1.3171733122955549</c:v>
                </c:pt>
                <c:pt idx="529">
                  <c:v>1.2872018554052991</c:v>
                </c:pt>
                <c:pt idx="530">
                  <c:v>1.2579118937165519</c:v>
                </c:pt>
                <c:pt idx="531">
                  <c:v>1.2292879637598597</c:v>
                </c:pt>
                <c:pt idx="532">
                  <c:v>1.2013149507733787</c:v>
                </c:pt>
                <c:pt idx="533">
                  <c:v>1.1739780809840181</c:v>
                </c:pt>
                <c:pt idx="534">
                  <c:v>1.1472629140498865</c:v>
                </c:pt>
                <c:pt idx="535">
                  <c:v>1.1211553356610744</c:v>
                </c:pt>
                <c:pt idx="536">
                  <c:v>1.0956415502963461</c:v>
                </c:pt>
                <c:pt idx="537">
                  <c:v>1.0707080741325454</c:v>
                </c:pt>
                <c:pt idx="538">
                  <c:v>1.0463417281046343</c:v>
                </c:pt>
                <c:pt idx="539">
                  <c:v>1.0225296311132479</c:v>
                </c:pt>
                <c:pt idx="540">
                  <c:v>0.99925919337728053</c:v>
                </c:pt>
                <c:pt idx="541">
                  <c:v>0.97651810992869792</c:v>
                </c:pt>
              </c:numCache>
            </c:numRef>
          </c:yVal>
          <c:smooth val="1"/>
          <c:extLst>
            <c:ext xmlns:c16="http://schemas.microsoft.com/office/drawing/2014/chart" uri="{C3380CC4-5D6E-409C-BE32-E72D297353CC}">
              <c16:uniqueId val="{00000001-F11A-4C29-9835-786B9CEC5C6A}"/>
            </c:ext>
          </c:extLst>
        </c:ser>
        <c:dLbls>
          <c:showLegendKey val="0"/>
          <c:showVal val="0"/>
          <c:showCatName val="0"/>
          <c:showSerName val="0"/>
          <c:showPercent val="0"/>
          <c:showBubbleSize val="0"/>
        </c:dLbls>
        <c:axId val="555497728"/>
        <c:axId val="555496192"/>
      </c:scatterChart>
      <c:valAx>
        <c:axId val="555344640"/>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555346560"/>
        <c:crosses val="autoZero"/>
        <c:crossBetween val="midCat"/>
      </c:valAx>
      <c:valAx>
        <c:axId val="555346560"/>
        <c:scaling>
          <c:orientation val="minMax"/>
          <c:max val="40"/>
          <c:min val="-4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a:solidFill>
                  <a:srgbClr val="FF0000"/>
                </a:solidFill>
              </a:defRPr>
            </a:pPr>
            <a:endParaRPr lang="en-US"/>
          </a:p>
        </c:txPr>
        <c:crossAx val="555344640"/>
        <c:crosses val="autoZero"/>
        <c:crossBetween val="midCat"/>
        <c:majorUnit val="20"/>
        <c:minorUnit val="10"/>
      </c:valAx>
      <c:valAx>
        <c:axId val="555496192"/>
        <c:scaling>
          <c:orientation val="minMax"/>
          <c:max val="180"/>
          <c:min val="-180"/>
        </c:scaling>
        <c:delete val="0"/>
        <c:axPos val="r"/>
        <c:numFmt formatCode="General" sourceLinked="1"/>
        <c:majorTickMark val="out"/>
        <c:minorTickMark val="none"/>
        <c:tickLblPos val="nextTo"/>
        <c:txPr>
          <a:bodyPr/>
          <a:lstStyle/>
          <a:p>
            <a:pPr>
              <a:defRPr>
                <a:solidFill>
                  <a:schemeClr val="tx1">
                    <a:lumMod val="95000"/>
                    <a:lumOff val="5000"/>
                  </a:schemeClr>
                </a:solidFill>
              </a:defRPr>
            </a:pPr>
            <a:endParaRPr lang="en-US"/>
          </a:p>
        </c:txPr>
        <c:crossAx val="555497728"/>
        <c:crosses val="max"/>
        <c:crossBetween val="midCat"/>
        <c:majorUnit val="90"/>
        <c:minorUnit val="45"/>
      </c:valAx>
      <c:valAx>
        <c:axId val="555497728"/>
        <c:scaling>
          <c:logBase val="10"/>
          <c:orientation val="minMax"/>
        </c:scaling>
        <c:delete val="1"/>
        <c:axPos val="b"/>
        <c:numFmt formatCode="0.00" sourceLinked="1"/>
        <c:majorTickMark val="out"/>
        <c:minorTickMark val="none"/>
        <c:tickLblPos val="nextTo"/>
        <c:crossAx val="555496192"/>
        <c:crosses val="autoZero"/>
        <c:crossBetween val="midCat"/>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Total Control Loop Transfer Function</a:t>
            </a:r>
          </a:p>
        </c:rich>
      </c:tx>
      <c:overlay val="0"/>
    </c:title>
    <c:autoTitleDeleted val="0"/>
    <c:plotArea>
      <c:layout/>
      <c:scatterChart>
        <c:scatterStyle val="smoothMarker"/>
        <c:varyColors val="0"/>
        <c:ser>
          <c:idx val="0"/>
          <c:order val="0"/>
          <c:spPr>
            <a:ln w="38100">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Loop_Modeling!$BL$19:$BL$560</c:f>
              <c:numCache>
                <c:formatCode>General</c:formatCode>
                <c:ptCount val="542"/>
                <c:pt idx="0">
                  <c:v>61.884587173242799</c:v>
                </c:pt>
                <c:pt idx="1">
                  <c:v>61.679143251709931</c:v>
                </c:pt>
                <c:pt idx="2">
                  <c:v>61.473450244577002</c:v>
                </c:pt>
                <c:pt idx="3">
                  <c:v>61.267497112573309</c:v>
                </c:pt>
                <c:pt idx="4">
                  <c:v>61.061272360556515</c:v>
                </c:pt>
                <c:pt idx="5">
                  <c:v>60.854764021798296</c:v>
                </c:pt>
                <c:pt idx="6">
                  <c:v>60.647959642024539</c:v>
                </c:pt>
                <c:pt idx="7">
                  <c:v>60.440846263237034</c:v>
                </c:pt>
                <c:pt idx="8">
                  <c:v>60.233410407350128</c:v>
                </c:pt>
                <c:pt idx="9">
                  <c:v>60.025638059677163</c:v>
                </c:pt>
                <c:pt idx="10">
                  <c:v>59.817514652307125</c:v>
                </c:pt>
                <c:pt idx="11">
                  <c:v>59.609025047418662</c:v>
                </c:pt>
                <c:pt idx="12">
                  <c:v>59.400153520580375</c:v>
                </c:pt>
                <c:pt idx="13">
                  <c:v>59.190883744096901</c:v>
                </c:pt>
                <c:pt idx="14">
                  <c:v>58.981198770459585</c:v>
                </c:pt>
                <c:pt idx="15">
                  <c:v>58.771081015974275</c:v>
                </c:pt>
                <c:pt idx="16">
                  <c:v>58.560512244639426</c:v>
                </c:pt>
                <c:pt idx="17">
                  <c:v>58.349473552358255</c:v>
                </c:pt>
                <c:pt idx="18">
                  <c:v>58.137945351573791</c:v>
                </c:pt>
                <c:pt idx="19">
                  <c:v>57.925907356425775</c:v>
                </c:pt>
                <c:pt idx="20">
                  <c:v>57.713338568532748</c:v>
                </c:pt>
                <c:pt idx="21">
                  <c:v>57.500217263514372</c:v>
                </c:pt>
                <c:pt idx="22">
                  <c:v>57.286520978374782</c:v>
                </c:pt>
                <c:pt idx="23">
                  <c:v>57.072226499876805</c:v>
                </c:pt>
                <c:pt idx="24">
                  <c:v>56.857309854046811</c:v>
                </c:pt>
                <c:pt idx="25">
                  <c:v>56.641746296955461</c:v>
                </c:pt>
                <c:pt idx="26">
                  <c:v>56.425510306931947</c:v>
                </c:pt>
                <c:pt idx="27">
                  <c:v>56.2085755783732</c:v>
                </c:pt>
                <c:pt idx="28">
                  <c:v>55.990915017322003</c:v>
                </c:pt>
                <c:pt idx="29">
                  <c:v>55.772500738991923</c:v>
                </c:pt>
                <c:pt idx="30">
                  <c:v>55.55330406742641</c:v>
                </c:pt>
                <c:pt idx="31">
                  <c:v>55.333295537484616</c:v>
                </c:pt>
                <c:pt idx="32">
                  <c:v>55.112444899352255</c:v>
                </c:pt>
                <c:pt idx="33">
                  <c:v>54.890721125781937</c:v>
                </c:pt>
                <c:pt idx="34">
                  <c:v>54.668092422267918</c:v>
                </c:pt>
                <c:pt idx="35">
                  <c:v>54.444526240365718</c:v>
                </c:pt>
                <c:pt idx="36">
                  <c:v>54.219989294364808</c:v>
                </c:pt>
                <c:pt idx="37">
                  <c:v>53.994447581523708</c:v>
                </c:pt>
                <c:pt idx="38">
                  <c:v>53.767866406070802</c:v>
                </c:pt>
                <c:pt idx="39">
                  <c:v>53.540210407172815</c:v>
                </c:pt>
                <c:pt idx="40">
                  <c:v>53.311443591060844</c:v>
                </c:pt>
                <c:pt idx="41">
                  <c:v>53.081529367496003</c:v>
                </c:pt>
                <c:pt idx="42">
                  <c:v>52.850430590744075</c:v>
                </c:pt>
                <c:pt idx="43">
                  <c:v>52.618109605209007</c:v>
                </c:pt>
                <c:pt idx="44">
                  <c:v>52.384528295860918</c:v>
                </c:pt>
                <c:pt idx="45">
                  <c:v>52.149648143566303</c:v>
                </c:pt>
                <c:pt idx="46">
                  <c:v>51.913430285406122</c:v>
                </c:pt>
                <c:pt idx="47">
                  <c:v>51.675835580036548</c:v>
                </c:pt>
                <c:pt idx="48">
                  <c:v>51.436824678113965</c:v>
                </c:pt>
                <c:pt idx="49">
                  <c:v>51.19635809777094</c:v>
                </c:pt>
                <c:pt idx="50">
                  <c:v>50.954396305088792</c:v>
                </c:pt>
                <c:pt idx="51">
                  <c:v>50.710899799472188</c:v>
                </c:pt>
                <c:pt idx="52">
                  <c:v>50.465829203783237</c:v>
                </c:pt>
                <c:pt idx="53">
                  <c:v>50.219145359046493</c:v>
                </c:pt>
                <c:pt idx="54">
                  <c:v>49.970809423486465</c:v>
                </c:pt>
                <c:pt idx="55">
                  <c:v>49.720782975606795</c:v>
                </c:pt>
                <c:pt idx="56">
                  <c:v>49.469028120967842</c:v>
                </c:pt>
                <c:pt idx="57">
                  <c:v>49.215507602268403</c:v>
                </c:pt>
                <c:pt idx="58">
                  <c:v>48.960184912281179</c:v>
                </c:pt>
                <c:pt idx="59">
                  <c:v>48.703024409144902</c:v>
                </c:pt>
                <c:pt idx="60">
                  <c:v>48.443991433462486</c:v>
                </c:pt>
                <c:pt idx="61">
                  <c:v>48.18305242660977</c:v>
                </c:pt>
                <c:pt idx="62">
                  <c:v>47.920175049618202</c:v>
                </c:pt>
                <c:pt idx="63">
                  <c:v>47.655328301952935</c:v>
                </c:pt>
                <c:pt idx="64">
                  <c:v>47.388482639479051</c:v>
                </c:pt>
                <c:pt idx="65">
                  <c:v>47.119610090879924</c:v>
                </c:pt>
                <c:pt idx="66">
                  <c:v>46.848684371774723</c:v>
                </c:pt>
                <c:pt idx="67">
                  <c:v>46.575680995768607</c:v>
                </c:pt>
                <c:pt idx="68">
                  <c:v>46.300577381669363</c:v>
                </c:pt>
                <c:pt idx="69">
                  <c:v>46.023352956109136</c:v>
                </c:pt>
                <c:pt idx="70">
                  <c:v>45.743989250826004</c:v>
                </c:pt>
                <c:pt idx="71">
                  <c:v>45.462469993886756</c:v>
                </c:pt>
                <c:pt idx="72">
                  <c:v>45.178781194166348</c:v>
                </c:pt>
                <c:pt idx="73">
                  <c:v>44.892911218442762</c:v>
                </c:pt>
                <c:pt idx="74">
                  <c:v>44.604850860524543</c:v>
                </c:pt>
                <c:pt idx="75">
                  <c:v>44.314593401882938</c:v>
                </c:pt>
                <c:pt idx="76">
                  <c:v>44.022134663336985</c:v>
                </c:pt>
                <c:pt idx="77">
                  <c:v>43.727473047413604</c:v>
                </c:pt>
                <c:pt idx="78">
                  <c:v>43.430609571086251</c:v>
                </c:pt>
                <c:pt idx="79">
                  <c:v>43.131547888686796</c:v>
                </c:pt>
                <c:pt idx="80">
                  <c:v>42.830294304869902</c:v>
                </c:pt>
                <c:pt idx="81">
                  <c:v>42.526857777608541</c:v>
                </c:pt>
                <c:pt idx="82">
                  <c:v>42.221249911285639</c:v>
                </c:pt>
                <c:pt idx="83">
                  <c:v>41.913484940043936</c:v>
                </c:pt>
                <c:pt idx="84">
                  <c:v>41.60357970164263</c:v>
                </c:pt>
                <c:pt idx="85">
                  <c:v>41.291553602158089</c:v>
                </c:pt>
                <c:pt idx="86">
                  <c:v>40.977428571944017</c:v>
                </c:pt>
                <c:pt idx="87">
                  <c:v>40.661229013344808</c:v>
                </c:pt>
                <c:pt idx="88">
                  <c:v>40.342981740721385</c:v>
                </c:pt>
                <c:pt idx="89">
                  <c:v>40.022715913409641</c:v>
                </c:pt>
                <c:pt idx="90">
                  <c:v>39.700462962281968</c:v>
                </c:pt>
                <c:pt idx="91">
                  <c:v>39.376256510626398</c:v>
                </c:pt>
                <c:pt idx="92">
                  <c:v>39.050132290087006</c:v>
                </c:pt>
                <c:pt idx="93">
                  <c:v>38.722128052434932</c:v>
                </c:pt>
                <c:pt idx="94">
                  <c:v>38.392283477951537</c:v>
                </c:pt>
                <c:pt idx="95">
                  <c:v>38.060640081206458</c:v>
                </c:pt>
                <c:pt idx="96">
                  <c:v>37.727241115013392</c:v>
                </c:pt>
                <c:pt idx="97">
                  <c:v>37.39213147332552</c:v>
                </c:pt>
                <c:pt idx="98">
                  <c:v>37.05535759381597</c:v>
                </c:pt>
                <c:pt idx="99">
                  <c:v>36.716967360857744</c:v>
                </c:pt>
                <c:pt idx="100">
                  <c:v>36.377010009580374</c:v>
                </c:pt>
                <c:pt idx="101">
                  <c:v>36.035536031642621</c:v>
                </c:pt>
                <c:pt idx="102">
                  <c:v>35.692597083311995</c:v>
                </c:pt>
                <c:pt idx="103">
                  <c:v>35.348245896393792</c:v>
                </c:pt>
                <c:pt idx="104">
                  <c:v>35.002536192499662</c:v>
                </c:pt>
                <c:pt idx="105">
                  <c:v>34.655522601090688</c:v>
                </c:pt>
                <c:pt idx="106">
                  <c:v>34.307260581675848</c:v>
                </c:pt>
                <c:pt idx="107">
                  <c:v>33.957806350487488</c:v>
                </c:pt>
                <c:pt idx="108">
                  <c:v>33.607216811904479</c:v>
                </c:pt>
                <c:pt idx="109">
                  <c:v>33.255549494831939</c:v>
                </c:pt>
                <c:pt idx="110">
                  <c:v>32.902862494200569</c:v>
                </c:pt>
                <c:pt idx="111">
                  <c:v>32.54921441768883</c:v>
                </c:pt>
                <c:pt idx="112">
                  <c:v>32.194664337728362</c:v>
                </c:pt>
                <c:pt idx="113">
                  <c:v>31.8392717488017</c:v>
                </c:pt>
                <c:pt idx="114">
                  <c:v>31.483096529998448</c:v>
                </c:pt>
                <c:pt idx="115">
                  <c:v>31.126198912754685</c:v>
                </c:pt>
                <c:pt idx="116">
                  <c:v>30.768639453662633</c:v>
                </c:pt>
                <c:pt idx="117">
                  <c:v>30.410479012199978</c:v>
                </c:pt>
                <c:pt idx="118">
                  <c:v>30.051778733199306</c:v>
                </c:pt>
                <c:pt idx="119">
                  <c:v>29.692600033845409</c:v>
                </c:pt>
                <c:pt idx="120">
                  <c:v>29.333004594965132</c:v>
                </c:pt>
                <c:pt idx="121">
                  <c:v>28.973054356346903</c:v>
                </c:pt>
                <c:pt idx="122">
                  <c:v>28.612811515810836</c:v>
                </c:pt>
                <c:pt idx="123">
                  <c:v>28.252338531726785</c:v>
                </c:pt>
                <c:pt idx="124">
                  <c:v>27.89169812866561</c:v>
                </c:pt>
                <c:pt idx="125">
                  <c:v>27.53095330585278</c:v>
                </c:pt>
                <c:pt idx="126">
                  <c:v>27.170167348080867</c:v>
                </c:pt>
                <c:pt idx="127">
                  <c:v>26.809403838730713</c:v>
                </c:pt>
                <c:pt idx="128">
                  <c:v>26.448726674537888</c:v>
                </c:pt>
                <c:pt idx="129">
                  <c:v>26.088200081737448</c:v>
                </c:pt>
                <c:pt idx="130">
                  <c:v>25.727888633214889</c:v>
                </c:pt>
                <c:pt idx="131">
                  <c:v>25.367857266283792</c:v>
                </c:pt>
                <c:pt idx="132">
                  <c:v>25.008171300714487</c:v>
                </c:pt>
                <c:pt idx="133">
                  <c:v>24.648896456628556</c:v>
                </c:pt>
                <c:pt idx="134">
                  <c:v>24.290098871882584</c:v>
                </c:pt>
                <c:pt idx="135">
                  <c:v>23.931845118560418</c:v>
                </c:pt>
                <c:pt idx="136">
                  <c:v>23.574202218197993</c:v>
                </c:pt>
                <c:pt idx="137">
                  <c:v>23.217237655370752</c:v>
                </c:pt>
                <c:pt idx="138">
                  <c:v>22.861019389276677</c:v>
                </c:pt>
                <c:pt idx="139">
                  <c:v>22.505615862958827</c:v>
                </c:pt>
                <c:pt idx="140">
                  <c:v>22.151096009818112</c:v>
                </c:pt>
                <c:pt idx="141">
                  <c:v>21.79752925708085</c:v>
                </c:pt>
                <c:pt idx="142">
                  <c:v>21.444985525897373</c:v>
                </c:pt>
                <c:pt idx="143">
                  <c:v>21.093535227764924</c:v>
                </c:pt>
                <c:pt idx="144">
                  <c:v>20.743249256985443</c:v>
                </c:pt>
                <c:pt idx="145">
                  <c:v>20.394198978889246</c:v>
                </c:pt>
                <c:pt idx="146">
                  <c:v>20.046456213580836</c:v>
                </c:pt>
                <c:pt idx="147">
                  <c:v>19.700093214984914</c:v>
                </c:pt>
                <c:pt idx="148">
                  <c:v>19.355182645004586</c:v>
                </c:pt>
                <c:pt idx="149">
                  <c:v>19.011797542629278</c:v>
                </c:pt>
                <c:pt idx="150">
                  <c:v>18.670011287869041</c:v>
                </c:pt>
                <c:pt idx="151">
                  <c:v>18.329897560426023</c:v>
                </c:pt>
                <c:pt idx="152">
                  <c:v>17.991530293052531</c:v>
                </c:pt>
                <c:pt idx="153">
                  <c:v>17.654983619589814</c:v>
                </c:pt>
                <c:pt idx="154">
                  <c:v>17.320331817721886</c:v>
                </c:pt>
                <c:pt idx="155">
                  <c:v>16.987649246526018</c:v>
                </c:pt>
                <c:pt idx="156">
                  <c:v>16.65701027894853</c:v>
                </c:pt>
                <c:pt idx="157">
                  <c:v>16.328489229381237</c:v>
                </c:pt>
                <c:pt idx="158">
                  <c:v>16.002160276561614</c:v>
                </c:pt>
                <c:pt idx="159">
                  <c:v>15.67809738206963</c:v>
                </c:pt>
                <c:pt idx="160">
                  <c:v>15.356374204737053</c:v>
                </c:pt>
                <c:pt idx="161">
                  <c:v>15.037064011335241</c:v>
                </c:pt>
                <c:pt idx="162">
                  <c:v>14.720239583944732</c:v>
                </c:pt>
                <c:pt idx="163">
                  <c:v>14.405973124454043</c:v>
                </c:pt>
                <c:pt idx="164">
                  <c:v>14.094336156667325</c:v>
                </c:pt>
                <c:pt idx="165">
                  <c:v>13.785399426533949</c:v>
                </c:pt>
                <c:pt idx="166">
                  <c:v>13.479232801037536</c:v>
                </c:pt>
                <c:pt idx="167">
                  <c:v>13.175905166300241</c:v>
                </c:pt>
                <c:pt idx="168">
                  <c:v>12.87548432547467</c:v>
                </c:pt>
                <c:pt idx="169">
                  <c:v>12.578036896996474</c:v>
                </c:pt>
                <c:pt idx="170">
                  <c:v>12.283628213774037</c:v>
                </c:pt>
                <c:pt idx="171">
                  <c:v>11.9923222238787</c:v>
                </c:pt>
                <c:pt idx="172">
                  <c:v>11.704181393284973</c:v>
                </c:pt>
                <c:pt idx="173">
                  <c:v>11.419266611181483</c:v>
                </c:pt>
                <c:pt idx="174">
                  <c:v>11.137637098347939</c:v>
                </c:pt>
                <c:pt idx="175">
                  <c:v>10.859350319047925</c:v>
                </c:pt>
                <c:pt idx="176">
                  <c:v>10.58446189684771</c:v>
                </c:pt>
                <c:pt idx="177">
                  <c:v>10.313025534718502</c:v>
                </c:pt>
                <c:pt idx="178">
                  <c:v>10.045092939727596</c:v>
                </c:pt>
                <c:pt idx="179">
                  <c:v>9.7807137525636545</c:v>
                </c:pt>
                <c:pt idx="180">
                  <c:v>9.5199354820831967</c:v>
                </c:pt>
                <c:pt idx="181">
                  <c:v>9.2628034450079113</c:v>
                </c:pt>
                <c:pt idx="182">
                  <c:v>9.0093607108372638</c:v>
                </c:pt>
                <c:pt idx="183">
                  <c:v>8.7596480519902737</c:v>
                </c:pt>
                <c:pt idx="184">
                  <c:v>8.513703899130789</c:v>
                </c:pt>
                <c:pt idx="185">
                  <c:v>8.2715643015861335</c:v>
                </c:pt>
                <c:pt idx="186">
                  <c:v>8.0332628927214245</c:v>
                </c:pt>
                <c:pt idx="187">
                  <c:v>7.7988308601007716</c:v>
                </c:pt>
                <c:pt idx="188">
                  <c:v>7.5682969202315249</c:v>
                </c:pt>
                <c:pt idx="189">
                  <c:v>7.3416872976726433</c:v>
                </c:pt>
                <c:pt idx="190">
                  <c:v>7.119025708275033</c:v>
                </c:pt>
                <c:pt idx="191">
                  <c:v>6.9003333463162564</c:v>
                </c:pt>
                <c:pt idx="192">
                  <c:v>6.6856288753029789</c:v>
                </c:pt>
                <c:pt idx="193">
                  <c:v>6.4749284222239272</c:v>
                </c:pt>
                <c:pt idx="194">
                  <c:v>6.2682455750621209</c:v>
                </c:pt>
                <c:pt idx="195">
                  <c:v>6.0655913834019293</c:v>
                </c:pt>
                <c:pt idx="196">
                  <c:v>5.8669743620028916</c:v>
                </c:pt>
                <c:pt idx="197">
                  <c:v>5.6724004972516244</c:v>
                </c:pt>
                <c:pt idx="198">
                  <c:v>5.4818732564460895</c:v>
                </c:pt>
                <c:pt idx="199">
                  <c:v>5.2953935999130506</c:v>
                </c:pt>
                <c:pt idx="200">
                  <c:v>5.1129599960025249</c:v>
                </c:pt>
                <c:pt idx="201">
                  <c:v>4.9345684390507847</c:v>
                </c:pt>
                <c:pt idx="202">
                  <c:v>4.7602124704417523</c:v>
                </c:pt>
                <c:pt idx="203">
                  <c:v>4.5898832029386254</c:v>
                </c:pt>
                <c:pt idx="204">
                  <c:v>4.4235693484841763</c:v>
                </c:pt>
                <c:pt idx="205">
                  <c:v>4.2612572497009307</c:v>
                </c:pt>
                <c:pt idx="206">
                  <c:v>4.1029309153352687</c:v>
                </c:pt>
                <c:pt idx="207">
                  <c:v>3.9485720599028507</c:v>
                </c:pt>
                <c:pt idx="208">
                  <c:v>3.7981601477937126</c:v>
                </c:pt>
                <c:pt idx="209">
                  <c:v>3.6516724420873232</c:v>
                </c:pt>
                <c:pt idx="210">
                  <c:v>3.5090840583127085</c:v>
                </c:pt>
                <c:pt idx="211">
                  <c:v>3.370368023363111</c:v>
                </c:pt>
                <c:pt idx="212">
                  <c:v>3.2354953397417505</c:v>
                </c:pt>
                <c:pt idx="213">
                  <c:v>3.1044350552742301</c:v>
                </c:pt>
                <c:pt idx="214">
                  <c:v>2.9771543383766339</c:v>
                </c:pt>
                <c:pt idx="215">
                  <c:v>2.8536185589140355</c:v>
                </c:pt>
                <c:pt idx="216">
                  <c:v>2.7337913746296651</c:v>
                </c:pt>
                <c:pt idx="217">
                  <c:v>2.6176348230607638</c:v>
                </c:pt>
                <c:pt idx="218">
                  <c:v>2.5051094187992389</c:v>
                </c:pt>
                <c:pt idx="219">
                  <c:v>2.3961742558915291</c:v>
                </c:pt>
                <c:pt idx="220">
                  <c:v>2.290787115107467</c:v>
                </c:pt>
                <c:pt idx="221">
                  <c:v>2.1889045757563657</c:v>
                </c:pt>
                <c:pt idx="222">
                  <c:v>2.0904821316628155</c:v>
                </c:pt>
                <c:pt idx="223">
                  <c:v>1.995474310873679</c:v>
                </c:pt>
                <c:pt idx="224">
                  <c:v>1.9038347986131634</c:v>
                </c:pt>
                <c:pt idx="225">
                  <c:v>1.8155165629691159</c:v>
                </c:pt>
                <c:pt idx="226">
                  <c:v>1.7304719827559971</c:v>
                </c:pt>
                <c:pt idx="227">
                  <c:v>1.6486529769776452</c:v>
                </c:pt>
                <c:pt idx="228">
                  <c:v>1.5700111352901085</c:v>
                </c:pt>
                <c:pt idx="229">
                  <c:v>1.4944978488571778</c:v>
                </c:pt>
                <c:pt idx="230">
                  <c:v>1.4220644409831786</c:v>
                </c:pt>
                <c:pt idx="231">
                  <c:v>1.3526622969115099</c:v>
                </c:pt>
                <c:pt idx="232">
                  <c:v>1.2862429921853591</c:v>
                </c:pt>
                <c:pt idx="233">
                  <c:v>1.222758418984095</c:v>
                </c:pt>
                <c:pt idx="234">
                  <c:v>1.1621609098636225</c:v>
                </c:pt>
                <c:pt idx="235">
                  <c:v>1.1044033583583528</c:v>
                </c:pt>
                <c:pt idx="236">
                  <c:v>1.049439335928309</c:v>
                </c:pt>
                <c:pt idx="237">
                  <c:v>0.99722320476546666</c:v>
                </c:pt>
                <c:pt idx="238">
                  <c:v>0.9477102260102187</c:v>
                </c:pt>
                <c:pt idx="239">
                  <c:v>0.90085666295982891</c:v>
                </c:pt>
                <c:pt idx="240">
                  <c:v>0.85661987888868263</c:v>
                </c:pt>
                <c:pt idx="241">
                  <c:v>0.81495842913935213</c:v>
                </c:pt>
                <c:pt idx="242">
                  <c:v>0.77583214717197035</c:v>
                </c:pt>
                <c:pt idx="243">
                  <c:v>0.73920222430224491</c:v>
                </c:pt>
                <c:pt idx="244">
                  <c:v>0.70503128288503236</c:v>
                </c:pt>
                <c:pt idx="245">
                  <c:v>0.67328344273718044</c:v>
                </c:pt>
                <c:pt idx="246">
                  <c:v>0.64392438061903534</c:v>
                </c:pt>
                <c:pt idx="247">
                  <c:v>0.61692138262236973</c:v>
                </c:pt>
                <c:pt idx="248">
                  <c:v>0.59224338933785192</c:v>
                </c:pt>
                <c:pt idx="249">
                  <c:v>0.56986103369607377</c:v>
                </c:pt>
                <c:pt idx="250">
                  <c:v>0.54974667139629407</c:v>
                </c:pt>
                <c:pt idx="251">
                  <c:v>0.53187440385485185</c:v>
                </c:pt>
                <c:pt idx="252">
                  <c:v>0.51622009361827326</c:v>
                </c:pt>
                <c:pt idx="253">
                  <c:v>0.50276137220278938</c:v>
                </c:pt>
                <c:pt idx="254">
                  <c:v>0.49147764032909041</c:v>
                </c:pt>
                <c:pt idx="255">
                  <c:v>0.48235006053370771</c:v>
                </c:pt>
                <c:pt idx="256">
                  <c:v>0.47536154214817694</c:v>
                </c:pt>
                <c:pt idx="257">
                  <c:v>0.47049671864099518</c:v>
                </c:pt>
                <c:pt idx="258">
                  <c:v>0.46774191733156451</c:v>
                </c:pt>
                <c:pt idx="259">
                  <c:v>0.4670851214880048</c:v>
                </c:pt>
                <c:pt idx="260">
                  <c:v>0.46851592483205889</c:v>
                </c:pt>
                <c:pt idx="261">
                  <c:v>0.47202547848434151</c:v>
                </c:pt>
                <c:pt idx="262">
                  <c:v>0.47760643039180495</c:v>
                </c:pt>
                <c:pt idx="263">
                  <c:v>0.48525285729527917</c:v>
                </c:pt>
                <c:pt idx="264">
                  <c:v>0.49496018930634234</c:v>
                </c:pt>
                <c:pt idx="265">
                  <c:v>0.5067251271829486</c:v>
                </c:pt>
                <c:pt idx="266">
                  <c:v>0.52054555241074318</c:v>
                </c:pt>
                <c:pt idx="267">
                  <c:v>0.53642043022156627</c:v>
                </c:pt>
                <c:pt idx="268">
                  <c:v>0.55434970570447883</c:v>
                </c:pt>
                <c:pt idx="269">
                  <c:v>0.57433419319396373</c:v>
                </c:pt>
                <c:pt idx="270">
                  <c:v>0.59637545915330903</c:v>
                </c:pt>
                <c:pt idx="271">
                  <c:v>0.62047569880180853</c:v>
                </c:pt>
                <c:pt idx="272">
                  <c:v>0.64663760677714865</c:v>
                </c:pt>
                <c:pt idx="273">
                  <c:v>0.67486424215791785</c:v>
                </c:pt>
                <c:pt idx="274">
                  <c:v>0.7051588882202241</c:v>
                </c:pt>
                <c:pt idx="275">
                  <c:v>0.73752490734004916</c:v>
                </c:pt>
                <c:pt idx="276">
                  <c:v>0.7719655915019521</c:v>
                </c:pt>
                <c:pt idx="277">
                  <c:v>0.80848400891653061</c:v>
                </c:pt>
                <c:pt idx="278">
                  <c:v>0.84708284730072425</c:v>
                </c:pt>
                <c:pt idx="279">
                  <c:v>0.88776425441078677</c:v>
                </c:pt>
                <c:pt idx="280">
                  <c:v>0.93052967646799256</c:v>
                </c:pt>
                <c:pt idx="281">
                  <c:v>0.97537969515425438</c:v>
                </c:pt>
                <c:pt idx="282">
                  <c:v>1.0223138638906846</c:v>
                </c:pt>
                <c:pt idx="283">
                  <c:v>1.0713305441469543</c:v>
                </c:pt>
                <c:pt idx="284">
                  <c:v>1.1224267425551053</c:v>
                </c:pt>
                <c:pt idx="285">
                  <c:v>1.1755979496228075</c:v>
                </c:pt>
                <c:pt idx="286">
                  <c:v>1.230837980855604</c:v>
                </c:pt>
                <c:pt idx="287">
                  <c:v>1.2881388211072577</c:v>
                </c:pt>
                <c:pt idx="288">
                  <c:v>1.3474904729696082</c:v>
                </c:pt>
                <c:pt idx="289">
                  <c:v>1.4088808100140331</c:v>
                </c:pt>
                <c:pt idx="290">
                  <c:v>1.4722954356699047</c:v>
                </c:pt>
                <c:pt idx="291">
                  <c:v>1.5377175485008643</c:v>
                </c:pt>
                <c:pt idx="292">
                  <c:v>1.6051278146097467</c:v>
                </c:pt>
                <c:pt idx="293">
                  <c:v>1.6745042478483061</c:v>
                </c:pt>
                <c:pt idx="294">
                  <c:v>1.7458220984670183</c:v>
                </c:pt>
                <c:pt idx="295">
                  <c:v>1.8190537507702784</c:v>
                </c:pt>
                <c:pt idx="296">
                  <c:v>1.8941686302851803</c:v>
                </c:pt>
                <c:pt idx="297">
                  <c:v>1.9711331208712997</c:v>
                </c:pt>
                <c:pt idx="298">
                  <c:v>2.0499104921303419</c:v>
                </c:pt>
                <c:pt idx="299">
                  <c:v>2.1304608373877763</c:v>
                </c:pt>
                <c:pt idx="300">
                  <c:v>2.212741022440496</c:v>
                </c:pt>
                <c:pt idx="301">
                  <c:v>2.2967046451799367</c:v>
                </c:pt>
                <c:pt idx="302">
                  <c:v>2.3823020061189446</c:v>
                </c:pt>
                <c:pt idx="303">
                  <c:v>2.4694800897706495</c:v>
                </c:pt>
                <c:pt idx="304">
                  <c:v>2.5581825567491916</c:v>
                </c:pt>
                <c:pt idx="305">
                  <c:v>2.6483497463944845</c:v>
                </c:pt>
                <c:pt idx="306">
                  <c:v>2.7399186896544787</c:v>
                </c:pt>
                <c:pt idx="307">
                  <c:v>2.8328231319007271</c:v>
                </c:pt>
                <c:pt idx="308">
                  <c:v>2.9269935653029759</c:v>
                </c:pt>
                <c:pt idx="309">
                  <c:v>3.0223572703473192</c:v>
                </c:pt>
                <c:pt idx="310">
                  <c:v>3.1188383660492125</c:v>
                </c:pt>
                <c:pt idx="311">
                  <c:v>3.2163578683890526</c:v>
                </c:pt>
                <c:pt idx="312">
                  <c:v>3.3148337564882624</c:v>
                </c:pt>
                <c:pt idx="313">
                  <c:v>3.4141810460356319</c:v>
                </c:pt>
                <c:pt idx="314">
                  <c:v>3.5143118694857263</c:v>
                </c:pt>
                <c:pt idx="315">
                  <c:v>3.6151355625592441</c:v>
                </c:pt>
                <c:pt idx="316">
                  <c:v>3.716558756606005</c:v>
                </c:pt>
                <c:pt idx="317">
                  <c:v>3.8184854764146876</c:v>
                </c:pt>
                <c:pt idx="318">
                  <c:v>3.9208172430988069</c:v>
                </c:pt>
                <c:pt idx="319">
                  <c:v>4.0234531817225276</c:v>
                </c:pt>
                <c:pt idx="320">
                  <c:v>4.1262901333858402</c:v>
                </c:pt>
                <c:pt idx="321">
                  <c:v>4.2292227715334532</c:v>
                </c:pt>
                <c:pt idx="322">
                  <c:v>4.3321437223053598</c:v>
                </c:pt>
                <c:pt idx="323">
                  <c:v>4.4349436888013392</c:v>
                </c:pt>
                <c:pt idx="324">
                  <c:v>4.537511579184434</c:v>
                </c:pt>
                <c:pt idx="325">
                  <c:v>4.6397346385954128</c:v>
                </c:pt>
                <c:pt idx="326">
                  <c:v>4.7414985848991709</c:v>
                </c:pt>
                <c:pt idx="327">
                  <c:v>4.8426877483315716</c:v>
                </c:pt>
                <c:pt idx="328">
                  <c:v>4.9431852151422397</c:v>
                </c:pt>
                <c:pt idx="329">
                  <c:v>5.0428729753703561</c:v>
                </c:pt>
                <c:pt idx="330">
                  <c:v>5.1416320749066049</c:v>
                </c:pt>
                <c:pt idx="331">
                  <c:v>5.2393427720125949</c:v>
                </c:pt>
                <c:pt idx="332">
                  <c:v>5.3358846984751782</c:v>
                </c:pt>
                <c:pt idx="333">
                  <c:v>5.4311370255696776</c:v>
                </c:pt>
                <c:pt idx="334">
                  <c:v>5.5249786349924692</c:v>
                </c:pt>
                <c:pt idx="335">
                  <c:v>5.6172882948992893</c:v>
                </c:pt>
                <c:pt idx="336">
                  <c:v>5.7079448411556797</c:v>
                </c:pt>
                <c:pt idx="337">
                  <c:v>5.7968273638571288</c:v>
                </c:pt>
                <c:pt idx="338">
                  <c:v>5.8838153991280029</c:v>
                </c:pt>
                <c:pt idx="339">
                  <c:v>5.9687891261402157</c:v>
                </c:pt>
                <c:pt idx="340">
                  <c:v>6.0516295692247768</c:v>
                </c:pt>
                <c:pt idx="341">
                  <c:v>6.1322188048672981</c:v>
                </c:pt>
                <c:pt idx="342">
                  <c:v>6.210440173290273</c:v>
                </c:pt>
                <c:pt idx="343">
                  <c:v>6.2861784942331598</c:v>
                </c:pt>
                <c:pt idx="344">
                  <c:v>6.359320286442447</c:v>
                </c:pt>
                <c:pt idx="345">
                  <c:v>6.4297539902824994</c:v>
                </c:pt>
                <c:pt idx="346">
                  <c:v>6.49737019277614</c:v>
                </c:pt>
                <c:pt idx="347">
                  <c:v>6.5620618542777054</c:v>
                </c:pt>
                <c:pt idx="348">
                  <c:v>6.6237245358871562</c:v>
                </c:pt>
                <c:pt idx="349">
                  <c:v>6.6822566266089911</c:v>
                </c:pt>
                <c:pt idx="350">
                  <c:v>6.737559569176276</c:v>
                </c:pt>
                <c:pt idx="351">
                  <c:v>6.7895380833716414</c:v>
                </c:pt>
                <c:pt idx="352">
                  <c:v>6.8381003856079676</c:v>
                </c:pt>
                <c:pt idx="353">
                  <c:v>6.883158403468947</c:v>
                </c:pt>
                <c:pt idx="354">
                  <c:v>6.9246279838612415</c:v>
                </c:pt>
                <c:pt idx="355">
                  <c:v>6.9624290933988355</c:v>
                </c:pt>
                <c:pt idx="356">
                  <c:v>6.9964860096246371</c:v>
                </c:pt>
                <c:pt idx="357">
                  <c:v>7.0267275016737187</c:v>
                </c:pt>
                <c:pt idx="358">
                  <c:v>7.0530869990056821</c:v>
                </c:pt>
                <c:pt idx="359">
                  <c:v>7.0755027468713152</c:v>
                </c:pt>
                <c:pt idx="360">
                  <c:v>7.0939179472368084</c:v>
                </c:pt>
                <c:pt idx="361">
                  <c:v>7.1082808839668141</c:v>
                </c:pt>
                <c:pt idx="362">
                  <c:v>7.1185450311630918</c:v>
                </c:pt>
                <c:pt idx="363">
                  <c:v>7.124669143667596</c:v>
                </c:pt>
                <c:pt idx="364">
                  <c:v>7.1266173288688783</c:v>
                </c:pt>
                <c:pt idx="365">
                  <c:v>7.1243590990924579</c:v>
                </c:pt>
                <c:pt idx="366">
                  <c:v>7.1178694040125681</c:v>
                </c:pt>
                <c:pt idx="367">
                  <c:v>7.1071286426855851</c:v>
                </c:pt>
                <c:pt idx="368">
                  <c:v>7.0921226549818286</c:v>
                </c:pt>
                <c:pt idx="369">
                  <c:v>7.0728426923650218</c:v>
                </c:pt>
                <c:pt idx="370">
                  <c:v>7.049285368151831</c:v>
                </c:pt>
                <c:pt idx="371">
                  <c:v>7.0214525875602627</c:v>
                </c:pt>
                <c:pt idx="372">
                  <c:v>6.9893514580304839</c:v>
                </c:pt>
                <c:pt idx="373">
                  <c:v>6.952994180469001</c:v>
                </c:pt>
                <c:pt idx="374">
                  <c:v>6.9123979222274299</c:v>
                </c:pt>
                <c:pt idx="375">
                  <c:v>6.8675846727744538</c:v>
                </c:pt>
                <c:pt idx="376">
                  <c:v>6.8185810831504101</c:v>
                </c:pt>
                <c:pt idx="377">
                  <c:v>6.7654182904180873</c:v>
                </c:pt>
                <c:pt idx="378">
                  <c:v>6.7081317284216375</c:v>
                </c:pt>
                <c:pt idx="379">
                  <c:v>6.6467609262487368</c:v>
                </c:pt>
                <c:pt idx="380">
                  <c:v>6.5813492958607469</c:v>
                </c:pt>
                <c:pt idx="381">
                  <c:v>6.5119439104004515</c:v>
                </c:pt>
                <c:pt idx="382">
                  <c:v>6.4385952747116368</c:v>
                </c:pt>
                <c:pt idx="383">
                  <c:v>6.361357089622933</c:v>
                </c:pt>
                <c:pt idx="384">
                  <c:v>6.2802860115281192</c:v>
                </c:pt>
                <c:pt idx="385">
                  <c:v>6.1954414087826244</c:v>
                </c:pt>
                <c:pt idx="386">
                  <c:v>6.1068851163863167</c:v>
                </c:pt>
                <c:pt idx="387">
                  <c:v>6.0146811903709461</c:v>
                </c:pt>
                <c:pt idx="388">
                  <c:v>5.9188956632455909</c:v>
                </c:pt>
                <c:pt idx="389">
                  <c:v>5.8195963017716448</c:v>
                </c:pt>
                <c:pt idx="390">
                  <c:v>5.7168523682539965</c:v>
                </c:pt>
                <c:pt idx="391">
                  <c:v>5.6107343864407779</c:v>
                </c:pt>
                <c:pt idx="392">
                  <c:v>5.5013139130219848</c:v>
                </c:pt>
                <c:pt idx="393">
                  <c:v>5.388663315617058</c:v>
                </c:pt>
                <c:pt idx="394">
                  <c:v>5.2728555580322602</c:v>
                </c:pt>
                <c:pt idx="395">
                  <c:v>5.153963993464501</c:v>
                </c:pt>
                <c:pt idx="396">
                  <c:v>5.0320621662218334</c:v>
                </c:pt>
                <c:pt idx="397">
                  <c:v>4.9072236224294183</c:v>
                </c:pt>
                <c:pt idx="398">
                  <c:v>4.7795217300857278</c:v>
                </c:pt>
                <c:pt idx="399">
                  <c:v>4.6490295087430544</c:v>
                </c:pt>
                <c:pt idx="400">
                  <c:v>4.5158194689912134</c:v>
                </c:pt>
                <c:pt idx="401">
                  <c:v>4.379963461841835</c:v>
                </c:pt>
                <c:pt idx="402">
                  <c:v>4.2415325380304196</c:v>
                </c:pt>
                <c:pt idx="403">
                  <c:v>4.1005968171785323</c:v>
                </c:pt>
                <c:pt idx="404">
                  <c:v>3.9572253667003188</c:v>
                </c:pt>
                <c:pt idx="405">
                  <c:v>3.8114860902701828</c:v>
                </c:pt>
                <c:pt idx="406">
                  <c:v>3.6634456256233379</c:v>
                </c:pt>
                <c:pt idx="407">
                  <c:v>3.5131692514147761</c:v>
                </c:pt>
                <c:pt idx="408">
                  <c:v>3.3607208028197757</c:v>
                </c:pt>
                <c:pt idx="409">
                  <c:v>3.2061625955356483</c:v>
                </c:pt>
                <c:pt idx="410">
                  <c:v>3.0495553578083188</c:v>
                </c:pt>
                <c:pt idx="411">
                  <c:v>2.8909581700967175</c:v>
                </c:pt>
                <c:pt idx="412">
                  <c:v>2.7304284119660216</c:v>
                </c:pt>
                <c:pt idx="413">
                  <c:v>2.5680217157952789</c:v>
                </c:pt>
                <c:pt idx="414">
                  <c:v>2.4037919268761905</c:v>
                </c:pt>
                <c:pt idx="415">
                  <c:v>2.2377910694827832</c:v>
                </c:pt>
                <c:pt idx="416">
                  <c:v>2.0700693184865009</c:v>
                </c:pt>
                <c:pt idx="417">
                  <c:v>1.9006749761069006</c:v>
                </c:pt>
                <c:pt idx="418">
                  <c:v>1.7296544533866847</c:v>
                </c:pt>
                <c:pt idx="419">
                  <c:v>1.5570522559955537</c:v>
                </c:pt>
                <c:pt idx="420">
                  <c:v>1.3829109739814152</c:v>
                </c:pt>
                <c:pt idx="421">
                  <c:v>1.2072712750981194</c:v>
                </c:pt>
                <c:pt idx="422">
                  <c:v>1.030171901357799</c:v>
                </c:pt>
                <c:pt idx="423">
                  <c:v>0.85164966847400425</c:v>
                </c:pt>
                <c:pt idx="424">
                  <c:v>0.67173946787625161</c:v>
                </c:pt>
                <c:pt idx="425">
                  <c:v>0.49047427100300467</c:v>
                </c:pt>
                <c:pt idx="426">
                  <c:v>0.30788513559048236</c:v>
                </c:pt>
                <c:pt idx="427">
                  <c:v>0.12400121370404452</c:v>
                </c:pt>
                <c:pt idx="428">
                  <c:v>-6.1150238727554165E-2</c:v>
                </c:pt>
                <c:pt idx="429">
                  <c:v>-0.2475438510897057</c:v>
                </c:pt>
                <c:pt idx="430">
                  <c:v>-0.43515612616793292</c:v>
                </c:pt>
                <c:pt idx="431">
                  <c:v>-0.62396542731807447</c:v>
                </c:pt>
                <c:pt idx="432">
                  <c:v>-0.81395196487451615</c:v>
                </c:pt>
                <c:pt idx="433">
                  <c:v>-1.0050977819317413</c:v>
                </c:pt>
                <c:pt idx="434">
                  <c:v>-1.1973867396150117</c:v>
                </c:pt>
                <c:pt idx="435">
                  <c:v>-1.3908045019341495</c:v>
                </c:pt>
                <c:pt idx="436">
                  <c:v>-1.5853385202970611</c:v>
                </c:pt>
                <c:pt idx="437">
                  <c:v>-1.780978017740011</c:v>
                </c:pt>
                <c:pt idx="438">
                  <c:v>-1.9777139729127748</c:v>
                </c:pt>
                <c:pt idx="439">
                  <c:v>-2.1755391038393674</c:v>
                </c:pt>
                <c:pt idx="440">
                  <c:v>-2.3744478514554253</c:v>
                </c:pt>
                <c:pt idx="441">
                  <c:v>-2.5744363629082665</c:v>
                </c:pt>
                <c:pt idx="442">
                  <c:v>-2.7755024745866925</c:v>
                </c:pt>
                <c:pt idx="443">
                  <c:v>-2.9776456948306604</c:v>
                </c:pt>
                <c:pt idx="444">
                  <c:v>-3.1808671862568945</c:v>
                </c:pt>
                <c:pt idx="445">
                  <c:v>-3.3851697476186815</c:v>
                </c:pt>
                <c:pt idx="446">
                  <c:v>-3.5905577951023568</c:v>
                </c:pt>
                <c:pt idx="447">
                  <c:v>-3.797037342951481</c:v>
                </c:pt>
                <c:pt idx="448">
                  <c:v>-4.0046159832914547</c:v>
                </c:pt>
                <c:pt idx="449">
                  <c:v>-4.2133028650172886</c:v>
                </c:pt>
                <c:pt idx="450">
                  <c:v>-4.42310867159149</c:v>
                </c:pt>
                <c:pt idx="451">
                  <c:v>-4.6340455975906423</c:v>
                </c:pt>
                <c:pt idx="452">
                  <c:v>-4.8461273238250469</c:v>
                </c:pt>
                <c:pt idx="453">
                  <c:v>-5.059368990847962</c:v>
                </c:pt>
                <c:pt idx="454">
                  <c:v>-5.2737871706619472</c:v>
                </c:pt>
                <c:pt idx="455">
                  <c:v>-5.4893998364220007</c:v>
                </c:pt>
                <c:pt idx="456">
                  <c:v>-5.7062263299299438</c:v>
                </c:pt>
                <c:pt idx="457">
                  <c:v>-5.9242873267106724</c:v>
                </c:pt>
                <c:pt idx="458">
                  <c:v>-6.1436047984575115</c:v>
                </c:pt>
                <c:pt idx="459">
                  <c:v>-6.3642019726357848</c:v>
                </c:pt>
                <c:pt idx="460">
                  <c:v>-6.586103289033062</c:v>
                </c:pt>
                <c:pt idx="461">
                  <c:v>-6.8093343530512831</c:v>
                </c:pt>
                <c:pt idx="462">
                  <c:v>-7.0339218855430721</c:v>
                </c:pt>
                <c:pt idx="463">
                  <c:v>-7.259893669002274</c:v>
                </c:pt>
                <c:pt idx="464">
                  <c:v>-7.4872784899344333</c:v>
                </c:pt>
                <c:pt idx="465">
                  <c:v>-7.7161060772474972</c:v>
                </c:pt>
                <c:pt idx="466">
                  <c:v>-7.946407036523051</c:v>
                </c:pt>
                <c:pt idx="467">
                  <c:v>-8.1782127800500533</c:v>
                </c:pt>
                <c:pt idx="468">
                  <c:v>-8.4115554525326282</c:v>
                </c:pt>
                <c:pt idx="469">
                  <c:v>-8.646467852407655</c:v>
                </c:pt>
                <c:pt idx="470">
                  <c:v>-8.8829833487484979</c:v>
                </c:pt>
                <c:pt idx="471">
                  <c:v>-9.1211357937608248</c:v>
                </c:pt>
                <c:pt idx="472">
                  <c:v>-9.3609594309211612</c:v>
                </c:pt>
                <c:pt idx="473">
                  <c:v>-9.6024887988520753</c:v>
                </c:pt>
                <c:pt idx="474">
                  <c:v>-9.8457586310704865</c:v>
                </c:pt>
                <c:pt idx="475">
                  <c:v>-10.090803751796578</c:v>
                </c:pt>
                <c:pt idx="476">
                  <c:v>-10.337658968063019</c:v>
                </c:pt>
                <c:pt idx="477">
                  <c:v>-10.586358958411495</c:v>
                </c:pt>
                <c:pt idx="478">
                  <c:v>-10.83693815852078</c:v>
                </c:pt>
                <c:pt idx="479">
                  <c:v>-11.08943064416259</c:v>
                </c:pt>
                <c:pt idx="480">
                  <c:v>-11.343870011934252</c:v>
                </c:pt>
                <c:pt idx="481">
                  <c:v>-11.600289258267416</c:v>
                </c:pt>
                <c:pt idx="482">
                  <c:v>-11.858720657265007</c:v>
                </c:pt>
                <c:pt idx="483">
                  <c:v>-12.119195637960903</c:v>
                </c:pt>
                <c:pt idx="484">
                  <c:v>-12.38174466164371</c:v>
                </c:pt>
                <c:pt idx="485">
                  <c:v>-12.646397099920206</c:v>
                </c:pt>
                <c:pt idx="486">
                  <c:v>-12.913181114227356</c:v>
                </c:pt>
                <c:pt idx="487">
                  <c:v>-13.182123537529753</c:v>
                </c:pt>
                <c:pt idx="488">
                  <c:v>-13.453249758952403</c:v>
                </c:pt>
                <c:pt idx="489">
                  <c:v>-13.726583612115146</c:v>
                </c:pt>
                <c:pt idx="490">
                  <c:v>-14.002147267930969</c:v>
                </c:pt>
                <c:pt idx="491">
                  <c:v>-14.279961132627239</c:v>
                </c:pt>
                <c:pt idx="492">
                  <c:v>-14.560043751728335</c:v>
                </c:pt>
                <c:pt idx="493">
                  <c:v>-14.842411720714727</c:v>
                </c:pt>
                <c:pt idx="494">
                  <c:v>-15.127079603035295</c:v>
                </c:pt>
                <c:pt idx="495">
                  <c:v>-15.414059856104629</c:v>
                </c:pt>
                <c:pt idx="496">
                  <c:v>-15.703362765863208</c:v>
                </c:pt>
                <c:pt idx="497">
                  <c:v>-15.994996390414913</c:v>
                </c:pt>
                <c:pt idx="498">
                  <c:v>-16.288966513184874</c:v>
                </c:pt>
                <c:pt idx="499">
                  <c:v>-16.585276605965351</c:v>
                </c:pt>
                <c:pt idx="500">
                  <c:v>-16.88392780213438</c:v>
                </c:pt>
                <c:pt idx="501">
                  <c:v>-17.184918880240222</c:v>
                </c:pt>
                <c:pt idx="502">
                  <c:v>-17.48824625806148</c:v>
                </c:pt>
                <c:pt idx="503">
                  <c:v>-17.793903997153826</c:v>
                </c:pt>
                <c:pt idx="504">
                  <c:v>-18.101883817806609</c:v>
                </c:pt>
                <c:pt idx="505">
                  <c:v>-18.412175124236853</c:v>
                </c:pt>
                <c:pt idx="506">
                  <c:v>-18.72476503976366</c:v>
                </c:pt>
                <c:pt idx="507">
                  <c:v>-19.039638451617453</c:v>
                </c:pt>
                <c:pt idx="508">
                  <c:v>-19.356778064960341</c:v>
                </c:pt>
                <c:pt idx="509">
                  <c:v>-19.676164465619284</c:v>
                </c:pt>
                <c:pt idx="510">
                  <c:v>-19.997776190967159</c:v>
                </c:pt>
                <c:pt idx="511">
                  <c:v>-20.321589808331101</c:v>
                </c:pt>
                <c:pt idx="512">
                  <c:v>-20.647580000251281</c:v>
                </c:pt>
                <c:pt idx="513">
                  <c:v>-20.975719655881445</c:v>
                </c:pt>
                <c:pt idx="514">
                  <c:v>-21.305979967784477</c:v>
                </c:pt>
                <c:pt idx="515">
                  <c:v>-21.638330533357653</c:v>
                </c:pt>
                <c:pt idx="516">
                  <c:v>-21.972739460111057</c:v>
                </c:pt>
                <c:pt idx="517">
                  <c:v>-22.30917347401768</c:v>
                </c:pt>
                <c:pt idx="518">
                  <c:v>-22.64759803016462</c:v>
                </c:pt>
                <c:pt idx="519">
                  <c:v>-22.987977424940063</c:v>
                </c:pt>
                <c:pt idx="520">
                  <c:v>-23.330274909026244</c:v>
                </c:pt>
                <c:pt idx="521">
                  <c:v>-23.674452800484676</c:v>
                </c:pt>
                <c:pt idx="522">
                  <c:v>-24.020472597263588</c:v>
                </c:pt>
                <c:pt idx="523">
                  <c:v>-24.368295088494513</c:v>
                </c:pt>
                <c:pt idx="524">
                  <c:v>-24.717880463990937</c:v>
                </c:pt>
                <c:pt idx="525">
                  <c:v>-25.0691884214074</c:v>
                </c:pt>
                <c:pt idx="526">
                  <c:v>-25.422178270573845</c:v>
                </c:pt>
                <c:pt idx="527">
                  <c:v>-25.776809034563726</c:v>
                </c:pt>
                <c:pt idx="528">
                  <c:v>-26.133039547115477</c:v>
                </c:pt>
                <c:pt idx="529">
                  <c:v>-26.490828546076756</c:v>
                </c:pt>
                <c:pt idx="530">
                  <c:v>-26.850134762590091</c:v>
                </c:pt>
                <c:pt idx="531">
                  <c:v>-27.21091700579731</c:v>
                </c:pt>
                <c:pt idx="532">
                  <c:v>-27.573134242882197</c:v>
                </c:pt>
                <c:pt idx="533">
                  <c:v>-27.9367456743222</c:v>
                </c:pt>
                <c:pt idx="534">
                  <c:v>-28.301710804262878</c:v>
                </c:pt>
                <c:pt idx="535">
                  <c:v>-28.667989505972468</c:v>
                </c:pt>
                <c:pt idx="536">
                  <c:v>-29.035542082368121</c:v>
                </c:pt>
                <c:pt idx="537">
                  <c:v>-29.404329321645548</c:v>
                </c:pt>
                <c:pt idx="538">
                  <c:v>-29.774312548072409</c:v>
                </c:pt>
                <c:pt idx="539">
                  <c:v>-30.145453668034033</c:v>
                </c:pt>
                <c:pt idx="540">
                  <c:v>-30.517715211446536</c:v>
                </c:pt>
                <c:pt idx="541">
                  <c:v>-30.891060368673351</c:v>
                </c:pt>
              </c:numCache>
            </c:numRef>
          </c:yVal>
          <c:smooth val="1"/>
          <c:extLst>
            <c:ext xmlns:c16="http://schemas.microsoft.com/office/drawing/2014/chart" uri="{C3380CC4-5D6E-409C-BE32-E72D297353CC}">
              <c16:uniqueId val="{00000000-8173-45EB-83AD-B179A66292B6}"/>
            </c:ext>
          </c:extLst>
        </c:ser>
        <c:dLbls>
          <c:showLegendKey val="0"/>
          <c:showVal val="0"/>
          <c:showCatName val="0"/>
          <c:showSerName val="0"/>
          <c:showPercent val="0"/>
          <c:showBubbleSize val="0"/>
        </c:dLbls>
        <c:axId val="555528192"/>
        <c:axId val="555530112"/>
      </c:scatterChart>
      <c:scatterChart>
        <c:scatterStyle val="smoothMarker"/>
        <c:varyColors val="0"/>
        <c:ser>
          <c:idx val="1"/>
          <c:order val="1"/>
          <c:spPr>
            <a:ln w="38100">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Loop_Modeling!$BM$19:$BM$560</c:f>
              <c:numCache>
                <c:formatCode>General</c:formatCode>
                <c:ptCount val="542"/>
                <c:pt idx="0">
                  <c:v>80.101500372439006</c:v>
                </c:pt>
                <c:pt idx="1">
                  <c:v>79.875039046378276</c:v>
                </c:pt>
                <c:pt idx="2">
                  <c:v>79.643589451156501</c:v>
                </c:pt>
                <c:pt idx="3">
                  <c:v>79.407055085451162</c:v>
                </c:pt>
                <c:pt idx="4">
                  <c:v>79.16533851280721</c:v>
                </c:pt>
                <c:pt idx="5">
                  <c:v>78.918341422699598</c:v>
                </c:pt>
                <c:pt idx="6">
                  <c:v>78.665964697701156</c:v>
                </c:pt>
                <c:pt idx="7">
                  <c:v>78.40810848709657</c:v>
                </c:pt>
                <c:pt idx="8">
                  <c:v>78.144672287295464</c:v>
                </c:pt>
                <c:pt idx="9">
                  <c:v>77.875555029402292</c:v>
                </c:pt>
                <c:pt idx="10">
                  <c:v>77.60065517430705</c:v>
                </c:pt>
                <c:pt idx="11">
                  <c:v>77.319870815668438</c:v>
                </c:pt>
                <c:pt idx="12">
                  <c:v>77.033099791161888</c:v>
                </c:pt>
                <c:pt idx="13">
                  <c:v>76.740239802366901</c:v>
                </c:pt>
                <c:pt idx="14">
                  <c:v>76.441188543668204</c:v>
                </c:pt>
                <c:pt idx="15">
                  <c:v>76.135843840539465</c:v>
                </c:pt>
                <c:pt idx="16">
                  <c:v>75.824103797576285</c:v>
                </c:pt>
                <c:pt idx="17">
                  <c:v>75.5058669566303</c:v>
                </c:pt>
                <c:pt idx="18">
                  <c:v>75.181032465388924</c:v>
                </c:pt>
                <c:pt idx="19">
                  <c:v>74.849500256723658</c:v>
                </c:pt>
                <c:pt idx="20">
                  <c:v>74.511171239111192</c:v>
                </c:pt>
                <c:pt idx="21">
                  <c:v>74.16594749840597</c:v>
                </c:pt>
                <c:pt idx="22">
                  <c:v>73.813732511209736</c:v>
                </c:pt>
                <c:pt idx="23">
                  <c:v>73.454431370046265</c:v>
                </c:pt>
                <c:pt idx="24">
                  <c:v>73.087951020513131</c:v>
                </c:pt>
                <c:pt idx="25">
                  <c:v>72.714200510520882</c:v>
                </c:pt>
                <c:pt idx="26">
                  <c:v>72.333091251688089</c:v>
                </c:pt>
                <c:pt idx="27">
                  <c:v>71.94453729288432</c:v>
                </c:pt>
                <c:pt idx="28">
                  <c:v>71.548455605851188</c:v>
                </c:pt>
                <c:pt idx="29">
                  <c:v>71.144766382746369</c:v>
                </c:pt>
                <c:pt idx="30">
                  <c:v>70.733393345374211</c:v>
                </c:pt>
                <c:pt idx="31">
                  <c:v>70.314264065760725</c:v>
                </c:pt>
                <c:pt idx="32">
                  <c:v>69.887310297640525</c:v>
                </c:pt>
                <c:pt idx="33">
                  <c:v>69.452468318294606</c:v>
                </c:pt>
                <c:pt idx="34">
                  <c:v>69.009679280069832</c:v>
                </c:pt>
                <c:pt idx="35">
                  <c:v>68.558889570770305</c:v>
                </c:pt>
                <c:pt idx="36">
                  <c:v>68.100051181981343</c:v>
                </c:pt>
                <c:pt idx="37">
                  <c:v>67.633122084236192</c:v>
                </c:pt>
                <c:pt idx="38">
                  <c:v>67.158066607783582</c:v>
                </c:pt>
                <c:pt idx="39">
                  <c:v>66.674855827562212</c:v>
                </c:pt>
                <c:pt idx="40">
                  <c:v>66.183467950817828</c:v>
                </c:pt>
                <c:pt idx="41">
                  <c:v>65.683888705637656</c:v>
                </c:pt>
                <c:pt idx="42">
                  <c:v>65.176111728509312</c:v>
                </c:pt>
                <c:pt idx="43">
                  <c:v>64.660138948841876</c:v>
                </c:pt>
                <c:pt idx="44">
                  <c:v>64.135980968222839</c:v>
                </c:pt>
                <c:pt idx="45">
                  <c:v>63.603657432023759</c:v>
                </c:pt>
                <c:pt idx="46">
                  <c:v>63.06319739081453</c:v>
                </c:pt>
                <c:pt idx="47">
                  <c:v>62.514639648899291</c:v>
                </c:pt>
                <c:pt idx="48">
                  <c:v>61.95803309716247</c:v>
                </c:pt>
                <c:pt idx="49">
                  <c:v>61.393437027289188</c:v>
                </c:pt>
                <c:pt idx="50">
                  <c:v>60.820921424336653</c:v>
                </c:pt>
                <c:pt idx="51">
                  <c:v>60.240567234557979</c:v>
                </c:pt>
                <c:pt idx="52">
                  <c:v>59.652466605326424</c:v>
                </c:pt>
                <c:pt idx="53">
                  <c:v>59.0567230939984</c:v>
                </c:pt>
                <c:pt idx="54">
                  <c:v>58.453451842561883</c:v>
                </c:pt>
                <c:pt idx="55">
                  <c:v>57.842779714968032</c:v>
                </c:pt>
                <c:pt idx="56">
                  <c:v>57.224845394128437</c:v>
                </c:pt>
                <c:pt idx="57">
                  <c:v>56.599799435692674</c:v>
                </c:pt>
                <c:pt idx="58">
                  <c:v>55.967804275881861</c:v>
                </c:pt>
                <c:pt idx="59">
                  <c:v>55.329034190875682</c:v>
                </c:pt>
                <c:pt idx="60">
                  <c:v>54.683675205493245</c:v>
                </c:pt>
                <c:pt idx="61">
                  <c:v>54.031924949220162</c:v>
                </c:pt>
                <c:pt idx="62">
                  <c:v>53.373992457964597</c:v>
                </c:pt>
                <c:pt idx="63">
                  <c:v>52.710097920310353</c:v>
                </c:pt>
                <c:pt idx="64">
                  <c:v>52.040472367455152</c:v>
                </c:pt>
                <c:pt idx="65">
                  <c:v>51.365357306472369</c:v>
                </c:pt>
                <c:pt idx="66">
                  <c:v>50.685004297016</c:v>
                </c:pt>
                <c:pt idx="67">
                  <c:v>49.999674472094384</c:v>
                </c:pt>
                <c:pt idx="68">
                  <c:v>49.309638004065199</c:v>
                </c:pt>
                <c:pt idx="69">
                  <c:v>48.615173517529684</c:v>
                </c:pt>
                <c:pt idx="70">
                  <c:v>47.916567451345919</c:v>
                </c:pt>
                <c:pt idx="71">
                  <c:v>47.214113372512763</c:v>
                </c:pt>
                <c:pt idx="72">
                  <c:v>46.508111245189056</c:v>
                </c:pt>
                <c:pt idx="73">
                  <c:v>45.79886665861217</c:v>
                </c:pt>
                <c:pt idx="74">
                  <c:v>45.086690018145347</c:v>
                </c:pt>
                <c:pt idx="75">
                  <c:v>44.371895704110173</c:v>
                </c:pt>
                <c:pt idx="76">
                  <c:v>43.654801203440094</c:v>
                </c:pt>
                <c:pt idx="77">
                  <c:v>42.935726219521889</c:v>
                </c:pt>
                <c:pt idx="78">
                  <c:v>42.214991765866593</c:v>
                </c:pt>
                <c:pt idx="79">
                  <c:v>41.492919249447247</c:v>
                </c:pt>
                <c:pt idx="80">
                  <c:v>40.769829549687039</c:v>
                </c:pt>
                <c:pt idx="81">
                  <c:v>40.046042099155024</c:v>
                </c:pt>
                <c:pt idx="82">
                  <c:v>39.321873972010501</c:v>
                </c:pt>
                <c:pt idx="83">
                  <c:v>38.59763898617576</c:v>
                </c:pt>
                <c:pt idx="84">
                  <c:v>37.87364682507031</c:v>
                </c:pt>
                <c:pt idx="85">
                  <c:v>37.150202184526393</c:v>
                </c:pt>
                <c:pt idx="86">
                  <c:v>36.427603950235621</c:v>
                </c:pt>
                <c:pt idx="87">
                  <c:v>35.706144410749438</c:v>
                </c:pt>
                <c:pt idx="88">
                  <c:v>34.986108510666071</c:v>
                </c:pt>
                <c:pt idx="89">
                  <c:v>34.267773148225025</c:v>
                </c:pt>
                <c:pt idx="90">
                  <c:v>33.551406521048122</c:v>
                </c:pt>
                <c:pt idx="91">
                  <c:v>32.837267523299872</c:v>
                </c:pt>
                <c:pt idx="92">
                  <c:v>32.125605197007154</c:v>
                </c:pt>
                <c:pt idx="93">
                  <c:v>31.416658239771593</c:v>
                </c:pt>
                <c:pt idx="94">
                  <c:v>30.710654570575628</c:v>
                </c:pt>
                <c:pt idx="95">
                  <c:v>30.007810954862055</c:v>
                </c:pt>
                <c:pt idx="96">
                  <c:v>29.308332689564615</c:v>
                </c:pt>
                <c:pt idx="97">
                  <c:v>28.612413348267832</c:v>
                </c:pt>
                <c:pt idx="98">
                  <c:v>27.920234586215599</c:v>
                </c:pt>
                <c:pt idx="99">
                  <c:v>27.231966004456456</c:v>
                </c:pt>
                <c:pt idx="100">
                  <c:v>26.547765071999198</c:v>
                </c:pt>
                <c:pt idx="101">
                  <c:v>25.867777104510466</c:v>
                </c:pt>
                <c:pt idx="102">
                  <c:v>25.192135297745033</c:v>
                </c:pt>
                <c:pt idx="103">
                  <c:v>24.52096081363274</c:v>
                </c:pt>
                <c:pt idx="104">
                  <c:v>23.85436291670548</c:v>
                </c:pt>
                <c:pt idx="105">
                  <c:v>23.192439158350254</c:v>
                </c:pt>
                <c:pt idx="106">
                  <c:v>22.535275606232094</c:v>
                </c:pt>
                <c:pt idx="107">
                  <c:v>21.882947116108621</c:v>
                </c:pt>
                <c:pt idx="108">
                  <c:v>21.235517643198051</c:v>
                </c:pt>
                <c:pt idx="109">
                  <c:v>20.593040590214553</c:v>
                </c:pt>
                <c:pt idx="110">
                  <c:v>19.955559189194386</c:v>
                </c:pt>
                <c:pt idx="111">
                  <c:v>19.32310691425425</c:v>
                </c:pt>
                <c:pt idx="112">
                  <c:v>18.695707922485798</c:v>
                </c:pt>
                <c:pt idx="113">
                  <c:v>18.073377520261978</c:v>
                </c:pt>
                <c:pt idx="114">
                  <c:v>17.456122652332805</c:v>
                </c:pt>
                <c:pt idx="115">
                  <c:v>16.843942411199457</c:v>
                </c:pt>
                <c:pt idx="116">
                  <c:v>16.236828564384567</c:v>
                </c:pt>
                <c:pt idx="117">
                  <c:v>15.634766097346821</c:v>
                </c:pt>
                <c:pt idx="118">
                  <c:v>15.037733769934619</c:v>
                </c:pt>
                <c:pt idx="119">
                  <c:v>14.445704684416571</c:v>
                </c:pt>
                <c:pt idx="120">
                  <c:v>13.85864686326541</c:v>
                </c:pt>
                <c:pt idx="121">
                  <c:v>13.276523835019233</c:v>
                </c:pt>
                <c:pt idx="122">
                  <c:v>12.699295226679213</c:v>
                </c:pt>
                <c:pt idx="123">
                  <c:v>12.126917361222519</c:v>
                </c:pt>
                <c:pt idx="124">
                  <c:v>11.55934385894375</c:v>
                </c:pt>
                <c:pt idx="125">
                  <c:v>10.996526241430026</c:v>
                </c:pt>
                <c:pt idx="126">
                  <c:v>10.438414537079094</c:v>
                </c:pt>
                <c:pt idx="127">
                  <c:v>9.8849578871519217</c:v>
                </c:pt>
                <c:pt idx="128">
                  <c:v>9.3361051514105995</c:v>
                </c:pt>
                <c:pt idx="129">
                  <c:v>8.7918055124467323</c:v>
                </c:pt>
                <c:pt idx="130">
                  <c:v>8.2520090778436224</c:v>
                </c:pt>
                <c:pt idx="131">
                  <c:v>7.7166674793225338</c:v>
                </c:pt>
                <c:pt idx="132">
                  <c:v>7.1857344680328685</c:v>
                </c:pt>
                <c:pt idx="133">
                  <c:v>6.6591665051204556</c:v>
                </c:pt>
                <c:pt idx="134">
                  <c:v>6.136923346682245</c:v>
                </c:pt>
                <c:pt idx="135">
                  <c:v>5.6189686221536288</c:v>
                </c:pt>
                <c:pt idx="136">
                  <c:v>5.1052704051159434</c:v>
                </c:pt>
                <c:pt idx="137">
                  <c:v>4.5958017754223341</c:v>
                </c:pt>
                <c:pt idx="138">
                  <c:v>4.0905413714463315</c:v>
                </c:pt>
                <c:pt idx="139">
                  <c:v>3.5894739311396293</c:v>
                </c:pt>
                <c:pt idx="140">
                  <c:v>3.0925908204693635</c:v>
                </c:pt>
                <c:pt idx="141">
                  <c:v>2.5998905476618579</c:v>
                </c:pt>
                <c:pt idx="142">
                  <c:v>2.1113792615456481</c:v>
                </c:pt>
                <c:pt idx="143">
                  <c:v>1.6270712321268335</c:v>
                </c:pt>
                <c:pt idx="144">
                  <c:v>1.1469893113826617</c:v>
                </c:pt>
                <c:pt idx="145">
                  <c:v>0.67116537209876659</c:v>
                </c:pt>
                <c:pt idx="146">
                  <c:v>0.19964072242202813</c:v>
                </c:pt>
                <c:pt idx="147">
                  <c:v>-0.26753350635235384</c:v>
                </c:pt>
                <c:pt idx="148">
                  <c:v>-0.73029600138181494</c:v>
                </c:pt>
                <c:pt idx="149">
                  <c:v>-1.1885749420242278</c:v>
                </c:pt>
                <c:pt idx="150">
                  <c:v>-1.6422877086064669</c:v>
                </c:pt>
                <c:pt idx="151">
                  <c:v>-2.0913406291906687</c:v>
                </c:pt>
                <c:pt idx="152">
                  <c:v>-2.5356287673882378</c:v>
                </c:pt>
                <c:pt idx="153">
                  <c:v>-2.9750357543302304</c:v>
                </c:pt>
                <c:pt idx="154">
                  <c:v>-3.4094336679125257</c:v>
                </c:pt>
                <c:pt idx="155">
                  <c:v>-3.8386829624351515</c:v>
                </c:pt>
                <c:pt idx="156">
                  <c:v>-4.2626324516892105</c:v>
                </c:pt>
                <c:pt idx="157">
                  <c:v>-4.6811193484654199</c:v>
                </c:pt>
                <c:pt idx="158">
                  <c:v>-5.093969363312981</c:v>
                </c:pt>
                <c:pt idx="159">
                  <c:v>-5.5009968651981431</c:v>
                </c:pt>
                <c:pt idx="160">
                  <c:v>-5.9020051064809014</c:v>
                </c:pt>
                <c:pt idx="161">
                  <c:v>-6.2967865143419672</c:v>
                </c:pt>
                <c:pt idx="162">
                  <c:v>-6.6851230504621295</c:v>
                </c:pt>
                <c:pt idx="163">
                  <c:v>-7.0667866403756294</c:v>
                </c:pt>
                <c:pt idx="164">
                  <c:v>-7.4415396734748613</c:v>
                </c:pt>
                <c:pt idx="165">
                  <c:v>-7.8091355741799608</c:v>
                </c:pt>
                <c:pt idx="166">
                  <c:v>-8.1693194442455646</c:v>
                </c:pt>
                <c:pt idx="167">
                  <c:v>-8.5218287756274851</c:v>
                </c:pt>
                <c:pt idx="168">
                  <c:v>-8.8663942327163578</c:v>
                </c:pt>
                <c:pt idx="169">
                  <c:v>-9.2027405021307551</c:v>
                </c:pt>
                <c:pt idx="170">
                  <c:v>-9.530587207602391</c:v>
                </c:pt>
                <c:pt idx="171">
                  <c:v>-9.8496498868197335</c:v>
                </c:pt>
                <c:pt idx="172">
                  <c:v>-10.159641026431903</c:v>
                </c:pt>
                <c:pt idx="173">
                  <c:v>-10.460271150737629</c:v>
                </c:pt>
                <c:pt idx="174">
                  <c:v>-10.751249958933881</c:v>
                </c:pt>
                <c:pt idx="175">
                  <c:v>-11.032287505163808</c:v>
                </c:pt>
                <c:pt idx="176">
                  <c:v>-11.303095414998195</c:v>
                </c:pt>
                <c:pt idx="177">
                  <c:v>-11.563388131429877</c:v>
                </c:pt>
                <c:pt idx="178">
                  <c:v>-11.81288418295029</c:v>
                </c:pt>
                <c:pt idx="179">
                  <c:v>-12.051307465821107</c:v>
                </c:pt>
                <c:pt idx="180">
                  <c:v>-12.278388532283286</c:v>
                </c:pt>
                <c:pt idx="181">
                  <c:v>-12.493865876125177</c:v>
                </c:pt>
                <c:pt idx="182">
                  <c:v>-12.697487206820991</c:v>
                </c:pt>
                <c:pt idx="183">
                  <c:v>-12.889010703292058</c:v>
                </c:pt>
                <c:pt idx="184">
                  <c:v>-13.068206238309921</c:v>
                </c:pt>
                <c:pt idx="185">
                  <c:v>-13.234856564587758</c:v>
                </c:pt>
                <c:pt idx="186">
                  <c:v>-13.388758453754043</c:v>
                </c:pt>
                <c:pt idx="187">
                  <c:v>-13.529723779614537</c:v>
                </c:pt>
                <c:pt idx="188">
                  <c:v>-13.657580537450416</c:v>
                </c:pt>
                <c:pt idx="189">
                  <c:v>-13.772173791479451</c:v>
                </c:pt>
                <c:pt idx="190">
                  <c:v>-13.873366543133193</c:v>
                </c:pt>
                <c:pt idx="191">
                  <c:v>-13.961040513348385</c:v>
                </c:pt>
                <c:pt idx="192">
                  <c:v>-14.03509683273783</c:v>
                </c:pt>
                <c:pt idx="193">
                  <c:v>-14.095456634208183</c:v>
                </c:pt>
                <c:pt idx="194">
                  <c:v>-14.142061543372501</c:v>
                </c:pt>
                <c:pt idx="195">
                  <c:v>-14.174874062930481</c:v>
                </c:pt>
                <c:pt idx="196">
                  <c:v>-14.193877848052926</c:v>
                </c:pt>
                <c:pt idx="197">
                  <c:v>-14.199077870703849</c:v>
                </c:pt>
                <c:pt idx="198">
                  <c:v>-14.190500471768793</c:v>
                </c:pt>
                <c:pt idx="199">
                  <c:v>-14.168193300778977</c:v>
                </c:pt>
                <c:pt idx="200">
                  <c:v>-14.132225143969201</c:v>
                </c:pt>
                <c:pt idx="201">
                  <c:v>-14.082685642333683</c:v>
                </c:pt>
                <c:pt idx="202">
                  <c:v>-14.019684902265393</c:v>
                </c:pt>
                <c:pt idx="203">
                  <c:v>-13.943353002243686</c:v>
                </c:pt>
                <c:pt idx="204">
                  <c:v>-13.853839399894873</c:v>
                </c:pt>
                <c:pt idx="205">
                  <c:v>-13.751312244548018</c:v>
                </c:pt>
                <c:pt idx="206">
                  <c:v>-13.635957601169661</c:v>
                </c:pt>
                <c:pt idx="207">
                  <c:v>-13.507978592239727</c:v>
                </c:pt>
                <c:pt idx="208">
                  <c:v>-13.367594464755225</c:v>
                </c:pt>
                <c:pt idx="209">
                  <c:v>-13.21503959009241</c:v>
                </c:pt>
                <c:pt idx="210">
                  <c:v>-13.050562404916459</c:v>
                </c:pt>
                <c:pt idx="211">
                  <c:v>-12.874424301699898</c:v>
                </c:pt>
                <c:pt idx="212">
                  <c:v>-12.686898477699186</c:v>
                </c:pt>
                <c:pt idx="213">
                  <c:v>-12.48826875142859</c:v>
                </c:pt>
                <c:pt idx="214">
                  <c:v>-12.278828355765583</c:v>
                </c:pt>
                <c:pt idx="215">
                  <c:v>-12.058878716835942</c:v>
                </c:pt>
                <c:pt idx="216">
                  <c:v>-11.828728227728535</c:v>
                </c:pt>
                <c:pt idx="217">
                  <c:v>-11.588691025927728</c:v>
                </c:pt>
                <c:pt idx="218">
                  <c:v>-11.339085783085606</c:v>
                </c:pt>
                <c:pt idx="219">
                  <c:v>-11.080234515421511</c:v>
                </c:pt>
                <c:pt idx="220">
                  <c:v>-10.812461422629696</c:v>
                </c:pt>
                <c:pt idx="221">
                  <c:v>-10.5360917626949</c:v>
                </c:pt>
                <c:pt idx="222">
                  <c:v>-10.251450769501528</c:v>
                </c:pt>
                <c:pt idx="223">
                  <c:v>-9.9588626195192678</c:v>
                </c:pt>
                <c:pt idx="224">
                  <c:v>-9.6586494532661966</c:v>
                </c:pt>
                <c:pt idx="225">
                  <c:v>-9.3511304565680256</c:v>
                </c:pt>
                <c:pt idx="226">
                  <c:v>-9.0366210060039478</c:v>
                </c:pt>
                <c:pt idx="227">
                  <c:v>-8.715431882234066</c:v>
                </c:pt>
                <c:pt idx="228">
                  <c:v>-8.3878685542363094</c:v>
                </c:pt>
                <c:pt idx="229">
                  <c:v>-8.0542305368231784</c:v>
                </c:pt>
                <c:pt idx="230">
                  <c:v>-7.7148108231447248</c:v>
                </c:pt>
                <c:pt idx="231">
                  <c:v>-7.369895393276729</c:v>
                </c:pt>
                <c:pt idx="232">
                  <c:v>-7.0197627993833516</c:v>
                </c:pt>
                <c:pt idx="233">
                  <c:v>-6.6646838273861926</c:v>
                </c:pt>
                <c:pt idx="234">
                  <c:v>-6.3049212345602248</c:v>
                </c:pt>
                <c:pt idx="235">
                  <c:v>-5.9407295619844724</c:v>
                </c:pt>
                <c:pt idx="236">
                  <c:v>-5.5723550203544088</c:v>
                </c:pt>
                <c:pt idx="237">
                  <c:v>-5.2000354472708041</c:v>
                </c:pt>
                <c:pt idx="238">
                  <c:v>-4.8240003337822861</c:v>
                </c:pt>
                <c:pt idx="239">
                  <c:v>-4.4444709176692934</c:v>
                </c:pt>
                <c:pt idx="240">
                  <c:v>-4.0616603407075367</c:v>
                </c:pt>
                <c:pt idx="241">
                  <c:v>-3.675773866941018</c:v>
                </c:pt>
                <c:pt idx="242">
                  <c:v>-3.2870091588455854</c:v>
                </c:pt>
                <c:pt idx="243">
                  <c:v>-2.895556608123095</c:v>
                </c:pt>
                <c:pt idx="244">
                  <c:v>-2.5015997177864167</c:v>
                </c:pt>
                <c:pt idx="245">
                  <c:v>-2.1053155321320816</c:v>
                </c:pt>
                <c:pt idx="246">
                  <c:v>-1.7068751111623022</c:v>
                </c:pt>
                <c:pt idx="247">
                  <c:v>-1.3064440460109064</c:v>
                </c:pt>
                <c:pt idx="248">
                  <c:v>-0.90418301192923212</c:v>
                </c:pt>
                <c:pt idx="249">
                  <c:v>-0.50024835541735557</c:v>
                </c:pt>
                <c:pt idx="250">
                  <c:v>-9.4792712112090949E-2</c:v>
                </c:pt>
                <c:pt idx="251">
                  <c:v>0.31203434791821577</c:v>
                </c:pt>
                <c:pt idx="252">
                  <c:v>0.72008565077090447</c:v>
                </c:pt>
                <c:pt idx="253">
                  <c:v>1.1292157284671731</c:v>
                </c:pt>
                <c:pt idx="254">
                  <c:v>1.5392801110881471</c:v>
                </c:pt>
                <c:pt idx="255">
                  <c:v>1.950134604477014</c:v>
                </c:pt>
                <c:pt idx="256">
                  <c:v>2.361634556664268</c:v>
                </c:pt>
                <c:pt idx="257">
                  <c:v>2.7736341161515656</c:v>
                </c:pt>
                <c:pt idx="258">
                  <c:v>3.1859854851781511</c:v>
                </c:pt>
                <c:pt idx="259">
                  <c:v>3.5985381710935629</c:v>
                </c:pt>
                <c:pt idx="260">
                  <c:v>4.0111382389669084</c:v>
                </c:pt>
                <c:pt idx="261">
                  <c:v>4.4236275685778512</c:v>
                </c:pt>
                <c:pt idx="262">
                  <c:v>4.8358431189685458</c:v>
                </c:pt>
                <c:pt idx="263">
                  <c:v>5.2476162037579064</c:v>
                </c:pt>
                <c:pt idx="264">
                  <c:v>5.6587717804712723</c:v>
                </c:pt>
                <c:pt idx="265">
                  <c:v>6.0691277571721542</c:v>
                </c:pt>
                <c:pt idx="266">
                  <c:v>6.4784943197332527</c:v>
                </c:pt>
                <c:pt idx="267">
                  <c:v>6.8866732831226338</c:v>
                </c:pt>
                <c:pt idx="268">
                  <c:v>7.2934574701252428</c:v>
                </c:pt>
                <c:pt idx="269">
                  <c:v>7.6986301209444203</c:v>
                </c:pt>
                <c:pt idx="270">
                  <c:v>8.1019643371492869</c:v>
                </c:pt>
                <c:pt idx="271">
                  <c:v>8.5032225634468031</c:v>
                </c:pt>
                <c:pt idx="272">
                  <c:v>8.9021561107226841</c:v>
                </c:pt>
                <c:pt idx="273">
                  <c:v>9.2985047237866834</c:v>
                </c:pt>
                <c:pt idx="274">
                  <c:v>9.6919961971687965</c:v>
                </c:pt>
                <c:pt idx="275">
                  <c:v>10.08234604224363</c:v>
                </c:pt>
                <c:pt idx="276">
                  <c:v>10.469257208822249</c:v>
                </c:pt>
                <c:pt idx="277">
                  <c:v>10.852419864204043</c:v>
                </c:pt>
                <c:pt idx="278">
                  <c:v>11.231511232481454</c:v>
                </c:pt>
                <c:pt idx="279">
                  <c:v>11.606195496661691</c:v>
                </c:pt>
                <c:pt idx="280">
                  <c:v>11.976123765899919</c:v>
                </c:pt>
                <c:pt idx="281">
                  <c:v>12.340934109833437</c:v>
                </c:pt>
                <c:pt idx="282">
                  <c:v>12.700251661652727</c:v>
                </c:pt>
                <c:pt idx="283">
                  <c:v>13.053688791174876</c:v>
                </c:pt>
                <c:pt idx="284">
                  <c:v>13.400845348763291</c:v>
                </c:pt>
                <c:pt idx="285">
                  <c:v>13.741308980498159</c:v>
                </c:pt>
                <c:pt idx="286">
                  <c:v>14.074655514533157</c:v>
                </c:pt>
                <c:pt idx="287">
                  <c:v>14.400449418086493</c:v>
                </c:pt>
                <c:pt idx="288">
                  <c:v>14.718244324017759</c:v>
                </c:pt>
                <c:pt idx="289">
                  <c:v>15.027583625424592</c:v>
                </c:pt>
                <c:pt idx="290">
                  <c:v>15.328001136204541</c:v>
                </c:pt>
                <c:pt idx="291">
                  <c:v>15.619021815012085</c:v>
                </c:pt>
                <c:pt idx="292">
                  <c:v>15.900162549574269</c:v>
                </c:pt>
                <c:pt idx="293">
                  <c:v>16.170932997867446</c:v>
                </c:pt>
                <c:pt idx="294">
                  <c:v>16.430836482230799</c:v>
                </c:pt>
                <c:pt idx="295">
                  <c:v>16.679370932124606</c:v>
                </c:pt>
                <c:pt idx="296">
                  <c:v>16.916029870881509</c:v>
                </c:pt>
                <c:pt idx="297">
                  <c:v>17.140303441544553</c:v>
                </c:pt>
                <c:pt idx="298">
                  <c:v>17.351679466638558</c:v>
                </c:pt>
                <c:pt idx="299">
                  <c:v>17.54964453657751</c:v>
                </c:pt>
                <c:pt idx="300">
                  <c:v>17.733685121302209</c:v>
                </c:pt>
                <c:pt idx="301">
                  <c:v>17.903288699722623</c:v>
                </c:pt>
                <c:pt idx="302">
                  <c:v>18.057944901579432</c:v>
                </c:pt>
                <c:pt idx="303">
                  <c:v>18.197146656427467</c:v>
                </c:pt>
                <c:pt idx="304">
                  <c:v>18.3203913446408</c:v>
                </c:pt>
                <c:pt idx="305">
                  <c:v>18.427181945538223</c:v>
                </c:pt>
                <c:pt idx="306">
                  <c:v>18.517028178027239</c:v>
                </c:pt>
                <c:pt idx="307">
                  <c:v>18.589447629484734</c:v>
                </c:pt>
                <c:pt idx="308">
                  <c:v>18.643966868973575</c:v>
                </c:pt>
                <c:pt idx="309">
                  <c:v>18.680122541280031</c:v>
                </c:pt>
                <c:pt idx="310">
                  <c:v>18.697462438699425</c:v>
                </c:pt>
                <c:pt idx="311">
                  <c:v>18.695546547925016</c:v>
                </c:pt>
                <c:pt idx="312">
                  <c:v>18.673948069852703</c:v>
                </c:pt>
                <c:pt idx="313">
                  <c:v>18.632254410538614</c:v>
                </c:pt>
                <c:pt idx="314">
                  <c:v>18.570068141999219</c:v>
                </c:pt>
                <c:pt idx="315">
                  <c:v>18.487007931920644</c:v>
                </c:pt>
                <c:pt idx="316">
                  <c:v>18.382709441755075</c:v>
                </c:pt>
                <c:pt idx="317">
                  <c:v>18.256826192985784</c:v>
                </c:pt>
                <c:pt idx="318">
                  <c:v>18.109030401673305</c:v>
                </c:pt>
                <c:pt idx="319">
                  <c:v>17.939013781617096</c:v>
                </c:pt>
                <c:pt idx="320">
                  <c:v>17.746488316679486</c:v>
                </c:pt>
                <c:pt idx="321">
                  <c:v>17.53118700294619</c:v>
                </c:pt>
                <c:pt idx="322">
                  <c:v>17.292864561482045</c:v>
                </c:pt>
                <c:pt idx="323">
                  <c:v>17.031298122460843</c:v>
                </c:pt>
                <c:pt idx="324">
                  <c:v>16.746287881409987</c:v>
                </c:pt>
                <c:pt idx="325">
                  <c:v>16.437657728206709</c:v>
                </c:pt>
                <c:pt idx="326">
                  <c:v>16.10525584931186</c:v>
                </c:pt>
                <c:pt idx="327">
                  <c:v>15.748955303529744</c:v>
                </c:pt>
                <c:pt idx="328">
                  <c:v>15.36865457130564</c:v>
                </c:pt>
                <c:pt idx="329">
                  <c:v>14.964278077294866</c:v>
                </c:pt>
                <c:pt idx="330">
                  <c:v>14.535776685589395</c:v>
                </c:pt>
                <c:pt idx="331">
                  <c:v>14.083128166618648</c:v>
                </c:pt>
                <c:pt idx="332">
                  <c:v>13.606337634361166</c:v>
                </c:pt>
                <c:pt idx="333">
                  <c:v>13.105437952076569</c:v>
                </c:pt>
                <c:pt idx="334">
                  <c:v>12.580490104378748</c:v>
                </c:pt>
                <c:pt idx="335">
                  <c:v>12.031583533029796</c:v>
                </c:pt>
                <c:pt idx="336">
                  <c:v>11.458836433457929</c:v>
                </c:pt>
                <c:pt idx="337">
                  <c:v>10.862396008591629</c:v>
                </c:pt>
                <c:pt idx="338">
                  <c:v>10.242438676277834</c:v>
                </c:pt>
                <c:pt idx="339">
                  <c:v>9.5991702262057981</c:v>
                </c:pt>
                <c:pt idx="340">
                  <c:v>8.9328259220169208</c:v>
                </c:pt>
                <c:pt idx="341">
                  <c:v>8.2436705440422831</c:v>
                </c:pt>
                <c:pt idx="342">
                  <c:v>7.5319983679819238</c:v>
                </c:pt>
                <c:pt idx="343">
                  <c:v>6.7981330747505018</c:v>
                </c:pt>
                <c:pt idx="344">
                  <c:v>6.0424275867202191</c:v>
                </c:pt>
                <c:pt idx="345">
                  <c:v>5.2652638256748494</c:v>
                </c:pt>
                <c:pt idx="346">
                  <c:v>4.4670523879696127</c:v>
                </c:pt>
                <c:pt idx="347">
                  <c:v>3.6482321326543596</c:v>
                </c:pt>
                <c:pt idx="348">
                  <c:v>2.8092696786755811</c:v>
                </c:pt>
                <c:pt idx="349">
                  <c:v>1.950658807739851</c:v>
                </c:pt>
                <c:pt idx="350">
                  <c:v>1.0729197699572632</c:v>
                </c:pt>
                <c:pt idx="351">
                  <c:v>0.17659849002949468</c:v>
                </c:pt>
                <c:pt idx="352">
                  <c:v>-0.73773432753802859</c:v>
                </c:pt>
                <c:pt idx="353">
                  <c:v>-1.6694841949109624</c:v>
                </c:pt>
                <c:pt idx="354">
                  <c:v>-2.6180339389542473</c:v>
                </c:pt>
                <c:pt idx="355">
                  <c:v>-3.5827448997264195</c:v>
                </c:pt>
                <c:pt idx="356">
                  <c:v>-4.5629582274203946</c:v>
                </c:pt>
                <c:pt idx="357">
                  <c:v>-5.5579962747065084</c:v>
                </c:pt>
                <c:pt idx="358">
                  <c:v>-6.5671640804399223</c:v>
                </c:pt>
                <c:pt idx="359">
                  <c:v>-7.5897509396744667</c:v>
                </c:pt>
                <c:pt idx="360">
                  <c:v>-8.6250320539415917</c:v>
                </c:pt>
                <c:pt idx="361">
                  <c:v>-9.6722702547879749</c:v>
                </c:pt>
                <c:pt idx="362">
                  <c:v>-10.730717792673357</c:v>
                </c:pt>
                <c:pt idx="363">
                  <c:v>-11.799618182487219</c:v>
                </c:pt>
                <c:pt idx="364">
                  <c:v>-12.878208096197419</c:v>
                </c:pt>
                <c:pt idx="365">
                  <c:v>-13.965719292495383</c:v>
                </c:pt>
                <c:pt idx="366">
                  <c:v>-15.061380572765019</c:v>
                </c:pt>
                <c:pt idx="367">
                  <c:v>-16.164419752280498</c:v>
                </c:pt>
                <c:pt idx="368">
                  <c:v>-17.274065635264773</c:v>
                </c:pt>
                <c:pt idx="369">
                  <c:v>-18.389549982281824</c:v>
                </c:pt>
                <c:pt idx="370">
                  <c:v>-19.510109458437057</c:v>
                </c:pt>
                <c:pt idx="371">
                  <c:v>-20.634987550981418</c:v>
                </c:pt>
                <c:pt idx="372">
                  <c:v>-21.763436445200881</c:v>
                </c:pt>
                <c:pt idx="373">
                  <c:v>-22.894718847856616</c:v>
                </c:pt>
                <c:pt idx="374">
                  <c:v>-24.028109747987315</c:v>
                </c:pt>
                <c:pt idx="375">
                  <c:v>-25.162898105515321</c:v>
                </c:pt>
                <c:pt idx="376">
                  <c:v>-26.298388458860188</c:v>
                </c:pt>
                <c:pt idx="377">
                  <c:v>-27.433902443582198</c:v>
                </c:pt>
                <c:pt idx="378">
                  <c:v>-28.568780215009991</c:v>
                </c:pt>
                <c:pt idx="379">
                  <c:v>-29.702381768765488</c:v>
                </c:pt>
                <c:pt idx="380">
                  <c:v>-30.834088154120835</c:v>
                </c:pt>
                <c:pt idx="381">
                  <c:v>-31.96330257615449</c:v>
                </c:pt>
                <c:pt idx="382">
                  <c:v>-33.089451383738563</c:v>
                </c:pt>
                <c:pt idx="383">
                  <c:v>-34.211984941411764</c:v>
                </c:pt>
                <c:pt idx="384">
                  <c:v>-35.330378384237115</c:v>
                </c:pt>
                <c:pt idx="385">
                  <c:v>-36.444132255711331</c:v>
                </c:pt>
                <c:pt idx="386">
                  <c:v>-37.55277302975324</c:v>
                </c:pt>
                <c:pt idx="387">
                  <c:v>-38.655853518653103</c:v>
                </c:pt>
                <c:pt idx="388">
                  <c:v>-39.752953169712697</c:v>
                </c:pt>
                <c:pt idx="389">
                  <c:v>-40.843678254013476</c:v>
                </c:pt>
                <c:pt idx="390">
                  <c:v>-41.927661951432334</c:v>
                </c:pt>
                <c:pt idx="391">
                  <c:v>-43.004564336590654</c:v>
                </c:pt>
                <c:pt idx="392">
                  <c:v>-44.074072270912374</c:v>
                </c:pt>
                <c:pt idx="393">
                  <c:v>-45.135899206375626</c:v>
                </c:pt>
                <c:pt idx="394">
                  <c:v>-46.189784906852523</c:v>
                </c:pt>
                <c:pt idx="395">
                  <c:v>-47.235495093175764</c:v>
                </c:pt>
                <c:pt idx="396">
                  <c:v>-48.272821018225017</c:v>
                </c:pt>
                <c:pt idx="397">
                  <c:v>-49.301578978397309</c:v>
                </c:pt>
                <c:pt idx="398">
                  <c:v>-50.321609767857375</c:v>
                </c:pt>
                <c:pt idx="399">
                  <c:v>-51.332778081886048</c:v>
                </c:pt>
                <c:pt idx="400">
                  <c:v>-52.334971875561642</c:v>
                </c:pt>
                <c:pt idx="401">
                  <c:v>-53.328101683824215</c:v>
                </c:pt>
                <c:pt idx="402">
                  <c:v>-54.312099908783658</c:v>
                </c:pt>
                <c:pt idx="403">
                  <c:v>-55.286920079877525</c:v>
                </c:pt>
                <c:pt idx="404">
                  <c:v>-56.252536092223572</c:v>
                </c:pt>
                <c:pt idx="405">
                  <c:v>-57.208941428191238</c:v>
                </c:pt>
                <c:pt idx="406">
                  <c:v>-58.156148366915907</c:v>
                </c:pt>
                <c:pt idx="407">
                  <c:v>-59.094187186136459</c:v>
                </c:pt>
                <c:pt idx="408">
                  <c:v>-60.023105360391078</c:v>
                </c:pt>
                <c:pt idx="409">
                  <c:v>-60.942966759272416</c:v>
                </c:pt>
                <c:pt idx="410">
                  <c:v>-61.853850849076373</c:v>
                </c:pt>
                <c:pt idx="411">
                  <c:v>-62.755851900856285</c:v>
                </c:pt>
                <c:pt idx="412">
                  <c:v>-63.649078207539759</c:v>
                </c:pt>
                <c:pt idx="413">
                  <c:v>-64.533651312450289</c:v>
                </c:pt>
                <c:pt idx="414">
                  <c:v>-65.409705251248781</c:v>
                </c:pt>
                <c:pt idx="415">
                  <c:v>-66.277385809019762</c:v>
                </c:pt>
                <c:pt idx="416">
                  <c:v>-67.136849793922579</c:v>
                </c:pt>
                <c:pt idx="417">
                  <c:v>-67.988264328575539</c:v>
                </c:pt>
                <c:pt idx="418">
                  <c:v>-68.83180616006193</c:v>
                </c:pt>
                <c:pt idx="419">
                  <c:v>-69.667660989231265</c:v>
                </c:pt>
                <c:pt idx="420">
                  <c:v>-70.49602281972993</c:v>
                </c:pt>
                <c:pt idx="421">
                  <c:v>-71.317093326998787</c:v>
                </c:pt>
                <c:pt idx="422">
                  <c:v>-72.131081247284229</c:v>
                </c:pt>
                <c:pt idx="423">
                  <c:v>-72.938201786546614</c:v>
                </c:pt>
                <c:pt idx="424">
                  <c:v>-73.738676048978419</c:v>
                </c:pt>
                <c:pt idx="425">
                  <c:v>-74.532730484723928</c:v>
                </c:pt>
                <c:pt idx="426">
                  <c:v>-75.320596356257695</c:v>
                </c:pt>
                <c:pt idx="427">
                  <c:v>-76.102509222764525</c:v>
                </c:pt>
                <c:pt idx="428">
                  <c:v>-76.878708441780518</c:v>
                </c:pt>
                <c:pt idx="429">
                  <c:v>-77.649436687263815</c:v>
                </c:pt>
                <c:pt idx="430">
                  <c:v>-78.414939483183929</c:v>
                </c:pt>
                <c:pt idx="431">
                  <c:v>-79.175464751676373</c:v>
                </c:pt>
                <c:pt idx="432">
                  <c:v>-79.931262374743923</c:v>
                </c:pt>
                <c:pt idx="433">
                  <c:v>-80.682583768457249</c:v>
                </c:pt>
                <c:pt idx="434">
                  <c:v>-81.429681468570436</c:v>
                </c:pt>
                <c:pt idx="435">
                  <c:v>-82.172808726451962</c:v>
                </c:pt>
                <c:pt idx="436">
                  <c:v>-82.912219114220477</c:v>
                </c:pt>
                <c:pt idx="437">
                  <c:v>-83.648166137963855</c:v>
                </c:pt>
                <c:pt idx="438">
                  <c:v>-84.380902857935297</c:v>
                </c:pt>
                <c:pt idx="439">
                  <c:v>-85.110681514624588</c:v>
                </c:pt>
                <c:pt idx="440">
                  <c:v>-85.837753159622821</c:v>
                </c:pt>
                <c:pt idx="441">
                  <c:v>-86.562367290234803</c:v>
                </c:pt>
                <c:pt idx="442">
                  <c:v>-87.284771486813142</c:v>
                </c:pt>
                <c:pt idx="443">
                  <c:v>-88.00521105184356</c:v>
                </c:pt>
                <c:pt idx="444">
                  <c:v>-88.72392864985197</c:v>
                </c:pt>
                <c:pt idx="445">
                  <c:v>-89.441163947263746</c:v>
                </c:pt>
                <c:pt idx="446">
                  <c:v>-90.157153251406498</c:v>
                </c:pt>
                <c:pt idx="447">
                  <c:v>-90.87212914792363</c:v>
                </c:pt>
                <c:pt idx="448">
                  <c:v>-91.586320135940255</c:v>
                </c:pt>
                <c:pt idx="449">
                  <c:v>-92.299950260413894</c:v>
                </c:pt>
                <c:pt idx="450">
                  <c:v>-93.013238741197355</c:v>
                </c:pt>
                <c:pt idx="451">
                  <c:v>-93.726399598441816</c:v>
                </c:pt>
                <c:pt idx="452">
                  <c:v>-94.439641274082391</c:v>
                </c:pt>
                <c:pt idx="453">
                  <c:v>-95.153166249271052</c:v>
                </c:pt>
                <c:pt idx="454">
                  <c:v>-95.867170657742648</c:v>
                </c:pt>
                <c:pt idx="455">
                  <c:v>-96.581843895246408</c:v>
                </c:pt>
                <c:pt idx="456">
                  <c:v>-97.297368225311132</c:v>
                </c:pt>
                <c:pt idx="457">
                  <c:v>-98.013918381773451</c:v>
                </c:pt>
                <c:pt idx="458">
                  <c:v>-98.731661168650632</c:v>
                </c:pt>
                <c:pt idx="459">
                  <c:v>-99.450755058112676</c:v>
                </c:pt>
                <c:pt idx="460">
                  <c:v>-100.17134978747792</c:v>
                </c:pt>
                <c:pt idx="461">
                  <c:v>-100.89358595633263</c:v>
                </c:pt>
                <c:pt idx="462">
                  <c:v>-101.61759462506291</c:v>
                </c:pt>
                <c:pt idx="463">
                  <c:v>-102.3434969162623</c:v>
                </c:pt>
                <c:pt idx="464">
                  <c:v>-103.07140362067263</c:v>
                </c:pt>
                <c:pt idx="465">
                  <c:v>-103.80141480948865</c:v>
                </c:pt>
                <c:pt idx="466">
                  <c:v>-104.53361945505</c:v>
                </c:pt>
                <c:pt idx="467">
                  <c:v>-105.2680950621054</c:v>
                </c:pt>
                <c:pt idx="468">
                  <c:v>-106.00490731201195</c:v>
                </c:pt>
                <c:pt idx="469">
                  <c:v>-106.7441097223797</c:v>
                </c:pt>
                <c:pt idx="470">
                  <c:v>-107.48574332481918</c:v>
                </c:pt>
                <c:pt idx="471">
                  <c:v>-108.22983636357301</c:v>
                </c:pt>
                <c:pt idx="472">
                  <c:v>-108.97640401790912</c:v>
                </c:pt>
                <c:pt idx="473">
                  <c:v>-109.72544815124876</c:v>
                </c:pt>
                <c:pt idx="474">
                  <c:v>-110.47695709004361</c:v>
                </c:pt>
                <c:pt idx="475">
                  <c:v>-111.23090543544346</c:v>
                </c:pt>
                <c:pt idx="476">
                  <c:v>-111.98725391078862</c:v>
                </c:pt>
                <c:pt idx="477">
                  <c:v>-112.74594924791164</c:v>
                </c:pt>
                <c:pt idx="478">
                  <c:v>-113.50692411515405</c:v>
                </c:pt>
                <c:pt idx="479">
                  <c:v>-114.2700970898693</c:v>
                </c:pt>
                <c:pt idx="480">
                  <c:v>-115.03537267802498</c:v>
                </c:pt>
                <c:pt idx="481">
                  <c:v>-115.80264138330087</c:v>
                </c:pt>
                <c:pt idx="482">
                  <c:v>-116.57177982782527</c:v>
                </c:pt>
                <c:pt idx="483">
                  <c:v>-117.3426509263922</c:v>
                </c:pt>
                <c:pt idx="484">
                  <c:v>-118.11510411566803</c:v>
                </c:pt>
                <c:pt idx="485">
                  <c:v>-118.88897563950337</c:v>
                </c:pt>
                <c:pt idx="486">
                  <c:v>-119.66408889105821</c:v>
                </c:pt>
                <c:pt idx="487">
                  <c:v>-120.4402548119992</c:v>
                </c:pt>
                <c:pt idx="488">
                  <c:v>-121.21727234852838</c:v>
                </c:pt>
                <c:pt idx="489">
                  <c:v>-121.99492896353064</c:v>
                </c:pt>
                <c:pt idx="490">
                  <c:v>-122.77300120358153</c:v>
                </c:pt>
                <c:pt idx="491">
                  <c:v>-123.55125531904133</c:v>
                </c:pt>
                <c:pt idx="492">
                  <c:v>-124.32944793493171</c:v>
                </c:pt>
                <c:pt idx="493">
                  <c:v>-125.10732676976262</c:v>
                </c:pt>
                <c:pt idx="494">
                  <c:v>-125.88463139897078</c:v>
                </c:pt>
                <c:pt idx="495">
                  <c:v>-126.66109405914939</c:v>
                </c:pt>
                <c:pt idx="496">
                  <c:v>-127.43644048878669</c:v>
                </c:pt>
                <c:pt idx="497">
                  <c:v>-128.21039080082599</c:v>
                </c:pt>
                <c:pt idx="498">
                  <c:v>-128.98266038198804</c:v>
                </c:pt>
                <c:pt idx="499">
                  <c:v>-129.75296081348031</c:v>
                </c:pt>
                <c:pt idx="500">
                  <c:v>-130.52100080747337</c:v>
                </c:pt>
                <c:pt idx="501">
                  <c:v>-131.28648715352685</c:v>
                </c:pt>
                <c:pt idx="502">
                  <c:v>-132.04912566902956</c:v>
                </c:pt>
                <c:pt idx="503">
                  <c:v>-132.80862214767217</c:v>
                </c:pt>
                <c:pt idx="504">
                  <c:v>-133.56468329998478</c:v>
                </c:pt>
                <c:pt idx="505">
                  <c:v>-134.3170176800711</c:v>
                </c:pt>
                <c:pt idx="506">
                  <c:v>-135.06533659282778</c:v>
                </c:pt>
                <c:pt idx="507">
                  <c:v>-135.80935497616673</c:v>
                </c:pt>
                <c:pt idx="508">
                  <c:v>-136.54879225305498</c:v>
                </c:pt>
                <c:pt idx="509">
                  <c:v>-137.28337314851979</c:v>
                </c:pt>
                <c:pt idx="510">
                  <c:v>-138.01282846717814</c:v>
                </c:pt>
                <c:pt idx="511">
                  <c:v>-138.73689582728232</c:v>
                </c:pt>
                <c:pt idx="512">
                  <c:v>-139.45532034774953</c:v>
                </c:pt>
                <c:pt idx="513">
                  <c:v>-140.16785528514885</c:v>
                </c:pt>
                <c:pt idx="514">
                  <c:v>-140.87426261813712</c:v>
                </c:pt>
                <c:pt idx="515">
                  <c:v>-141.57431357737065</c:v>
                </c:pt>
                <c:pt idx="516">
                  <c:v>-142.26778911945104</c:v>
                </c:pt>
                <c:pt idx="517">
                  <c:v>-142.95448034399084</c:v>
                </c:pt>
                <c:pt idx="518">
                  <c:v>-143.63418885340624</c:v>
                </c:pt>
                <c:pt idx="519">
                  <c:v>-144.30672705552738</c:v>
                </c:pt>
                <c:pt idx="520">
                  <c:v>-144.97191840960002</c:v>
                </c:pt>
                <c:pt idx="521">
                  <c:v>-145.62959761668009</c:v>
                </c:pt>
                <c:pt idx="522">
                  <c:v>-146.27961075583053</c:v>
                </c:pt>
                <c:pt idx="523">
                  <c:v>-146.92181536789451</c:v>
                </c:pt>
                <c:pt idx="524">
                  <c:v>-147.55608048894183</c:v>
                </c:pt>
                <c:pt idx="525">
                  <c:v>-148.18228663576485</c:v>
                </c:pt>
                <c:pt idx="526">
                  <c:v>-148.80032574603823</c:v>
                </c:pt>
                <c:pt idx="527">
                  <c:v>-149.41010107595571</c:v>
                </c:pt>
                <c:pt idx="528">
                  <c:v>-150.01152705829747</c:v>
                </c:pt>
                <c:pt idx="529">
                  <c:v>-150.60452912400967</c:v>
                </c:pt>
                <c:pt idx="530">
                  <c:v>-151.18904349042438</c:v>
                </c:pt>
                <c:pt idx="531">
                  <c:v>-151.76501691931153</c:v>
                </c:pt>
                <c:pt idx="532">
                  <c:v>-152.33240644792809</c:v>
                </c:pt>
                <c:pt idx="533">
                  <c:v>-152.89117909621788</c:v>
                </c:pt>
                <c:pt idx="534">
                  <c:v>-153.44131155324578</c:v>
                </c:pt>
                <c:pt idx="535">
                  <c:v>-153.9827898458756</c:v>
                </c:pt>
                <c:pt idx="536">
                  <c:v>-154.51560899258408</c:v>
                </c:pt>
                <c:pt idx="537">
                  <c:v>-155.03977264520051</c:v>
                </c:pt>
                <c:pt idx="538">
                  <c:v>-155.5552927212041</c:v>
                </c:pt>
                <c:pt idx="539">
                  <c:v>-156.06218902907409</c:v>
                </c:pt>
                <c:pt idx="540">
                  <c:v>-156.56048888903322</c:v>
                </c:pt>
                <c:pt idx="541">
                  <c:v>-157.05022675135112</c:v>
                </c:pt>
              </c:numCache>
            </c:numRef>
          </c:yVal>
          <c:smooth val="1"/>
          <c:extLst>
            <c:ext xmlns:c16="http://schemas.microsoft.com/office/drawing/2014/chart" uri="{C3380CC4-5D6E-409C-BE32-E72D297353CC}">
              <c16:uniqueId val="{00000001-8173-45EB-83AD-B179A66292B6}"/>
            </c:ext>
          </c:extLst>
        </c:ser>
        <c:dLbls>
          <c:showLegendKey val="0"/>
          <c:showVal val="0"/>
          <c:showCatName val="0"/>
          <c:showSerName val="0"/>
          <c:showPercent val="0"/>
          <c:showBubbleSize val="0"/>
        </c:dLbls>
        <c:axId val="555537920"/>
        <c:axId val="555536384"/>
      </c:scatterChart>
      <c:valAx>
        <c:axId val="555528192"/>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555530112"/>
        <c:crosses val="autoZero"/>
        <c:crossBetween val="midCat"/>
      </c:valAx>
      <c:valAx>
        <c:axId val="555530112"/>
        <c:scaling>
          <c:orientation val="minMax"/>
          <c:max val="40"/>
          <c:min val="-4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a:solidFill>
                  <a:srgbClr val="FF0000"/>
                </a:solidFill>
              </a:defRPr>
            </a:pPr>
            <a:endParaRPr lang="en-US"/>
          </a:p>
        </c:txPr>
        <c:crossAx val="555528192"/>
        <c:crosses val="autoZero"/>
        <c:crossBetween val="midCat"/>
        <c:majorUnit val="20"/>
        <c:minorUnit val="10"/>
      </c:valAx>
      <c:valAx>
        <c:axId val="555536384"/>
        <c:scaling>
          <c:orientation val="minMax"/>
          <c:max val="180"/>
          <c:min val="-180"/>
        </c:scaling>
        <c:delete val="0"/>
        <c:axPos val="r"/>
        <c:numFmt formatCode="General" sourceLinked="1"/>
        <c:majorTickMark val="out"/>
        <c:minorTickMark val="none"/>
        <c:tickLblPos val="nextTo"/>
        <c:txPr>
          <a:bodyPr/>
          <a:lstStyle/>
          <a:p>
            <a:pPr>
              <a:defRPr>
                <a:solidFill>
                  <a:schemeClr val="tx1">
                    <a:lumMod val="95000"/>
                    <a:lumOff val="5000"/>
                  </a:schemeClr>
                </a:solidFill>
              </a:defRPr>
            </a:pPr>
            <a:endParaRPr lang="en-US"/>
          </a:p>
        </c:txPr>
        <c:crossAx val="555537920"/>
        <c:crosses val="max"/>
        <c:crossBetween val="midCat"/>
        <c:majorUnit val="90"/>
        <c:minorUnit val="45"/>
      </c:valAx>
      <c:valAx>
        <c:axId val="555537920"/>
        <c:scaling>
          <c:logBase val="10"/>
          <c:orientation val="minMax"/>
        </c:scaling>
        <c:delete val="1"/>
        <c:axPos val="b"/>
        <c:numFmt formatCode="0.00" sourceLinked="1"/>
        <c:majorTickMark val="out"/>
        <c:minorTickMark val="none"/>
        <c:tickLblPos val="nextTo"/>
        <c:crossAx val="555536384"/>
        <c:crosses val="autoZero"/>
        <c:crossBetween val="midCat"/>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Eff_vs_IOUT!$AW$7:$AW$157</c:f>
              <c:numCache>
                <c:formatCode>General</c:formatCode>
                <c:ptCount val="151"/>
                <c:pt idx="0">
                  <c:v>0</c:v>
                </c:pt>
                <c:pt idx="1">
                  <c:v>62.104873237283996</c:v>
                </c:pt>
                <c:pt idx="2">
                  <c:v>73.846034483469126</c:v>
                </c:pt>
                <c:pt idx="3">
                  <c:v>78.451995931071281</c:v>
                </c:pt>
                <c:pt idx="4">
                  <c:v>80.691527498938953</c:v>
                </c:pt>
                <c:pt idx="5">
                  <c:v>81.862482261035197</c:v>
                </c:pt>
                <c:pt idx="6">
                  <c:v>82.463381103358842</c:v>
                </c:pt>
                <c:pt idx="7">
                  <c:v>82.726590305513469</c:v>
                </c:pt>
                <c:pt idx="8">
                  <c:v>82.774961277951775</c:v>
                </c:pt>
                <c:pt idx="9">
                  <c:v>82.679498129763587</c:v>
                </c:pt>
                <c:pt idx="10">
                  <c:v>82.484059636822394</c:v>
                </c:pt>
                <c:pt idx="11">
                  <c:v>82.217168608537179</c:v>
                </c:pt>
                <c:pt idx="12">
                  <c:v>81.898150824935314</c:v>
                </c:pt>
                <c:pt idx="13">
                  <c:v>81.540544643059349</c:v>
                </c:pt>
                <c:pt idx="14">
                  <c:v>81.154099248831287</c:v>
                </c:pt>
                <c:pt idx="15">
                  <c:v>80.745999109126657</c:v>
                </c:pt>
                <c:pt idx="16">
                  <c:v>80.321642986239752</c:v>
                </c:pt>
                <c:pt idx="17">
                  <c:v>79.885155734005082</c:v>
                </c:pt>
                <c:pt idx="18">
                  <c:v>79.439734010210927</c:v>
                </c:pt>
                <c:pt idx="19">
                  <c:v>78.987885540137171</c:v>
                </c:pt>
                <c:pt idx="20">
                  <c:v>78.531598289231766</c:v>
                </c:pt>
                <c:pt idx="21">
                  <c:v>78.072462371728037</c:v>
                </c:pt>
                <c:pt idx="22">
                  <c:v>77.61175940424549</c:v>
                </c:pt>
                <c:pt idx="23">
                  <c:v>77.150529005123786</c:v>
                </c:pt>
                <c:pt idx="24">
                  <c:v>76.689618972032804</c:v>
                </c:pt>
                <c:pt idx="25">
                  <c:v>76.229723620567398</c:v>
                </c:pt>
                <c:pt idx="26">
                  <c:v>75.771413412981261</c:v>
                </c:pt>
                <c:pt idx="27">
                  <c:v>75.315158095709705</c:v>
                </c:pt>
                <c:pt idx="28">
                  <c:v>74.861344941400716</c:v>
                </c:pt>
                <c:pt idx="29">
                  <c:v>74.410293258316713</c:v>
                </c:pt>
                <c:pt idx="30">
                  <c:v>73.962266024863084</c:v>
                </c:pt>
                <c:pt idx="31">
                  <c:v>73.517479289079731</c:v>
                </c:pt>
                <c:pt idx="32">
                  <c:v>73.076109815368909</c:v>
                </c:pt>
                <c:pt idx="33">
                  <c:v>72.638301345508467</c:v>
                </c:pt>
                <c:pt idx="34">
                  <c:v>72.204169755839004</c:v>
                </c:pt>
                <c:pt idx="35">
                  <c:v>71.773807328947711</c:v>
                </c:pt>
                <c:pt idx="36">
                  <c:v>71.347286310283366</c:v>
                </c:pt>
                <c:pt idx="37">
                  <c:v>70.924661883744179</c:v>
                </c:pt>
                <c:pt idx="38">
                  <c:v>70.505974672398665</c:v>
                </c:pt>
                <c:pt idx="39">
                  <c:v>70.091252848971237</c:v>
                </c:pt>
                <c:pt idx="40">
                  <c:v>69.680513923983085</c:v>
                </c:pt>
                <c:pt idx="41">
                  <c:v>69.273766266329559</c:v>
                </c:pt>
                <c:pt idx="42">
                  <c:v>68.871010400742563</c:v>
                </c:pt>
                <c:pt idx="43">
                  <c:v>68.472240118394581</c:v>
                </c:pt>
                <c:pt idx="44">
                  <c:v>68.077443430364823</c:v>
                </c:pt>
                <c:pt idx="45">
                  <c:v>67.686603388447423</c:v>
                </c:pt>
                <c:pt idx="46">
                  <c:v>67.299698793555251</c:v>
                </c:pt>
                <c:pt idx="47">
                  <c:v>66.916704808548388</c:v>
                </c:pt>
                <c:pt idx="48">
                  <c:v>66.53759348952849</c:v>
                </c:pt>
                <c:pt idx="49">
                  <c:v>66.162334247358785</c:v>
                </c:pt>
                <c:pt idx="50">
                  <c:v>65.790894249296613</c:v>
                </c:pt>
                <c:pt idx="51">
                  <c:v>65.423238769079489</c:v>
                </c:pt>
                <c:pt idx="52">
                  <c:v>65.059331492525402</c:v>
                </c:pt>
                <c:pt idx="53">
                  <c:v>64.699134784644016</c:v>
                </c:pt>
                <c:pt idx="54">
                  <c:v>64.342609923367178</c:v>
                </c:pt>
                <c:pt idx="55">
                  <c:v>63.989717304263358</c:v>
                </c:pt>
                <c:pt idx="56">
                  <c:v>63.640416619976023</c:v>
                </c:pt>
                <c:pt idx="57">
                  <c:v>63.294667017598904</c:v>
                </c:pt>
                <c:pt idx="58">
                  <c:v>62.952427236756094</c:v>
                </c:pt>
                <c:pt idx="59">
                  <c:v>62.613655730776898</c:v>
                </c:pt>
                <c:pt idx="60">
                  <c:v>62.278310773034342</c:v>
                </c:pt>
                <c:pt idx="61">
                  <c:v>61.946350550242165</c:v>
                </c:pt>
                <c:pt idx="62">
                  <c:v>61.617733244270866</c:v>
                </c:pt>
                <c:pt idx="63">
                  <c:v>61.292417103842311</c:v>
                </c:pt>
                <c:pt idx="64">
                  <c:v>60.970360507290323</c:v>
                </c:pt>
                <c:pt idx="65">
                  <c:v>60.651522017425187</c:v>
                </c:pt>
                <c:pt idx="66">
                  <c:v>60.335860429412179</c:v>
                </c:pt>
                <c:pt idx="67">
                  <c:v>60.023334812463055</c:v>
                </c:pt>
                <c:pt idx="68">
                  <c:v>59.713904546042386</c:v>
                </c:pt>
                <c:pt idx="69">
                  <c:v>59.40752935120819</c:v>
                </c:pt>
                <c:pt idx="70">
                  <c:v>59.104169317631637</c:v>
                </c:pt>
                <c:pt idx="71">
                  <c:v>58.803784926779009</c:v>
                </c:pt>
                <c:pt idx="72">
                  <c:v>58.506337071681273</c:v>
                </c:pt>
                <c:pt idx="73">
                  <c:v>58.211787073670173</c:v>
                </c:pt>
                <c:pt idx="74">
                  <c:v>57.920096696415136</c:v>
                </c:pt>
                <c:pt idx="75">
                  <c:v>57.631228157559008</c:v>
                </c:pt>
                <c:pt idx="76">
                  <c:v>57.345144138217272</c:v>
                </c:pt>
                <c:pt idx="77">
                  <c:v>57.061807790575735</c:v>
                </c:pt>
                <c:pt idx="78">
                  <c:v>56.781182743797252</c:v>
                </c:pt>
                <c:pt idx="79">
                  <c:v>56.503233108423942</c:v>
                </c:pt>
                <c:pt idx="80">
                  <c:v>56.227923479442296</c:v>
                </c:pt>
                <c:pt idx="81">
                  <c:v>55.955218938160286</c:v>
                </c:pt>
                <c:pt idx="82">
                  <c:v>55.685085053029894</c:v>
                </c:pt>
                <c:pt idx="83">
                  <c:v>55.417487879534512</c:v>
                </c:pt>
                <c:pt idx="84">
                  <c:v>55.152393959247945</c:v>
                </c:pt>
                <c:pt idx="85">
                  <c:v>54.889770318161048</c:v>
                </c:pt>
                <c:pt idx="86">
                  <c:v>54.629584464361393</c:v>
                </c:pt>
                <c:pt idx="87">
                  <c:v>54.371804385143619</c:v>
                </c:pt>
                <c:pt idx="88">
                  <c:v>54.116398543618907</c:v>
                </c:pt>
                <c:pt idx="89">
                  <c:v>53.863335874885777</c:v>
                </c:pt>
                <c:pt idx="90">
                  <c:v>53.612585781818268</c:v>
                </c:pt>
                <c:pt idx="91">
                  <c:v>53.364118130520843</c:v>
                </c:pt>
                <c:pt idx="92">
                  <c:v>53.117903245495434</c:v>
                </c:pt>
                <c:pt idx="93">
                  <c:v>52.873911904560757</c:v>
                </c:pt>
                <c:pt idx="94">
                  <c:v>52.632115333560016</c:v>
                </c:pt>
                <c:pt idx="95">
                  <c:v>52.392485200890015</c:v>
                </c:pt>
                <c:pt idx="96">
                  <c:v>52.154993611880208</c:v>
                </c:pt>
                <c:pt idx="97">
                  <c:v>51.919613103048476</c:v>
                </c:pt>
                <c:pt idx="98">
                  <c:v>51.686316636257082</c:v>
                </c:pt>
                <c:pt idx="99">
                  <c:v>51.455077592789763</c:v>
                </c:pt>
                <c:pt idx="100">
                  <c:v>51.225869767368962</c:v>
                </c:pt>
                <c:pt idx="101">
                  <c:v>50.99866736213032</c:v>
                </c:pt>
                <c:pt idx="102">
                  <c:v>50.773444980569529</c:v>
                </c:pt>
                <c:pt idx="103">
                  <c:v>50.550177621475001</c:v>
                </c:pt>
                <c:pt idx="104">
                  <c:v>50.328840672858789</c:v>
                </c:pt>
                <c:pt idx="105">
                  <c:v>50.109409905896243</c:v>
                </c:pt>
                <c:pt idx="106">
                  <c:v>49.891861468884294</c:v>
                </c:pt>
                <c:pt idx="107">
                  <c:v>49.676171881226942</c:v>
                </c:pt>
                <c:pt idx="108">
                  <c:v>49.46231802745524</c:v>
                </c:pt>
                <c:pt idx="109">
                  <c:v>49.250277151288977</c:v>
                </c:pt>
                <c:pt idx="110">
                  <c:v>49.04002684974553</c:v>
                </c:pt>
                <c:pt idx="111">
                  <c:v>48.831545067301398</c:v>
                </c:pt>
                <c:pt idx="112">
                  <c:v>48.624810090110891</c:v>
                </c:pt>
                <c:pt idx="113">
                  <c:v>48.419800540285976</c:v>
                </c:pt>
                <c:pt idx="114">
                  <c:v>48.216495370240573</c:v>
                </c:pt>
                <c:pt idx="115">
                  <c:v>48.014873857102685</c:v>
                </c:pt>
                <c:pt idx="116">
                  <c:v>47.814915597196283</c:v>
                </c:pt>
                <c:pt idx="117">
                  <c:v>47.61660050059573</c:v>
                </c:pt>
                <c:pt idx="118">
                  <c:v>47.419908785754004</c:v>
                </c:pt>
                <c:pt idx="119">
                  <c:v>47.224820974206651</c:v>
                </c:pt>
                <c:pt idx="120">
                  <c:v>47.031317885352223</c:v>
                </c:pt>
                <c:pt idx="121">
                  <c:v>46.839380631310448</c:v>
                </c:pt>
                <c:pt idx="122">
                  <c:v>46.648990611858693</c:v>
                </c:pt>
                <c:pt idx="123">
                  <c:v>46.460129509447157</c:v>
                </c:pt>
                <c:pt idx="124">
                  <c:v>46.272779284293222</c:v>
                </c:pt>
                <c:pt idx="125">
                  <c:v>46.086922169554882</c:v>
                </c:pt>
                <c:pt idx="126">
                  <c:v>45.902540666583512</c:v>
                </c:pt>
                <c:pt idx="127">
                  <c:v>45.719617540255406</c:v>
                </c:pt>
                <c:pt idx="128">
                  <c:v>45.538135814382201</c:v>
                </c:pt>
                <c:pt idx="129">
                  <c:v>45.358078767199522</c:v>
                </c:pt>
                <c:pt idx="130">
                  <c:v>45.179429926933409</c:v>
                </c:pt>
                <c:pt idx="131">
                  <c:v>45.002173067444062</c:v>
                </c:pt>
                <c:pt idx="132">
                  <c:v>44.826292203946025</c:v>
                </c:pt>
                <c:pt idx="133">
                  <c:v>44.651771588804294</c:v>
                </c:pt>
                <c:pt idx="134">
                  <c:v>44.478595707405447</c:v>
                </c:pt>
                <c:pt idx="135">
                  <c:v>44.306749274102962</c:v>
                </c:pt>
                <c:pt idx="136">
                  <c:v>44.136217228235978</c:v>
                </c:pt>
                <c:pt idx="137">
                  <c:v>43.966984730220283</c:v>
                </c:pt>
                <c:pt idx="138">
                  <c:v>43.799037157710941</c:v>
                </c:pt>
                <c:pt idx="139">
                  <c:v>43.632360101835317</c:v>
                </c:pt>
                <c:pt idx="140">
                  <c:v>43.466939363495626</c:v>
                </c:pt>
                <c:pt idx="141">
                  <c:v>43.302760949739863</c:v>
                </c:pt>
                <c:pt idx="142">
                  <c:v>43.139811070200217</c:v>
                </c:pt>
                <c:pt idx="143">
                  <c:v>42.978076133597902</c:v>
                </c:pt>
                <c:pt idx="144">
                  <c:v>42.81754274431313</c:v>
                </c:pt>
                <c:pt idx="145">
                  <c:v>42.658197699019567</c:v>
                </c:pt>
                <c:pt idx="146">
                  <c:v>42.500027983381734</c:v>
                </c:pt>
                <c:pt idx="147">
                  <c:v>42.343020768814746</c:v>
                </c:pt>
                <c:pt idx="148">
                  <c:v>42.187163409304887</c:v>
                </c:pt>
                <c:pt idx="149">
                  <c:v>42.032443438290308</c:v>
                </c:pt>
                <c:pt idx="150">
                  <c:v>41.87884856560057</c:v>
                </c:pt>
              </c:numCache>
            </c:numRef>
          </c:yVal>
          <c:smooth val="0"/>
          <c:extLst>
            <c:ext xmlns:c16="http://schemas.microsoft.com/office/drawing/2014/chart" uri="{C3380CC4-5D6E-409C-BE32-E72D297353CC}">
              <c16:uniqueId val="{00000000-50A0-4BAE-A18F-D1A285C4A90E}"/>
            </c:ext>
          </c:extLst>
        </c:ser>
        <c:dLbls>
          <c:showLegendKey val="0"/>
          <c:showVal val="0"/>
          <c:showCatName val="0"/>
          <c:showSerName val="0"/>
          <c:showPercent val="0"/>
          <c:showBubbleSize val="0"/>
        </c:dLbls>
        <c:axId val="555642880"/>
        <c:axId val="555644416"/>
      </c:scatterChart>
      <c:scatterChart>
        <c:scatterStyle val="smoothMarker"/>
        <c:varyColors val="0"/>
        <c:ser>
          <c:idx val="1"/>
          <c:order val="1"/>
          <c:tx>
            <c:v>MOSFET</c:v>
          </c:tx>
          <c:spPr>
            <a:ln>
              <a:solidFill>
                <a:schemeClr val="tx2">
                  <a:lumMod val="75000"/>
                </a:schemeClr>
              </a:solidFill>
              <a:prstDash val="dashDot"/>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Eff_vs_IOUT!$AI$7:$AI$157</c:f>
              <c:numCache>
                <c:formatCode>General</c:formatCode>
                <c:ptCount val="151"/>
                <c:pt idx="0">
                  <c:v>0</c:v>
                </c:pt>
                <c:pt idx="1">
                  <c:v>0.11428413288330619</c:v>
                </c:pt>
                <c:pt idx="2">
                  <c:v>0.24485529812198431</c:v>
                </c:pt>
                <c:pt idx="3">
                  <c:v>0.39291046336066238</c:v>
                </c:pt>
                <c:pt idx="4">
                  <c:v>0.55844962859934055</c:v>
                </c:pt>
                <c:pt idx="5">
                  <c:v>0.74147279383801856</c:v>
                </c:pt>
                <c:pt idx="6">
                  <c:v>0.94197995907669663</c:v>
                </c:pt>
                <c:pt idx="7">
                  <c:v>1.1599711243153745</c:v>
                </c:pt>
                <c:pt idx="8">
                  <c:v>1.3954462895540529</c:v>
                </c:pt>
                <c:pt idx="9">
                  <c:v>1.6484054547927312</c:v>
                </c:pt>
                <c:pt idx="10">
                  <c:v>1.9188486200314092</c:v>
                </c:pt>
                <c:pt idx="11">
                  <c:v>2.2067757852700862</c:v>
                </c:pt>
                <c:pt idx="12">
                  <c:v>2.5121869505087653</c:v>
                </c:pt>
                <c:pt idx="13">
                  <c:v>2.8350821157474435</c:v>
                </c:pt>
                <c:pt idx="14">
                  <c:v>3.1754612809861218</c:v>
                </c:pt>
                <c:pt idx="15">
                  <c:v>3.5333244462247979</c:v>
                </c:pt>
                <c:pt idx="16">
                  <c:v>3.9086716114634776</c:v>
                </c:pt>
                <c:pt idx="17">
                  <c:v>4.3015027767021561</c:v>
                </c:pt>
                <c:pt idx="18">
                  <c:v>4.7118179419408346</c:v>
                </c:pt>
                <c:pt idx="19">
                  <c:v>5.1396171071795109</c:v>
                </c:pt>
                <c:pt idx="20">
                  <c:v>5.5849002724181904</c:v>
                </c:pt>
                <c:pt idx="21">
                  <c:v>6.0476674376568678</c:v>
                </c:pt>
                <c:pt idx="22">
                  <c:v>6.5279186028955429</c:v>
                </c:pt>
                <c:pt idx="23">
                  <c:v>7.0256537681342239</c:v>
                </c:pt>
                <c:pt idx="24">
                  <c:v>7.540872933372901</c:v>
                </c:pt>
                <c:pt idx="25">
                  <c:v>8.0735760986115803</c:v>
                </c:pt>
                <c:pt idx="26">
                  <c:v>8.6237632638502593</c:v>
                </c:pt>
                <c:pt idx="27">
                  <c:v>9.191434429088936</c:v>
                </c:pt>
                <c:pt idx="28">
                  <c:v>9.7765895943276142</c:v>
                </c:pt>
                <c:pt idx="29">
                  <c:v>10.379228759566294</c:v>
                </c:pt>
                <c:pt idx="30">
                  <c:v>10.999351924804969</c:v>
                </c:pt>
                <c:pt idx="31">
                  <c:v>11.636959090043648</c:v>
                </c:pt>
                <c:pt idx="32">
                  <c:v>12.29205025528233</c:v>
                </c:pt>
                <c:pt idx="33">
                  <c:v>12.964625420521006</c:v>
                </c:pt>
                <c:pt idx="34">
                  <c:v>13.654684585759684</c:v>
                </c:pt>
                <c:pt idx="35">
                  <c:v>14.362227750998363</c:v>
                </c:pt>
                <c:pt idx="36">
                  <c:v>15.087254916237042</c:v>
                </c:pt>
                <c:pt idx="37">
                  <c:v>15.829766081475711</c:v>
                </c:pt>
                <c:pt idx="38">
                  <c:v>16.589761246714389</c:v>
                </c:pt>
                <c:pt idx="39">
                  <c:v>17.36724041195308</c:v>
                </c:pt>
                <c:pt idx="40">
                  <c:v>18.162203577191754</c:v>
                </c:pt>
                <c:pt idx="41">
                  <c:v>18.97465074243043</c:v>
                </c:pt>
                <c:pt idx="42">
                  <c:v>19.804581907669107</c:v>
                </c:pt>
                <c:pt idx="43">
                  <c:v>20.65199707290779</c:v>
                </c:pt>
                <c:pt idx="44">
                  <c:v>21.516896238146458</c:v>
                </c:pt>
                <c:pt idx="45">
                  <c:v>22.399279403385144</c:v>
                </c:pt>
                <c:pt idx="46">
                  <c:v>23.299146568623819</c:v>
                </c:pt>
                <c:pt idx="47">
                  <c:v>24.2164977338625</c:v>
                </c:pt>
                <c:pt idx="48">
                  <c:v>25.151332899101178</c:v>
                </c:pt>
                <c:pt idx="49">
                  <c:v>26.103652064339858</c:v>
                </c:pt>
                <c:pt idx="50">
                  <c:v>27.073455229578528</c:v>
                </c:pt>
                <c:pt idx="51">
                  <c:v>28.060742394817215</c:v>
                </c:pt>
                <c:pt idx="52">
                  <c:v>29.065513560055891</c:v>
                </c:pt>
                <c:pt idx="53">
                  <c:v>30.08776872529457</c:v>
                </c:pt>
                <c:pt idx="54">
                  <c:v>31.127507890533245</c:v>
                </c:pt>
                <c:pt idx="55">
                  <c:v>32.18473105577192</c:v>
                </c:pt>
                <c:pt idx="56">
                  <c:v>33.259438221010612</c:v>
                </c:pt>
                <c:pt idx="57">
                  <c:v>34.351629386249279</c:v>
                </c:pt>
                <c:pt idx="58">
                  <c:v>35.461304551487963</c:v>
                </c:pt>
                <c:pt idx="59">
                  <c:v>36.588463716726636</c:v>
                </c:pt>
                <c:pt idx="60">
                  <c:v>37.733106881965305</c:v>
                </c:pt>
                <c:pt idx="61">
                  <c:v>38.895234047203985</c:v>
                </c:pt>
                <c:pt idx="62">
                  <c:v>40.074845212442668</c:v>
                </c:pt>
                <c:pt idx="63">
                  <c:v>41.271940377681354</c:v>
                </c:pt>
                <c:pt idx="64">
                  <c:v>42.486519542920036</c:v>
                </c:pt>
                <c:pt idx="65">
                  <c:v>43.718582708158699</c:v>
                </c:pt>
                <c:pt idx="66">
                  <c:v>44.968129873397388</c:v>
                </c:pt>
                <c:pt idx="67">
                  <c:v>46.235161038636029</c:v>
                </c:pt>
                <c:pt idx="68">
                  <c:v>47.519676203874752</c:v>
                </c:pt>
                <c:pt idx="69">
                  <c:v>48.821675369113393</c:v>
                </c:pt>
                <c:pt idx="70">
                  <c:v>50.141158534352094</c:v>
                </c:pt>
                <c:pt idx="71">
                  <c:v>51.478125699590777</c:v>
                </c:pt>
                <c:pt idx="72">
                  <c:v>52.832576864829456</c:v>
                </c:pt>
                <c:pt idx="73">
                  <c:v>54.204512030068138</c:v>
                </c:pt>
                <c:pt idx="74">
                  <c:v>55.593931195306801</c:v>
                </c:pt>
                <c:pt idx="75">
                  <c:v>57.000834360545497</c:v>
                </c:pt>
                <c:pt idx="76">
                  <c:v>58.425221525784139</c:v>
                </c:pt>
                <c:pt idx="77">
                  <c:v>59.867092691022847</c:v>
                </c:pt>
                <c:pt idx="78">
                  <c:v>61.326447856261517</c:v>
                </c:pt>
                <c:pt idx="79">
                  <c:v>62.803287021500211</c:v>
                </c:pt>
                <c:pt idx="80">
                  <c:v>64.297610186738879</c:v>
                </c:pt>
                <c:pt idx="81">
                  <c:v>65.809417351977515</c:v>
                </c:pt>
                <c:pt idx="82">
                  <c:v>67.338708517216233</c:v>
                </c:pt>
                <c:pt idx="83">
                  <c:v>68.885483682454904</c:v>
                </c:pt>
                <c:pt idx="84">
                  <c:v>70.449742847693599</c:v>
                </c:pt>
                <c:pt idx="85">
                  <c:v>72.031486012932234</c:v>
                </c:pt>
                <c:pt idx="86">
                  <c:v>73.63071317817095</c:v>
                </c:pt>
                <c:pt idx="87">
                  <c:v>75.247424343409648</c:v>
                </c:pt>
                <c:pt idx="88">
                  <c:v>76.881619508648285</c:v>
                </c:pt>
                <c:pt idx="89">
                  <c:v>78.533298673886975</c:v>
                </c:pt>
                <c:pt idx="90">
                  <c:v>80.202461839125647</c:v>
                </c:pt>
                <c:pt idx="91">
                  <c:v>81.889109004364329</c:v>
                </c:pt>
                <c:pt idx="92">
                  <c:v>83.593240169603007</c:v>
                </c:pt>
                <c:pt idx="93">
                  <c:v>85.314855334841681</c:v>
                </c:pt>
                <c:pt idx="94">
                  <c:v>87.053954500080366</c:v>
                </c:pt>
                <c:pt idx="95">
                  <c:v>88.810537665319046</c:v>
                </c:pt>
                <c:pt idx="96">
                  <c:v>90.584604830557709</c:v>
                </c:pt>
                <c:pt idx="97">
                  <c:v>92.376155995796381</c:v>
                </c:pt>
                <c:pt idx="98">
                  <c:v>94.185191161035107</c:v>
                </c:pt>
                <c:pt idx="99">
                  <c:v>96.011710326273757</c:v>
                </c:pt>
                <c:pt idx="100">
                  <c:v>97.855713491512418</c:v>
                </c:pt>
                <c:pt idx="101">
                  <c:v>99.717200656751089</c:v>
                </c:pt>
                <c:pt idx="102">
                  <c:v>101.59617182198977</c:v>
                </c:pt>
                <c:pt idx="103">
                  <c:v>103.4926269872285</c:v>
                </c:pt>
                <c:pt idx="104">
                  <c:v>105.40656615246715</c:v>
                </c:pt>
                <c:pt idx="105">
                  <c:v>107.33798931770585</c:v>
                </c:pt>
                <c:pt idx="106">
                  <c:v>109.28689648294451</c:v>
                </c:pt>
                <c:pt idx="107">
                  <c:v>111.25328764818319</c:v>
                </c:pt>
                <c:pt idx="108">
                  <c:v>113.23716281342188</c:v>
                </c:pt>
                <c:pt idx="109">
                  <c:v>115.23852197866054</c:v>
                </c:pt>
                <c:pt idx="110">
                  <c:v>117.25736514389918</c:v>
                </c:pt>
                <c:pt idx="111">
                  <c:v>119.29369230913787</c:v>
                </c:pt>
                <c:pt idx="112">
                  <c:v>121.34750347437657</c:v>
                </c:pt>
                <c:pt idx="113">
                  <c:v>123.4187986396152</c:v>
                </c:pt>
                <c:pt idx="114">
                  <c:v>125.50757780485391</c:v>
                </c:pt>
                <c:pt idx="115">
                  <c:v>127.61384097009261</c:v>
                </c:pt>
                <c:pt idx="116">
                  <c:v>129.73758813533132</c:v>
                </c:pt>
                <c:pt idx="117">
                  <c:v>131.87881930056997</c:v>
                </c:pt>
                <c:pt idx="118">
                  <c:v>134.03753446580865</c:v>
                </c:pt>
                <c:pt idx="119">
                  <c:v>136.21373363104729</c:v>
                </c:pt>
                <c:pt idx="120">
                  <c:v>138.40741679628593</c:v>
                </c:pt>
                <c:pt idx="121">
                  <c:v>140.61858396152468</c:v>
                </c:pt>
                <c:pt idx="122">
                  <c:v>142.84723512676334</c:v>
                </c:pt>
                <c:pt idx="123">
                  <c:v>145.09337029200205</c:v>
                </c:pt>
                <c:pt idx="124">
                  <c:v>147.3569894572407</c:v>
                </c:pt>
                <c:pt idx="125">
                  <c:v>149.63809262247943</c:v>
                </c:pt>
                <c:pt idx="126">
                  <c:v>151.93667978771808</c:v>
                </c:pt>
                <c:pt idx="127">
                  <c:v>154.25275095295675</c:v>
                </c:pt>
                <c:pt idx="128">
                  <c:v>156.58630611819547</c:v>
                </c:pt>
                <c:pt idx="129">
                  <c:v>158.93734528343407</c:v>
                </c:pt>
                <c:pt idx="130">
                  <c:v>161.30586844867278</c:v>
                </c:pt>
                <c:pt idx="131">
                  <c:v>163.69187561391146</c:v>
                </c:pt>
                <c:pt idx="132">
                  <c:v>166.09536677915017</c:v>
                </c:pt>
                <c:pt idx="133">
                  <c:v>168.51634194438881</c:v>
                </c:pt>
                <c:pt idx="134">
                  <c:v>170.95480110962745</c:v>
                </c:pt>
                <c:pt idx="135">
                  <c:v>173.41074427486623</c:v>
                </c:pt>
                <c:pt idx="136">
                  <c:v>175.88417144010486</c:v>
                </c:pt>
                <c:pt idx="137">
                  <c:v>178.37508260534349</c:v>
                </c:pt>
                <c:pt idx="138">
                  <c:v>180.8834777705822</c:v>
                </c:pt>
                <c:pt idx="139">
                  <c:v>183.40935693582094</c:v>
                </c:pt>
                <c:pt idx="140">
                  <c:v>185.95272010105958</c:v>
                </c:pt>
                <c:pt idx="141">
                  <c:v>188.51356726629817</c:v>
                </c:pt>
                <c:pt idx="142">
                  <c:v>191.091898431537</c:v>
                </c:pt>
                <c:pt idx="143">
                  <c:v>193.68771359677558</c:v>
                </c:pt>
                <c:pt idx="144">
                  <c:v>196.30101276201432</c:v>
                </c:pt>
                <c:pt idx="145">
                  <c:v>198.93179592725298</c:v>
                </c:pt>
                <c:pt idx="146">
                  <c:v>201.58006309249168</c:v>
                </c:pt>
                <c:pt idx="147">
                  <c:v>204.24581425773033</c:v>
                </c:pt>
                <c:pt idx="148">
                  <c:v>206.92904942296894</c:v>
                </c:pt>
                <c:pt idx="149">
                  <c:v>209.62976858820767</c:v>
                </c:pt>
                <c:pt idx="150">
                  <c:v>212.34797175344639</c:v>
                </c:pt>
              </c:numCache>
            </c:numRef>
          </c:yVal>
          <c:smooth val="1"/>
          <c:extLst>
            <c:ext xmlns:c16="http://schemas.microsoft.com/office/drawing/2014/chart" uri="{C3380CC4-5D6E-409C-BE32-E72D297353CC}">
              <c16:uniqueId val="{00000001-50A0-4BAE-A18F-D1A285C4A90E}"/>
            </c:ext>
          </c:extLst>
        </c:ser>
        <c:ser>
          <c:idx val="2"/>
          <c:order val="2"/>
          <c:tx>
            <c:v>Diode</c:v>
          </c:tx>
          <c:spPr>
            <a:ln>
              <a:solidFill>
                <a:schemeClr val="bg2">
                  <a:lumMod val="50000"/>
                </a:schemeClr>
              </a:solidFill>
              <a:prstDash val="sysDash"/>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Eff_vs_IOUT!$AO$7:$AO$157</c:f>
              <c:numCache>
                <c:formatCode>General</c:formatCode>
                <c:ptCount val="151"/>
                <c:pt idx="0">
                  <c:v>0</c:v>
                </c:pt>
                <c:pt idx="1">
                  <c:v>0.74354207363636371</c:v>
                </c:pt>
                <c:pt idx="2">
                  <c:v>0.74745807363636363</c:v>
                </c:pt>
                <c:pt idx="3">
                  <c:v>0.7516380736363637</c:v>
                </c:pt>
                <c:pt idx="4">
                  <c:v>0.75608207363636371</c:v>
                </c:pt>
                <c:pt idx="5">
                  <c:v>0.76079007363636364</c:v>
                </c:pt>
                <c:pt idx="6">
                  <c:v>0.76576207363636362</c:v>
                </c:pt>
                <c:pt idx="7">
                  <c:v>0.77099807363636375</c:v>
                </c:pt>
                <c:pt idx="8">
                  <c:v>0.77649807363636369</c:v>
                </c:pt>
                <c:pt idx="9">
                  <c:v>0.78226207363636369</c:v>
                </c:pt>
                <c:pt idx="10">
                  <c:v>0.78829007363636372</c:v>
                </c:pt>
                <c:pt idx="11">
                  <c:v>0.79458207363636368</c:v>
                </c:pt>
                <c:pt idx="12">
                  <c:v>0.80113807363636369</c:v>
                </c:pt>
                <c:pt idx="13">
                  <c:v>0.80795807363636363</c:v>
                </c:pt>
                <c:pt idx="14">
                  <c:v>0.81504207363636372</c:v>
                </c:pt>
                <c:pt idx="15">
                  <c:v>0.82239007363636374</c:v>
                </c:pt>
                <c:pt idx="16">
                  <c:v>0.83000207363636369</c:v>
                </c:pt>
                <c:pt idx="17">
                  <c:v>0.8378780736363638</c:v>
                </c:pt>
                <c:pt idx="18">
                  <c:v>0.84601807363636372</c:v>
                </c:pt>
                <c:pt idx="19">
                  <c:v>0.85442207363636369</c:v>
                </c:pt>
                <c:pt idx="20">
                  <c:v>0.86309007363636381</c:v>
                </c:pt>
                <c:pt idx="21">
                  <c:v>0.87202207363636375</c:v>
                </c:pt>
                <c:pt idx="22">
                  <c:v>0.88121807363636373</c:v>
                </c:pt>
                <c:pt idx="23">
                  <c:v>0.89067807363636375</c:v>
                </c:pt>
                <c:pt idx="24">
                  <c:v>0.90040207363636382</c:v>
                </c:pt>
                <c:pt idx="25">
                  <c:v>0.91039007363636382</c:v>
                </c:pt>
                <c:pt idx="26">
                  <c:v>0.92064207363636374</c:v>
                </c:pt>
                <c:pt idx="27">
                  <c:v>0.93115807363636383</c:v>
                </c:pt>
                <c:pt idx="28">
                  <c:v>0.94193807363636384</c:v>
                </c:pt>
                <c:pt idx="29">
                  <c:v>0.95298207363636378</c:v>
                </c:pt>
                <c:pt idx="30">
                  <c:v>0.96429007363636376</c:v>
                </c:pt>
                <c:pt idx="31">
                  <c:v>0.97586207363636379</c:v>
                </c:pt>
                <c:pt idx="32">
                  <c:v>0.98769807363636386</c:v>
                </c:pt>
                <c:pt idx="33">
                  <c:v>0.99979807363636375</c:v>
                </c:pt>
                <c:pt idx="34">
                  <c:v>1.0121620736363639</c:v>
                </c:pt>
                <c:pt idx="35">
                  <c:v>1.024790073636364</c:v>
                </c:pt>
                <c:pt idx="36">
                  <c:v>1.0376820736363639</c:v>
                </c:pt>
                <c:pt idx="37">
                  <c:v>1.0508380736363638</c:v>
                </c:pt>
                <c:pt idx="38">
                  <c:v>1.0642580736363638</c:v>
                </c:pt>
                <c:pt idx="39">
                  <c:v>1.0779420736363639</c:v>
                </c:pt>
                <c:pt idx="40">
                  <c:v>1.0918900736363639</c:v>
                </c:pt>
                <c:pt idx="41">
                  <c:v>1.1061020736363638</c:v>
                </c:pt>
                <c:pt idx="42">
                  <c:v>1.1205780736363637</c:v>
                </c:pt>
                <c:pt idx="43">
                  <c:v>1.1353180736363639</c:v>
                </c:pt>
                <c:pt idx="44">
                  <c:v>1.150322073636364</c:v>
                </c:pt>
                <c:pt idx="45">
                  <c:v>1.165590073636364</c:v>
                </c:pt>
                <c:pt idx="46">
                  <c:v>1.1811220736363641</c:v>
                </c:pt>
                <c:pt idx="47">
                  <c:v>1.196918073636364</c:v>
                </c:pt>
                <c:pt idx="48">
                  <c:v>1.212978073636364</c:v>
                </c:pt>
                <c:pt idx="49">
                  <c:v>1.229302073636364</c:v>
                </c:pt>
                <c:pt idx="50">
                  <c:v>1.2458900736363641</c:v>
                </c:pt>
                <c:pt idx="51">
                  <c:v>1.2627420736363639</c:v>
                </c:pt>
                <c:pt idx="52">
                  <c:v>1.2798580736363641</c:v>
                </c:pt>
                <c:pt idx="53">
                  <c:v>1.2972380736363642</c:v>
                </c:pt>
                <c:pt idx="54">
                  <c:v>1.314882073636364</c:v>
                </c:pt>
                <c:pt idx="55">
                  <c:v>1.3327900736363643</c:v>
                </c:pt>
                <c:pt idx="56">
                  <c:v>1.3509620736363641</c:v>
                </c:pt>
                <c:pt idx="57">
                  <c:v>1.369398073636364</c:v>
                </c:pt>
                <c:pt idx="58">
                  <c:v>1.3880980736363639</c:v>
                </c:pt>
                <c:pt idx="59">
                  <c:v>1.4070620736363639</c:v>
                </c:pt>
                <c:pt idx="60">
                  <c:v>1.426290073636364</c:v>
                </c:pt>
                <c:pt idx="61">
                  <c:v>1.445782073636364</c:v>
                </c:pt>
                <c:pt idx="62">
                  <c:v>1.4655380736363643</c:v>
                </c:pt>
                <c:pt idx="63">
                  <c:v>1.4855580736363641</c:v>
                </c:pt>
                <c:pt idx="64">
                  <c:v>1.5058420736363642</c:v>
                </c:pt>
                <c:pt idx="65">
                  <c:v>1.526390073636364</c:v>
                </c:pt>
                <c:pt idx="66">
                  <c:v>1.5472020736363641</c:v>
                </c:pt>
                <c:pt idx="67">
                  <c:v>1.568278073636364</c:v>
                </c:pt>
                <c:pt idx="68">
                  <c:v>1.5896180736363643</c:v>
                </c:pt>
                <c:pt idx="69">
                  <c:v>1.611222073636364</c:v>
                </c:pt>
                <c:pt idx="70">
                  <c:v>1.6330900736363643</c:v>
                </c:pt>
                <c:pt idx="71">
                  <c:v>1.6552220736363643</c:v>
                </c:pt>
                <c:pt idx="72">
                  <c:v>1.6776180736363639</c:v>
                </c:pt>
                <c:pt idx="73">
                  <c:v>1.7002780736363641</c:v>
                </c:pt>
                <c:pt idx="74">
                  <c:v>1.7232020736363642</c:v>
                </c:pt>
                <c:pt idx="75">
                  <c:v>1.7463900736363642</c:v>
                </c:pt>
                <c:pt idx="76">
                  <c:v>1.769842073636364</c:v>
                </c:pt>
                <c:pt idx="77">
                  <c:v>1.7935580736363645</c:v>
                </c:pt>
                <c:pt idx="78">
                  <c:v>1.8175380736363647</c:v>
                </c:pt>
                <c:pt idx="79">
                  <c:v>1.8417820736363648</c:v>
                </c:pt>
                <c:pt idx="80">
                  <c:v>1.8662900736363643</c:v>
                </c:pt>
                <c:pt idx="81">
                  <c:v>1.8910620736363639</c:v>
                </c:pt>
                <c:pt idx="82">
                  <c:v>1.9160980736363644</c:v>
                </c:pt>
                <c:pt idx="83">
                  <c:v>1.9413980736363641</c:v>
                </c:pt>
                <c:pt idx="84">
                  <c:v>1.9669620736363644</c:v>
                </c:pt>
                <c:pt idx="85">
                  <c:v>1.992790073636364</c:v>
                </c:pt>
                <c:pt idx="86">
                  <c:v>2.0188820736363646</c:v>
                </c:pt>
                <c:pt idx="87">
                  <c:v>2.0452380736363649</c:v>
                </c:pt>
                <c:pt idx="88">
                  <c:v>2.0718580736363643</c:v>
                </c:pt>
                <c:pt idx="89">
                  <c:v>2.0987420736363642</c:v>
                </c:pt>
                <c:pt idx="90">
                  <c:v>2.1258900736363646</c:v>
                </c:pt>
                <c:pt idx="91">
                  <c:v>2.1533020736363646</c:v>
                </c:pt>
                <c:pt idx="92">
                  <c:v>2.1809780736363646</c:v>
                </c:pt>
                <c:pt idx="93">
                  <c:v>2.2089180736363643</c:v>
                </c:pt>
                <c:pt idx="94">
                  <c:v>2.2371220736363648</c:v>
                </c:pt>
                <c:pt idx="95">
                  <c:v>2.265590073636365</c:v>
                </c:pt>
                <c:pt idx="96">
                  <c:v>2.2943220736363648</c:v>
                </c:pt>
                <c:pt idx="97">
                  <c:v>2.3233180736363646</c:v>
                </c:pt>
                <c:pt idx="98">
                  <c:v>2.3525780736363653</c:v>
                </c:pt>
                <c:pt idx="99">
                  <c:v>2.3821020736363647</c:v>
                </c:pt>
                <c:pt idx="100">
                  <c:v>2.4118900736363647</c:v>
                </c:pt>
                <c:pt idx="101">
                  <c:v>2.4419420736363646</c:v>
                </c:pt>
                <c:pt idx="102">
                  <c:v>2.4722580736363651</c:v>
                </c:pt>
                <c:pt idx="103">
                  <c:v>2.5028380736363651</c:v>
                </c:pt>
                <c:pt idx="104">
                  <c:v>2.5336820736363652</c:v>
                </c:pt>
                <c:pt idx="105">
                  <c:v>2.5647900736363654</c:v>
                </c:pt>
                <c:pt idx="106">
                  <c:v>2.5961620736363651</c:v>
                </c:pt>
                <c:pt idx="107">
                  <c:v>2.6277980736363657</c:v>
                </c:pt>
                <c:pt idx="108">
                  <c:v>2.6596980736363651</c:v>
                </c:pt>
                <c:pt idx="109">
                  <c:v>2.691862073636365</c:v>
                </c:pt>
                <c:pt idx="110">
                  <c:v>2.7242900736363644</c:v>
                </c:pt>
                <c:pt idx="111">
                  <c:v>2.7569820736363653</c:v>
                </c:pt>
                <c:pt idx="112">
                  <c:v>2.7899380736363653</c:v>
                </c:pt>
                <c:pt idx="113">
                  <c:v>2.8231580736363644</c:v>
                </c:pt>
                <c:pt idx="114">
                  <c:v>2.8566420736363654</c:v>
                </c:pt>
                <c:pt idx="115">
                  <c:v>2.8903900736363655</c:v>
                </c:pt>
                <c:pt idx="116">
                  <c:v>2.9244020736363652</c:v>
                </c:pt>
                <c:pt idx="117">
                  <c:v>2.9586780736363654</c:v>
                </c:pt>
                <c:pt idx="118">
                  <c:v>2.9932180736363652</c:v>
                </c:pt>
                <c:pt idx="119">
                  <c:v>3.028022073636365</c:v>
                </c:pt>
                <c:pt idx="120">
                  <c:v>3.0630900736363653</c:v>
                </c:pt>
                <c:pt idx="121">
                  <c:v>3.0984220736363652</c:v>
                </c:pt>
                <c:pt idx="122">
                  <c:v>3.1340180736363652</c:v>
                </c:pt>
                <c:pt idx="123">
                  <c:v>3.1698780736363656</c:v>
                </c:pt>
                <c:pt idx="124">
                  <c:v>3.2060020736363657</c:v>
                </c:pt>
                <c:pt idx="125">
                  <c:v>3.2423900736363653</c:v>
                </c:pt>
                <c:pt idx="126">
                  <c:v>3.2790420736363655</c:v>
                </c:pt>
                <c:pt idx="127">
                  <c:v>3.3159580736363656</c:v>
                </c:pt>
                <c:pt idx="128">
                  <c:v>3.3531380736363663</c:v>
                </c:pt>
                <c:pt idx="129">
                  <c:v>3.3905820736363652</c:v>
                </c:pt>
                <c:pt idx="130">
                  <c:v>3.428290073636366</c:v>
                </c:pt>
                <c:pt idx="131">
                  <c:v>3.4662620736363663</c:v>
                </c:pt>
                <c:pt idx="132">
                  <c:v>3.5044980736363671</c:v>
                </c:pt>
                <c:pt idx="133">
                  <c:v>3.5429980736363658</c:v>
                </c:pt>
                <c:pt idx="134">
                  <c:v>3.5817620736363658</c:v>
                </c:pt>
                <c:pt idx="135">
                  <c:v>3.6207900736363663</c:v>
                </c:pt>
                <c:pt idx="136">
                  <c:v>3.660082073636366</c:v>
                </c:pt>
                <c:pt idx="137">
                  <c:v>3.6996380736363661</c:v>
                </c:pt>
                <c:pt idx="138">
                  <c:v>3.7394580736363663</c:v>
                </c:pt>
                <c:pt idx="139">
                  <c:v>3.779542073636367</c:v>
                </c:pt>
                <c:pt idx="140">
                  <c:v>3.8198900736363663</c:v>
                </c:pt>
                <c:pt idx="141">
                  <c:v>3.8605020736363658</c:v>
                </c:pt>
                <c:pt idx="142">
                  <c:v>3.9013780736363666</c:v>
                </c:pt>
                <c:pt idx="143">
                  <c:v>3.9425180736363661</c:v>
                </c:pt>
                <c:pt idx="144">
                  <c:v>3.983922073636367</c:v>
                </c:pt>
                <c:pt idx="145">
                  <c:v>4.0255900736363657</c:v>
                </c:pt>
                <c:pt idx="146">
                  <c:v>4.0675220736363666</c:v>
                </c:pt>
                <c:pt idx="147">
                  <c:v>4.1097180736363672</c:v>
                </c:pt>
                <c:pt idx="148">
                  <c:v>4.1521780736363656</c:v>
                </c:pt>
                <c:pt idx="149">
                  <c:v>4.1949020736363671</c:v>
                </c:pt>
                <c:pt idx="150">
                  <c:v>4.2378900736363665</c:v>
                </c:pt>
              </c:numCache>
            </c:numRef>
          </c:yVal>
          <c:smooth val="1"/>
          <c:extLst>
            <c:ext xmlns:c16="http://schemas.microsoft.com/office/drawing/2014/chart" uri="{C3380CC4-5D6E-409C-BE32-E72D297353CC}">
              <c16:uniqueId val="{00000002-50A0-4BAE-A18F-D1A285C4A90E}"/>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0.03</c:v>
                </c:pt>
                <c:pt idx="2">
                  <c:v>0.06</c:v>
                </c:pt>
                <c:pt idx="3">
                  <c:v>0.09</c:v>
                </c:pt>
                <c:pt idx="4">
                  <c:v>0.12</c:v>
                </c:pt>
                <c:pt idx="5">
                  <c:v>0.15</c:v>
                </c:pt>
                <c:pt idx="6">
                  <c:v>0.18</c:v>
                </c:pt>
                <c:pt idx="7">
                  <c:v>0.21</c:v>
                </c:pt>
                <c:pt idx="8">
                  <c:v>0.24</c:v>
                </c:pt>
                <c:pt idx="9">
                  <c:v>0.27</c:v>
                </c:pt>
                <c:pt idx="10">
                  <c:v>0.3</c:v>
                </c:pt>
                <c:pt idx="11">
                  <c:v>0.32999999999999996</c:v>
                </c:pt>
                <c:pt idx="12">
                  <c:v>0.36</c:v>
                </c:pt>
                <c:pt idx="13">
                  <c:v>0.39</c:v>
                </c:pt>
                <c:pt idx="14">
                  <c:v>0.42</c:v>
                </c:pt>
                <c:pt idx="15">
                  <c:v>0.44999999999999996</c:v>
                </c:pt>
                <c:pt idx="16">
                  <c:v>0.48</c:v>
                </c:pt>
                <c:pt idx="17">
                  <c:v>0.51</c:v>
                </c:pt>
                <c:pt idx="18">
                  <c:v>0.54</c:v>
                </c:pt>
                <c:pt idx="19">
                  <c:v>0.56999999999999995</c:v>
                </c:pt>
                <c:pt idx="20">
                  <c:v>0.6</c:v>
                </c:pt>
                <c:pt idx="21">
                  <c:v>0.63</c:v>
                </c:pt>
                <c:pt idx="22">
                  <c:v>0.65999999999999992</c:v>
                </c:pt>
                <c:pt idx="23">
                  <c:v>0.69</c:v>
                </c:pt>
                <c:pt idx="24">
                  <c:v>0.72</c:v>
                </c:pt>
                <c:pt idx="25">
                  <c:v>0.75</c:v>
                </c:pt>
                <c:pt idx="26">
                  <c:v>0.78</c:v>
                </c:pt>
                <c:pt idx="27">
                  <c:v>0.80999999999999994</c:v>
                </c:pt>
                <c:pt idx="28">
                  <c:v>0.84</c:v>
                </c:pt>
                <c:pt idx="29">
                  <c:v>0.87</c:v>
                </c:pt>
                <c:pt idx="30">
                  <c:v>0.89999999999999991</c:v>
                </c:pt>
                <c:pt idx="31">
                  <c:v>0.92999999999999994</c:v>
                </c:pt>
                <c:pt idx="32">
                  <c:v>0.96</c:v>
                </c:pt>
                <c:pt idx="33">
                  <c:v>0.99</c:v>
                </c:pt>
                <c:pt idx="34">
                  <c:v>1.02</c:v>
                </c:pt>
                <c:pt idx="35">
                  <c:v>1.05</c:v>
                </c:pt>
                <c:pt idx="36">
                  <c:v>1.08</c:v>
                </c:pt>
                <c:pt idx="37">
                  <c:v>1.1099999999999999</c:v>
                </c:pt>
                <c:pt idx="38">
                  <c:v>1.1399999999999999</c:v>
                </c:pt>
                <c:pt idx="39">
                  <c:v>1.17</c:v>
                </c:pt>
                <c:pt idx="40">
                  <c:v>1.2</c:v>
                </c:pt>
                <c:pt idx="41">
                  <c:v>1.23</c:v>
                </c:pt>
                <c:pt idx="42">
                  <c:v>1.26</c:v>
                </c:pt>
                <c:pt idx="43">
                  <c:v>1.29</c:v>
                </c:pt>
                <c:pt idx="44">
                  <c:v>1.3199999999999998</c:v>
                </c:pt>
                <c:pt idx="45">
                  <c:v>1.3499999999999999</c:v>
                </c:pt>
                <c:pt idx="46">
                  <c:v>1.38</c:v>
                </c:pt>
                <c:pt idx="47">
                  <c:v>1.41</c:v>
                </c:pt>
                <c:pt idx="48">
                  <c:v>1.44</c:v>
                </c:pt>
                <c:pt idx="49">
                  <c:v>1.47</c:v>
                </c:pt>
                <c:pt idx="50">
                  <c:v>1.5</c:v>
                </c:pt>
                <c:pt idx="51">
                  <c:v>1.53</c:v>
                </c:pt>
                <c:pt idx="52">
                  <c:v>1.56</c:v>
                </c:pt>
                <c:pt idx="53">
                  <c:v>1.5899999999999999</c:v>
                </c:pt>
                <c:pt idx="54">
                  <c:v>1.6199999999999999</c:v>
                </c:pt>
                <c:pt idx="55">
                  <c:v>1.65</c:v>
                </c:pt>
                <c:pt idx="56">
                  <c:v>1.68</c:v>
                </c:pt>
                <c:pt idx="57">
                  <c:v>1.71</c:v>
                </c:pt>
                <c:pt idx="58">
                  <c:v>1.74</c:v>
                </c:pt>
                <c:pt idx="59">
                  <c:v>1.77</c:v>
                </c:pt>
                <c:pt idx="60">
                  <c:v>1.7999999999999998</c:v>
                </c:pt>
                <c:pt idx="61">
                  <c:v>1.8299999999999998</c:v>
                </c:pt>
                <c:pt idx="62">
                  <c:v>1.8599999999999999</c:v>
                </c:pt>
                <c:pt idx="63">
                  <c:v>1.89</c:v>
                </c:pt>
                <c:pt idx="64">
                  <c:v>1.92</c:v>
                </c:pt>
                <c:pt idx="65">
                  <c:v>1.95</c:v>
                </c:pt>
                <c:pt idx="66">
                  <c:v>1.98</c:v>
                </c:pt>
                <c:pt idx="67">
                  <c:v>2.0099999999999998</c:v>
                </c:pt>
                <c:pt idx="68">
                  <c:v>2.04</c:v>
                </c:pt>
                <c:pt idx="69">
                  <c:v>2.0699999999999998</c:v>
                </c:pt>
                <c:pt idx="70">
                  <c:v>2.1</c:v>
                </c:pt>
                <c:pt idx="71">
                  <c:v>2.13</c:v>
                </c:pt>
                <c:pt idx="72">
                  <c:v>2.16</c:v>
                </c:pt>
                <c:pt idx="73">
                  <c:v>2.19</c:v>
                </c:pt>
                <c:pt idx="74">
                  <c:v>2.2199999999999998</c:v>
                </c:pt>
                <c:pt idx="75">
                  <c:v>2.25</c:v>
                </c:pt>
                <c:pt idx="76">
                  <c:v>2.2799999999999998</c:v>
                </c:pt>
                <c:pt idx="77">
                  <c:v>2.31</c:v>
                </c:pt>
                <c:pt idx="78">
                  <c:v>2.34</c:v>
                </c:pt>
                <c:pt idx="79">
                  <c:v>2.37</c:v>
                </c:pt>
                <c:pt idx="80">
                  <c:v>2.4</c:v>
                </c:pt>
                <c:pt idx="81">
                  <c:v>2.4299999999999997</c:v>
                </c:pt>
                <c:pt idx="82">
                  <c:v>2.46</c:v>
                </c:pt>
                <c:pt idx="83">
                  <c:v>2.4899999999999998</c:v>
                </c:pt>
                <c:pt idx="84">
                  <c:v>2.52</c:v>
                </c:pt>
                <c:pt idx="85">
                  <c:v>2.5499999999999998</c:v>
                </c:pt>
                <c:pt idx="86">
                  <c:v>2.58</c:v>
                </c:pt>
                <c:pt idx="87">
                  <c:v>2.61</c:v>
                </c:pt>
                <c:pt idx="88">
                  <c:v>2.6399999999999997</c:v>
                </c:pt>
                <c:pt idx="89">
                  <c:v>2.67</c:v>
                </c:pt>
                <c:pt idx="90">
                  <c:v>2.6999999999999997</c:v>
                </c:pt>
                <c:pt idx="91">
                  <c:v>2.73</c:v>
                </c:pt>
                <c:pt idx="92">
                  <c:v>2.76</c:v>
                </c:pt>
                <c:pt idx="93">
                  <c:v>2.79</c:v>
                </c:pt>
                <c:pt idx="94">
                  <c:v>2.82</c:v>
                </c:pt>
                <c:pt idx="95">
                  <c:v>2.85</c:v>
                </c:pt>
                <c:pt idx="96">
                  <c:v>2.88</c:v>
                </c:pt>
                <c:pt idx="97">
                  <c:v>2.9099999999999997</c:v>
                </c:pt>
                <c:pt idx="98">
                  <c:v>2.94</c:v>
                </c:pt>
                <c:pt idx="99">
                  <c:v>2.9699999999999998</c:v>
                </c:pt>
                <c:pt idx="100">
                  <c:v>3</c:v>
                </c:pt>
                <c:pt idx="101">
                  <c:v>3.03</c:v>
                </c:pt>
                <c:pt idx="102">
                  <c:v>3.06</c:v>
                </c:pt>
                <c:pt idx="103">
                  <c:v>3.09</c:v>
                </c:pt>
                <c:pt idx="104">
                  <c:v>3.12</c:v>
                </c:pt>
                <c:pt idx="105">
                  <c:v>3.15</c:v>
                </c:pt>
                <c:pt idx="106">
                  <c:v>3.1799999999999997</c:v>
                </c:pt>
                <c:pt idx="107">
                  <c:v>3.21</c:v>
                </c:pt>
                <c:pt idx="108">
                  <c:v>3.2399999999999998</c:v>
                </c:pt>
                <c:pt idx="109">
                  <c:v>3.27</c:v>
                </c:pt>
                <c:pt idx="110">
                  <c:v>3.3</c:v>
                </c:pt>
                <c:pt idx="111">
                  <c:v>3.33</c:v>
                </c:pt>
                <c:pt idx="112">
                  <c:v>3.36</c:v>
                </c:pt>
                <c:pt idx="113">
                  <c:v>3.3899999999999997</c:v>
                </c:pt>
                <c:pt idx="114">
                  <c:v>3.42</c:v>
                </c:pt>
                <c:pt idx="115">
                  <c:v>3.4499999999999997</c:v>
                </c:pt>
                <c:pt idx="116">
                  <c:v>3.48</c:v>
                </c:pt>
                <c:pt idx="117">
                  <c:v>3.51</c:v>
                </c:pt>
                <c:pt idx="118">
                  <c:v>3.54</c:v>
                </c:pt>
                <c:pt idx="119">
                  <c:v>3.57</c:v>
                </c:pt>
                <c:pt idx="120">
                  <c:v>3.5999999999999996</c:v>
                </c:pt>
                <c:pt idx="121">
                  <c:v>3.63</c:v>
                </c:pt>
                <c:pt idx="122">
                  <c:v>3.6599999999999997</c:v>
                </c:pt>
                <c:pt idx="123">
                  <c:v>3.69</c:v>
                </c:pt>
                <c:pt idx="124">
                  <c:v>3.7199999999999998</c:v>
                </c:pt>
                <c:pt idx="125">
                  <c:v>3.75</c:v>
                </c:pt>
                <c:pt idx="126">
                  <c:v>3.78</c:v>
                </c:pt>
                <c:pt idx="127">
                  <c:v>3.81</c:v>
                </c:pt>
                <c:pt idx="128">
                  <c:v>3.84</c:v>
                </c:pt>
                <c:pt idx="129">
                  <c:v>3.8699999999999997</c:v>
                </c:pt>
                <c:pt idx="130">
                  <c:v>3.9</c:v>
                </c:pt>
                <c:pt idx="131">
                  <c:v>3.9299999999999997</c:v>
                </c:pt>
                <c:pt idx="132">
                  <c:v>3.96</c:v>
                </c:pt>
                <c:pt idx="133">
                  <c:v>3.9899999999999998</c:v>
                </c:pt>
                <c:pt idx="134">
                  <c:v>4.0199999999999996</c:v>
                </c:pt>
                <c:pt idx="135">
                  <c:v>4.05</c:v>
                </c:pt>
                <c:pt idx="136">
                  <c:v>4.08</c:v>
                </c:pt>
                <c:pt idx="137">
                  <c:v>4.1099999999999994</c:v>
                </c:pt>
                <c:pt idx="138">
                  <c:v>4.1399999999999997</c:v>
                </c:pt>
                <c:pt idx="139">
                  <c:v>4.17</c:v>
                </c:pt>
                <c:pt idx="140">
                  <c:v>4.2</c:v>
                </c:pt>
                <c:pt idx="141">
                  <c:v>4.2299999999999995</c:v>
                </c:pt>
                <c:pt idx="142">
                  <c:v>4.26</c:v>
                </c:pt>
                <c:pt idx="143">
                  <c:v>4.29</c:v>
                </c:pt>
                <c:pt idx="144">
                  <c:v>4.32</c:v>
                </c:pt>
                <c:pt idx="145">
                  <c:v>4.3499999999999996</c:v>
                </c:pt>
                <c:pt idx="146">
                  <c:v>4.38</c:v>
                </c:pt>
                <c:pt idx="147">
                  <c:v>4.41</c:v>
                </c:pt>
                <c:pt idx="148">
                  <c:v>4.4399999999999995</c:v>
                </c:pt>
                <c:pt idx="149">
                  <c:v>4.47</c:v>
                </c:pt>
                <c:pt idx="150">
                  <c:v>4.5</c:v>
                </c:pt>
              </c:numCache>
            </c:numRef>
          </c:xVal>
          <c:yVal>
            <c:numRef>
              <c:f>Eff_vs_IOUT!$AP$7:$AP$157</c:f>
              <c:numCache>
                <c:formatCode>General</c:formatCode>
                <c:ptCount val="151"/>
                <c:pt idx="0">
                  <c:v>0</c:v>
                </c:pt>
                <c:pt idx="1">
                  <c:v>5.6846074380165288E-4</c:v>
                </c:pt>
                <c:pt idx="2">
                  <c:v>2.0684607438016529E-3</c:v>
                </c:pt>
                <c:pt idx="3">
                  <c:v>4.5684607438016521E-3</c:v>
                </c:pt>
                <c:pt idx="4">
                  <c:v>8.0684607438016535E-3</c:v>
                </c:pt>
                <c:pt idx="5">
                  <c:v>1.2568460743801654E-2</c:v>
                </c:pt>
                <c:pt idx="6">
                  <c:v>1.806846074380165E-2</c:v>
                </c:pt>
                <c:pt idx="7">
                  <c:v>2.4568460743801653E-2</c:v>
                </c:pt>
                <c:pt idx="8">
                  <c:v>3.2068460743801659E-2</c:v>
                </c:pt>
                <c:pt idx="9">
                  <c:v>4.056846074380166E-2</c:v>
                </c:pt>
                <c:pt idx="10">
                  <c:v>5.0068460743801661E-2</c:v>
                </c:pt>
                <c:pt idx="11">
                  <c:v>6.0568460743801622E-2</c:v>
                </c:pt>
                <c:pt idx="12">
                  <c:v>7.2068460743801646E-2</c:v>
                </c:pt>
                <c:pt idx="13">
                  <c:v>8.4568460743801643E-2</c:v>
                </c:pt>
                <c:pt idx="14">
                  <c:v>9.8068460743801655E-2</c:v>
                </c:pt>
                <c:pt idx="15">
                  <c:v>0.11256846074380163</c:v>
                </c:pt>
                <c:pt idx="16">
                  <c:v>0.12806846074380163</c:v>
                </c:pt>
                <c:pt idx="17">
                  <c:v>0.14456846074380167</c:v>
                </c:pt>
                <c:pt idx="18">
                  <c:v>0.16206846074380168</c:v>
                </c:pt>
                <c:pt idx="19">
                  <c:v>0.18056846074380159</c:v>
                </c:pt>
                <c:pt idx="20">
                  <c:v>0.20006846074380169</c:v>
                </c:pt>
                <c:pt idx="21">
                  <c:v>0.22056846074380168</c:v>
                </c:pt>
                <c:pt idx="22">
                  <c:v>0.24206846074380162</c:v>
                </c:pt>
                <c:pt idx="23">
                  <c:v>0.26456846074380175</c:v>
                </c:pt>
                <c:pt idx="24">
                  <c:v>0.28806846074380166</c:v>
                </c:pt>
                <c:pt idx="25">
                  <c:v>0.31256846074380168</c:v>
                </c:pt>
                <c:pt idx="26">
                  <c:v>0.33806846074380165</c:v>
                </c:pt>
                <c:pt idx="27">
                  <c:v>0.36456846074380161</c:v>
                </c:pt>
                <c:pt idx="28">
                  <c:v>0.39206846074380169</c:v>
                </c:pt>
                <c:pt idx="29">
                  <c:v>0.42056846074380166</c:v>
                </c:pt>
                <c:pt idx="30">
                  <c:v>0.45006846074380163</c:v>
                </c:pt>
                <c:pt idx="31">
                  <c:v>0.48056846074380161</c:v>
                </c:pt>
                <c:pt idx="32">
                  <c:v>0.51206846074380152</c:v>
                </c:pt>
                <c:pt idx="33">
                  <c:v>0.54456846074380183</c:v>
                </c:pt>
                <c:pt idx="34">
                  <c:v>0.57806846074380169</c:v>
                </c:pt>
                <c:pt idx="35">
                  <c:v>0.61256846074380167</c:v>
                </c:pt>
                <c:pt idx="36">
                  <c:v>0.64806846074380153</c:v>
                </c:pt>
                <c:pt idx="37">
                  <c:v>0.6845684607438014</c:v>
                </c:pt>
                <c:pt idx="38">
                  <c:v>0.72206846074380138</c:v>
                </c:pt>
                <c:pt idx="39">
                  <c:v>0.76056846074380169</c:v>
                </c:pt>
                <c:pt idx="40">
                  <c:v>0.80006846074380156</c:v>
                </c:pt>
                <c:pt idx="41">
                  <c:v>0.84056846074380165</c:v>
                </c:pt>
                <c:pt idx="42">
                  <c:v>0.88206846074380152</c:v>
                </c:pt>
                <c:pt idx="43">
                  <c:v>0.92456846074380183</c:v>
                </c:pt>
                <c:pt idx="44">
                  <c:v>0.96806846074380148</c:v>
                </c:pt>
                <c:pt idx="45">
                  <c:v>1.0125684607438017</c:v>
                </c:pt>
                <c:pt idx="46">
                  <c:v>1.0580684607438018</c:v>
                </c:pt>
                <c:pt idx="47">
                  <c:v>1.1045684607438018</c:v>
                </c:pt>
                <c:pt idx="48">
                  <c:v>1.1520684607438016</c:v>
                </c:pt>
                <c:pt idx="49">
                  <c:v>1.2005684607438016</c:v>
                </c:pt>
                <c:pt idx="50">
                  <c:v>1.2500684607438013</c:v>
                </c:pt>
                <c:pt idx="51">
                  <c:v>1.3005684607438015</c:v>
                </c:pt>
                <c:pt idx="52">
                  <c:v>1.3520684607438016</c:v>
                </c:pt>
                <c:pt idx="53">
                  <c:v>1.4045684607438016</c:v>
                </c:pt>
                <c:pt idx="54">
                  <c:v>1.4580684607438015</c:v>
                </c:pt>
                <c:pt idx="55">
                  <c:v>1.5125684607438017</c:v>
                </c:pt>
                <c:pt idx="56">
                  <c:v>1.5680684607438016</c:v>
                </c:pt>
                <c:pt idx="57">
                  <c:v>1.6245684607438018</c:v>
                </c:pt>
                <c:pt idx="58">
                  <c:v>1.6820684607438015</c:v>
                </c:pt>
                <c:pt idx="59">
                  <c:v>1.7405684607438019</c:v>
                </c:pt>
                <c:pt idx="60">
                  <c:v>1.8000684607438009</c:v>
                </c:pt>
                <c:pt idx="61">
                  <c:v>1.8605684607438011</c:v>
                </c:pt>
                <c:pt idx="62">
                  <c:v>1.9220684607438019</c:v>
                </c:pt>
                <c:pt idx="63">
                  <c:v>1.9845684607438019</c:v>
                </c:pt>
                <c:pt idx="64">
                  <c:v>2.0480684607438016</c:v>
                </c:pt>
                <c:pt idx="65">
                  <c:v>2.1125684607438018</c:v>
                </c:pt>
                <c:pt idx="66">
                  <c:v>2.178068460743801</c:v>
                </c:pt>
                <c:pt idx="67">
                  <c:v>2.2445684607438006</c:v>
                </c:pt>
                <c:pt idx="68">
                  <c:v>2.3120684607438018</c:v>
                </c:pt>
                <c:pt idx="69">
                  <c:v>2.3805684607438007</c:v>
                </c:pt>
                <c:pt idx="70">
                  <c:v>2.4500684607438012</c:v>
                </c:pt>
                <c:pt idx="71">
                  <c:v>2.5205684607438017</c:v>
                </c:pt>
                <c:pt idx="72">
                  <c:v>2.592068460743802</c:v>
                </c:pt>
                <c:pt idx="73">
                  <c:v>2.6645684607438018</c:v>
                </c:pt>
                <c:pt idx="74">
                  <c:v>2.7380684607438011</c:v>
                </c:pt>
                <c:pt idx="75">
                  <c:v>2.812568460743802</c:v>
                </c:pt>
                <c:pt idx="76">
                  <c:v>2.888068460743801</c:v>
                </c:pt>
                <c:pt idx="77">
                  <c:v>2.9645684607438016</c:v>
                </c:pt>
                <c:pt idx="78">
                  <c:v>3.0420684607438022</c:v>
                </c:pt>
                <c:pt idx="79">
                  <c:v>3.1205684607438022</c:v>
                </c:pt>
                <c:pt idx="80">
                  <c:v>3.2000684607438021</c:v>
                </c:pt>
                <c:pt idx="81">
                  <c:v>3.2805684607437997</c:v>
                </c:pt>
                <c:pt idx="82">
                  <c:v>3.3620684607438021</c:v>
                </c:pt>
                <c:pt idx="83">
                  <c:v>3.4445684607438003</c:v>
                </c:pt>
                <c:pt idx="84">
                  <c:v>3.5280684607438015</c:v>
                </c:pt>
                <c:pt idx="85">
                  <c:v>3.6125684607438004</c:v>
                </c:pt>
                <c:pt idx="86">
                  <c:v>3.698068460743801</c:v>
                </c:pt>
                <c:pt idx="87">
                  <c:v>3.7845684607438019</c:v>
                </c:pt>
                <c:pt idx="88">
                  <c:v>3.8720684607438001</c:v>
                </c:pt>
                <c:pt idx="89">
                  <c:v>3.9605684607438016</c:v>
                </c:pt>
                <c:pt idx="90">
                  <c:v>4.0500684607438018</c:v>
                </c:pt>
                <c:pt idx="91">
                  <c:v>4.1405684607438014</c:v>
                </c:pt>
                <c:pt idx="92">
                  <c:v>4.2320684607438004</c:v>
                </c:pt>
                <c:pt idx="93">
                  <c:v>4.3245684607438015</c:v>
                </c:pt>
                <c:pt idx="94">
                  <c:v>4.4180684607438012</c:v>
                </c:pt>
                <c:pt idx="95">
                  <c:v>4.5125684607438004</c:v>
                </c:pt>
                <c:pt idx="96">
                  <c:v>4.6080684607438016</c:v>
                </c:pt>
                <c:pt idx="97">
                  <c:v>4.7045684607437988</c:v>
                </c:pt>
                <c:pt idx="98">
                  <c:v>4.8020684607438007</c:v>
                </c:pt>
                <c:pt idx="99">
                  <c:v>4.9005684607438011</c:v>
                </c:pt>
                <c:pt idx="100">
                  <c:v>5.000068460743802</c:v>
                </c:pt>
                <c:pt idx="101">
                  <c:v>5.1005684607438013</c:v>
                </c:pt>
                <c:pt idx="102">
                  <c:v>5.2020684607438028</c:v>
                </c:pt>
                <c:pt idx="103">
                  <c:v>5.3045684607438019</c:v>
                </c:pt>
                <c:pt idx="104">
                  <c:v>5.4080684607438014</c:v>
                </c:pt>
                <c:pt idx="105">
                  <c:v>5.5125684607438021</c:v>
                </c:pt>
                <c:pt idx="106">
                  <c:v>5.6180684607438005</c:v>
                </c:pt>
                <c:pt idx="107">
                  <c:v>5.724568460743801</c:v>
                </c:pt>
                <c:pt idx="108">
                  <c:v>5.8320684607438027</c:v>
                </c:pt>
                <c:pt idx="109">
                  <c:v>5.9405684607438021</c:v>
                </c:pt>
                <c:pt idx="110">
                  <c:v>6.0500684607438018</c:v>
                </c:pt>
                <c:pt idx="111">
                  <c:v>6.1605684607438018</c:v>
                </c:pt>
                <c:pt idx="112">
                  <c:v>6.2720684607438013</c:v>
                </c:pt>
                <c:pt idx="113">
                  <c:v>6.3845684607438011</c:v>
                </c:pt>
                <c:pt idx="114">
                  <c:v>6.4980684607438022</c:v>
                </c:pt>
                <c:pt idx="115">
                  <c:v>6.6125684607438018</c:v>
                </c:pt>
                <c:pt idx="116">
                  <c:v>6.7280684607438017</c:v>
                </c:pt>
                <c:pt idx="117">
                  <c:v>6.8445684607438011</c:v>
                </c:pt>
                <c:pt idx="118">
                  <c:v>6.9620684607438017</c:v>
                </c:pt>
                <c:pt idx="119">
                  <c:v>7.0805684607438018</c:v>
                </c:pt>
                <c:pt idx="120">
                  <c:v>7.2000684607438004</c:v>
                </c:pt>
                <c:pt idx="121">
                  <c:v>7.320568460743802</c:v>
                </c:pt>
                <c:pt idx="122">
                  <c:v>7.4420684607437995</c:v>
                </c:pt>
                <c:pt idx="123">
                  <c:v>7.5645684607438026</c:v>
                </c:pt>
                <c:pt idx="124">
                  <c:v>7.6880684607438008</c:v>
                </c:pt>
                <c:pt idx="125">
                  <c:v>7.8125684607438011</c:v>
                </c:pt>
                <c:pt idx="126">
                  <c:v>7.9380684607438017</c:v>
                </c:pt>
                <c:pt idx="127">
                  <c:v>8.0645684607438</c:v>
                </c:pt>
                <c:pt idx="128">
                  <c:v>8.1920684607438012</c:v>
                </c:pt>
                <c:pt idx="129">
                  <c:v>8.3205684607437984</c:v>
                </c:pt>
                <c:pt idx="130">
                  <c:v>8.4500684607438021</c:v>
                </c:pt>
                <c:pt idx="131">
                  <c:v>8.5805684607438018</c:v>
                </c:pt>
                <c:pt idx="132">
                  <c:v>8.7120684607438026</c:v>
                </c:pt>
                <c:pt idx="133">
                  <c:v>8.8445684607438011</c:v>
                </c:pt>
                <c:pt idx="134">
                  <c:v>8.9780684607437955</c:v>
                </c:pt>
                <c:pt idx="135">
                  <c:v>9.1125684607438018</c:v>
                </c:pt>
                <c:pt idx="136">
                  <c:v>9.248068460743804</c:v>
                </c:pt>
                <c:pt idx="137">
                  <c:v>9.3845684607437985</c:v>
                </c:pt>
                <c:pt idx="138">
                  <c:v>9.5220684607437978</c:v>
                </c:pt>
                <c:pt idx="139">
                  <c:v>9.6605684607438036</c:v>
                </c:pt>
                <c:pt idx="140">
                  <c:v>9.8000684607438</c:v>
                </c:pt>
                <c:pt idx="141">
                  <c:v>9.9405684607437994</c:v>
                </c:pt>
                <c:pt idx="142">
                  <c:v>10.082068460743802</c:v>
                </c:pt>
                <c:pt idx="143">
                  <c:v>10.224568460743804</c:v>
                </c:pt>
                <c:pt idx="144">
                  <c:v>10.368068460743803</c:v>
                </c:pt>
                <c:pt idx="145">
                  <c:v>10.512568460743797</c:v>
                </c:pt>
                <c:pt idx="146">
                  <c:v>10.658068460743802</c:v>
                </c:pt>
                <c:pt idx="147">
                  <c:v>10.8045684607438</c:v>
                </c:pt>
                <c:pt idx="148">
                  <c:v>10.952068460743797</c:v>
                </c:pt>
                <c:pt idx="149">
                  <c:v>11.1005684607438</c:v>
                </c:pt>
                <c:pt idx="150">
                  <c:v>11.250068460743801</c:v>
                </c:pt>
              </c:numCache>
            </c:numRef>
          </c:yVal>
          <c:smooth val="1"/>
          <c:extLst>
            <c:ext xmlns:c16="http://schemas.microsoft.com/office/drawing/2014/chart" uri="{C3380CC4-5D6E-409C-BE32-E72D297353CC}">
              <c16:uniqueId val="{00000003-50A0-4BAE-A18F-D1A285C4A90E}"/>
            </c:ext>
          </c:extLst>
        </c:ser>
        <c:dLbls>
          <c:showLegendKey val="0"/>
          <c:showVal val="0"/>
          <c:showCatName val="0"/>
          <c:showSerName val="0"/>
          <c:showPercent val="0"/>
          <c:showBubbleSize val="0"/>
        </c:dLbls>
        <c:axId val="555656704"/>
        <c:axId val="555646336"/>
      </c:scatterChart>
      <c:valAx>
        <c:axId val="555642880"/>
        <c:scaling>
          <c:orientation val="minMax"/>
        </c:scaling>
        <c:delete val="0"/>
        <c:axPos val="b"/>
        <c:majorGridlines/>
        <c:numFmt formatCode="General" sourceLinked="1"/>
        <c:majorTickMark val="out"/>
        <c:minorTickMark val="none"/>
        <c:tickLblPos val="nextTo"/>
        <c:crossAx val="555644416"/>
        <c:crosses val="autoZero"/>
        <c:crossBetween val="midCat"/>
      </c:valAx>
      <c:valAx>
        <c:axId val="555644416"/>
        <c:scaling>
          <c:orientation val="minMax"/>
          <c:max val="100"/>
          <c:min val="6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555642880"/>
        <c:crosses val="autoZero"/>
        <c:crossBetween val="midCat"/>
      </c:valAx>
      <c:valAx>
        <c:axId val="555646336"/>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555656704"/>
        <c:crosses val="max"/>
        <c:crossBetween val="midCat"/>
      </c:valAx>
      <c:valAx>
        <c:axId val="555656704"/>
        <c:scaling>
          <c:orientation val="minMax"/>
        </c:scaling>
        <c:delete val="1"/>
        <c:axPos val="b"/>
        <c:title>
          <c:tx>
            <c:rich>
              <a:bodyPr/>
              <a:lstStyle/>
              <a:p>
                <a:pPr>
                  <a:defRPr/>
                </a:pPr>
                <a:r>
                  <a:rPr lang="en-US"/>
                  <a:t>Loac</a:t>
                </a:r>
                <a:r>
                  <a:rPr lang="en-US" baseline="0"/>
                  <a:t> Current (A)</a:t>
                </a:r>
                <a:endParaRPr lang="en-US"/>
              </a:p>
            </c:rich>
          </c:tx>
          <c:overlay val="0"/>
        </c:title>
        <c:numFmt formatCode="General" sourceLinked="1"/>
        <c:majorTickMark val="out"/>
        <c:minorTickMark val="none"/>
        <c:tickLblPos val="nextTo"/>
        <c:crossAx val="555646336"/>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Spin" dx="20" fmlaLink="$H$8" max="45" noThreeD="1" page="10" val="3"/>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5.png"/><Relationship Id="rId7" Type="http://schemas.openxmlformats.org/officeDocument/2006/relationships/chart" Target="../charts/chart9.xml"/><Relationship Id="rId2" Type="http://schemas.openxmlformats.org/officeDocument/2006/relationships/image" Target="../media/image4.png"/><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9</xdr:col>
      <xdr:colOff>75154</xdr:colOff>
      <xdr:row>45</xdr:row>
      <xdr:rowOff>164353</xdr:rowOff>
    </xdr:from>
    <xdr:to>
      <xdr:col>25</xdr:col>
      <xdr:colOff>478118</xdr:colOff>
      <xdr:row>69</xdr:row>
      <xdr:rowOff>182732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7</xdr:col>
          <xdr:colOff>561975</xdr:colOff>
          <xdr:row>53</xdr:row>
          <xdr:rowOff>0</xdr:rowOff>
        </xdr:from>
        <xdr:to>
          <xdr:col>8</xdr:col>
          <xdr:colOff>9525</xdr:colOff>
          <xdr:row>55</xdr:row>
          <xdr:rowOff>0</xdr:rowOff>
        </xdr:to>
        <xdr:sp macro="" textlink="">
          <xdr:nvSpPr>
            <xdr:cNvPr id="1060" name="Spinner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14</xdr:col>
      <xdr:colOff>508019</xdr:colOff>
      <xdr:row>45</xdr:row>
      <xdr:rowOff>55281</xdr:rowOff>
    </xdr:from>
    <xdr:to>
      <xdr:col>16</xdr:col>
      <xdr:colOff>237584</xdr:colOff>
      <xdr:row>47</xdr:row>
      <xdr:rowOff>124011</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710725" y="9453281"/>
          <a:ext cx="954741" cy="487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16</xdr:col>
      <xdr:colOff>77712</xdr:colOff>
      <xdr:row>45</xdr:row>
      <xdr:rowOff>64247</xdr:rowOff>
    </xdr:from>
    <xdr:to>
      <xdr:col>17</xdr:col>
      <xdr:colOff>409405</xdr:colOff>
      <xdr:row>47</xdr:row>
      <xdr:rowOff>132978</xdr:rowOff>
    </xdr:to>
    <xdr:sp macro="" textlink="VIN_nom">
      <xdr:nvSpPr>
        <xdr:cNvPr id="3" name="TextBox 2">
          <a:extLst>
            <a:ext uri="{FF2B5EF4-FFF2-40B4-BE49-F238E27FC236}">
              <a16:creationId xmlns:a16="http://schemas.microsoft.com/office/drawing/2014/main" id="{00000000-0008-0000-0000-000003000000}"/>
            </a:ext>
          </a:extLst>
        </xdr:cNvPr>
        <xdr:cNvSpPr txBox="1"/>
      </xdr:nvSpPr>
      <xdr:spPr>
        <a:xfrm>
          <a:off x="9505594" y="9462247"/>
          <a:ext cx="944282" cy="4870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rPr>
            <a:pPr/>
            <a:t>3</a:t>
          </a:fld>
          <a:endParaRPr lang="en-US" sz="2400"/>
        </a:p>
      </xdr:txBody>
    </xdr:sp>
    <xdr:clientData/>
  </xdr:twoCellAnchor>
  <xdr:twoCellAnchor>
    <xdr:from>
      <xdr:col>17</xdr:col>
      <xdr:colOff>152439</xdr:colOff>
      <xdr:row>45</xdr:row>
      <xdr:rowOff>55281</xdr:rowOff>
    </xdr:from>
    <xdr:to>
      <xdr:col>18</xdr:col>
      <xdr:colOff>505051</xdr:colOff>
      <xdr:row>47</xdr:row>
      <xdr:rowOff>124011</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10192910" y="9453281"/>
          <a:ext cx="965200" cy="487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xdr:twoCellAnchor>
    <xdr:from>
      <xdr:col>9</xdr:col>
      <xdr:colOff>49696</xdr:colOff>
      <xdr:row>71</xdr:row>
      <xdr:rowOff>55217</xdr:rowOff>
    </xdr:from>
    <xdr:to>
      <xdr:col>25</xdr:col>
      <xdr:colOff>480392</xdr:colOff>
      <xdr:row>93</xdr:row>
      <xdr:rowOff>82826</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118899</xdr:colOff>
      <xdr:row>71</xdr:row>
      <xdr:rowOff>71846</xdr:rowOff>
    </xdr:from>
    <xdr:to>
      <xdr:col>15</xdr:col>
      <xdr:colOff>466899</xdr:colOff>
      <xdr:row>73</xdr:row>
      <xdr:rowOff>79838</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8390464" y="14621629"/>
          <a:ext cx="966435" cy="488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15</xdr:col>
      <xdr:colOff>307027</xdr:colOff>
      <xdr:row>71</xdr:row>
      <xdr:rowOff>80812</xdr:rowOff>
    </xdr:from>
    <xdr:to>
      <xdr:col>17</xdr:col>
      <xdr:colOff>20285</xdr:colOff>
      <xdr:row>73</xdr:row>
      <xdr:rowOff>88805</xdr:rowOff>
    </xdr:to>
    <xdr:sp macro="" textlink="VIN_nom">
      <xdr:nvSpPr>
        <xdr:cNvPr id="9" name="TextBox 8">
          <a:extLst>
            <a:ext uri="{FF2B5EF4-FFF2-40B4-BE49-F238E27FC236}">
              <a16:creationId xmlns:a16="http://schemas.microsoft.com/office/drawing/2014/main" id="{00000000-0008-0000-0000-000009000000}"/>
            </a:ext>
          </a:extLst>
        </xdr:cNvPr>
        <xdr:cNvSpPr txBox="1"/>
      </xdr:nvSpPr>
      <xdr:spPr>
        <a:xfrm>
          <a:off x="9197027" y="14630595"/>
          <a:ext cx="950128" cy="488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cs typeface="Calibri"/>
            </a:rPr>
            <a:pPr/>
            <a:t>3</a:t>
          </a:fld>
          <a:endParaRPr lang="en-US" sz="2400"/>
        </a:p>
      </xdr:txBody>
    </xdr:sp>
    <xdr:clientData/>
  </xdr:twoCellAnchor>
  <xdr:twoCellAnchor>
    <xdr:from>
      <xdr:col>16</xdr:col>
      <xdr:colOff>80660</xdr:colOff>
      <xdr:row>71</xdr:row>
      <xdr:rowOff>88411</xdr:rowOff>
    </xdr:from>
    <xdr:to>
      <xdr:col>17</xdr:col>
      <xdr:colOff>433271</xdr:colOff>
      <xdr:row>73</xdr:row>
      <xdr:rowOff>96403</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9589095" y="14638194"/>
          <a:ext cx="971046" cy="488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mc:AlternateContent xmlns:mc="http://schemas.openxmlformats.org/markup-compatibility/2006">
    <mc:Choice xmlns:a14="http://schemas.microsoft.com/office/drawing/2010/main" Requires="a14">
      <xdr:twoCellAnchor editAs="oneCell">
        <xdr:from>
          <xdr:col>10</xdr:col>
          <xdr:colOff>397695</xdr:colOff>
          <xdr:row>12</xdr:row>
          <xdr:rowOff>58159</xdr:rowOff>
        </xdr:from>
        <xdr:to>
          <xdr:col>25</xdr:col>
          <xdr:colOff>209669</xdr:colOff>
          <xdr:row>35</xdr:row>
          <xdr:rowOff>134695</xdr:rowOff>
        </xdr:to>
        <xdr:pic>
          <xdr:nvPicPr>
            <xdr:cNvPr id="6" name="Picture 5">
              <a:extLst>
                <a:ext uri="{FF2B5EF4-FFF2-40B4-BE49-F238E27FC236}">
                  <a16:creationId xmlns:a16="http://schemas.microsoft.com/office/drawing/2014/main" id="{534AD5BD-EF99-4BC9-8F71-72077514D072}"/>
                </a:ext>
              </a:extLst>
            </xdr:cNvPr>
            <xdr:cNvPicPr>
              <a:picLocks noChangeAspect="1"/>
              <a:extLst>
                <a:ext uri="{84589F7E-364E-4C9E-8A38-B11213B215E9}">
                  <a14:cameraTool cellRange="SCH" spid="_x0000_s1097"/>
                </a:ext>
              </a:extLst>
            </xdr:cNvPicPr>
          </xdr:nvPicPr>
          <xdr:blipFill>
            <a:blip xmlns:r="http://schemas.openxmlformats.org/officeDocument/2006/relationships" r:embed="rId3"/>
            <a:stretch>
              <a:fillRect/>
            </a:stretch>
          </xdr:blipFill>
          <xdr:spPr>
            <a:xfrm>
              <a:off x="6348019" y="2691541"/>
              <a:ext cx="8750234" cy="4469018"/>
            </a:xfrm>
            <a:prstGeom prst="rect">
              <a:avLst/>
            </a:prstGeom>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10</xdr:col>
      <xdr:colOff>451597</xdr:colOff>
      <xdr:row>179</xdr:row>
      <xdr:rowOff>177800</xdr:rowOff>
    </xdr:from>
    <xdr:to>
      <xdr:col>16</xdr:col>
      <xdr:colOff>350744</xdr:colOff>
      <xdr:row>182</xdr:row>
      <xdr:rowOff>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037047" y="33204150"/>
          <a:ext cx="3810747" cy="440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Need to explain the placement of the Zero</a:t>
          </a:r>
          <a:r>
            <a:rPr lang="en-US" sz="1100" baseline="0"/>
            <a:t> a little bit better. The pole location should also be based on the location of the zero</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57150</xdr:colOff>
          <xdr:row>110</xdr:row>
          <xdr:rowOff>0</xdr:rowOff>
        </xdr:from>
        <xdr:to>
          <xdr:col>13</xdr:col>
          <xdr:colOff>19050</xdr:colOff>
          <xdr:row>112</xdr:row>
          <xdr:rowOff>28575</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9</xdr:col>
      <xdr:colOff>19051</xdr:colOff>
      <xdr:row>149</xdr:row>
      <xdr:rowOff>17931</xdr:rowOff>
    </xdr:from>
    <xdr:to>
      <xdr:col>14</xdr:col>
      <xdr:colOff>583081</xdr:colOff>
      <xdr:row>157</xdr:row>
      <xdr:rowOff>107951</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994901" y="27335631"/>
          <a:ext cx="3866030" cy="1563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Loop</a:t>
          </a:r>
          <a:r>
            <a:rPr lang="en-US" sz="1100" baseline="0"/>
            <a:t> compensation is calculated for the minimum input voltage. This ensure stability over the input votlage range</a:t>
          </a:r>
        </a:p>
        <a:p>
          <a:endParaRPr lang="en-US" sz="1100" baseline="0"/>
        </a:p>
        <a:p>
          <a:r>
            <a:rPr lang="en-US" sz="1100" b="1" baseline="0"/>
            <a:t>Includes the effect of slope compensation. To help with the calculations the applicaiton note detailing component selection does not include loop compensation</a:t>
          </a:r>
          <a:endParaRPr lang="en-US" sz="1100" b="1"/>
        </a:p>
      </xdr:txBody>
    </xdr:sp>
    <xdr:clientData/>
  </xdr:twoCellAnchor>
  <xdr:twoCellAnchor>
    <xdr:from>
      <xdr:col>3</xdr:col>
      <xdr:colOff>660400</xdr:colOff>
      <xdr:row>182</xdr:row>
      <xdr:rowOff>165100</xdr:rowOff>
    </xdr:from>
    <xdr:to>
      <xdr:col>9</xdr:col>
      <xdr:colOff>311150</xdr:colOff>
      <xdr:row>186</xdr:row>
      <xdr:rowOff>88900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794250" y="33928050"/>
          <a:ext cx="5492750" cy="66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Flexible</a:t>
          </a:r>
          <a:r>
            <a:rPr lang="en-US" sz="1100" baseline="0"/>
            <a:t> equations see the MathCad file for these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76</xdr:col>
      <xdr:colOff>197810</xdr:colOff>
      <xdr:row>6</xdr:row>
      <xdr:rowOff>107149</xdr:rowOff>
    </xdr:from>
    <xdr:to>
      <xdr:col>85</xdr:col>
      <xdr:colOff>2406</xdr:colOff>
      <xdr:row>25</xdr:row>
      <xdr:rowOff>110908</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228022</xdr:colOff>
      <xdr:row>12</xdr:row>
      <xdr:rowOff>102466</xdr:rowOff>
    </xdr:from>
    <xdr:to>
      <xdr:col>66</xdr:col>
      <xdr:colOff>96573</xdr:colOff>
      <xdr:row>37</xdr:row>
      <xdr:rowOff>156894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1051560</xdr:colOff>
      <xdr:row>49</xdr:row>
      <xdr:rowOff>45720</xdr:rowOff>
    </xdr:from>
    <xdr:to>
      <xdr:col>25</xdr:col>
      <xdr:colOff>563880</xdr:colOff>
      <xdr:row>73</xdr:row>
      <xdr:rowOff>19050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45</xdr:col>
      <xdr:colOff>186690</xdr:colOff>
      <xdr:row>39</xdr:row>
      <xdr:rowOff>167640</xdr:rowOff>
    </xdr:from>
    <xdr:to>
      <xdr:col>47</xdr:col>
      <xdr:colOff>515248</xdr:colOff>
      <xdr:row>45</xdr:row>
      <xdr:rowOff>69931</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21541740" y="5482590"/>
          <a:ext cx="1840230" cy="1045293"/>
        </a:xfrm>
        <a:prstGeom prst="rect">
          <a:avLst/>
        </a:prstGeom>
      </xdr:spPr>
    </xdr:pic>
    <xdr:clientData/>
  </xdr:twoCellAnchor>
  <xdr:twoCellAnchor editAs="oneCell">
    <xdr:from>
      <xdr:col>47</xdr:col>
      <xdr:colOff>247650</xdr:colOff>
      <xdr:row>40</xdr:row>
      <xdr:rowOff>60960</xdr:rowOff>
    </xdr:from>
    <xdr:to>
      <xdr:col>51</xdr:col>
      <xdr:colOff>567929</xdr:colOff>
      <xdr:row>44</xdr:row>
      <xdr:rowOff>129611</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xfrm>
          <a:off x="23888700" y="5566410"/>
          <a:ext cx="2758679" cy="830649"/>
        </a:xfrm>
        <a:prstGeom prst="rect">
          <a:avLst/>
        </a:prstGeom>
      </xdr:spPr>
    </xdr:pic>
    <xdr:clientData/>
  </xdr:twoCellAnchor>
  <xdr:twoCellAnchor>
    <xdr:from>
      <xdr:col>44</xdr:col>
      <xdr:colOff>30480</xdr:colOff>
      <xdr:row>49</xdr:row>
      <xdr:rowOff>64770</xdr:rowOff>
    </xdr:from>
    <xdr:to>
      <xdr:col>55</xdr:col>
      <xdr:colOff>144780</xdr:colOff>
      <xdr:row>73</xdr:row>
      <xdr:rowOff>38100</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7620</xdr:colOff>
      <xdr:row>21</xdr:row>
      <xdr:rowOff>121920</xdr:rowOff>
    </xdr:from>
    <xdr:to>
      <xdr:col>26</xdr:col>
      <xdr:colOff>45720</xdr:colOff>
      <xdr:row>45</xdr:row>
      <xdr:rowOff>80010</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8325</xdr:colOff>
      <xdr:row>36</xdr:row>
      <xdr:rowOff>8964</xdr:rowOff>
    </xdr:from>
    <xdr:to>
      <xdr:col>11</xdr:col>
      <xdr:colOff>591031</xdr:colOff>
      <xdr:row>44</xdr:row>
      <xdr:rowOff>131269</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6289382" y="5952564"/>
          <a:ext cx="2411506" cy="1602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0</xdr:colOff>
      <xdr:row>53</xdr:row>
      <xdr:rowOff>13855</xdr:rowOff>
    </xdr:from>
    <xdr:to>
      <xdr:col>12</xdr:col>
      <xdr:colOff>83127</xdr:colOff>
      <xdr:row>64</xdr:row>
      <xdr:rowOff>13855</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6276109" y="8936182"/>
          <a:ext cx="2521527"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error amplifier is the same regardless of the mode of operation</a:t>
          </a:r>
        </a:p>
      </xdr:txBody>
    </xdr:sp>
    <xdr:clientData/>
  </xdr:twoCellAnchor>
  <xdr:twoCellAnchor>
    <xdr:from>
      <xdr:col>31</xdr:col>
      <xdr:colOff>313764</xdr:colOff>
      <xdr:row>48</xdr:row>
      <xdr:rowOff>179295</xdr:rowOff>
    </xdr:from>
    <xdr:to>
      <xdr:col>42</xdr:col>
      <xdr:colOff>438673</xdr:colOff>
      <xdr:row>72</xdr:row>
      <xdr:rowOff>152625</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0</xdr:colOff>
      <xdr:row>22</xdr:row>
      <xdr:rowOff>0</xdr:rowOff>
    </xdr:from>
    <xdr:to>
      <xdr:col>42</xdr:col>
      <xdr:colOff>97865</xdr:colOff>
      <xdr:row>45</xdr:row>
      <xdr:rowOff>144855</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0</xdr:colOff>
      <xdr:row>22</xdr:row>
      <xdr:rowOff>0</xdr:rowOff>
    </xdr:from>
    <xdr:to>
      <xdr:col>55</xdr:col>
      <xdr:colOff>269688</xdr:colOff>
      <xdr:row>45</xdr:row>
      <xdr:rowOff>144855</xdr:rowOff>
    </xdr:to>
    <xdr:graphicFrame macro="">
      <xdr:nvGraphicFramePr>
        <xdr:cNvPr id="16" name="Chart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548640</xdr:colOff>
      <xdr:row>8</xdr:row>
      <xdr:rowOff>0</xdr:rowOff>
    </xdr:from>
    <xdr:to>
      <xdr:col>12</xdr:col>
      <xdr:colOff>449580</xdr:colOff>
      <xdr:row>10</xdr:row>
      <xdr:rowOff>123546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69480" y="1638300"/>
          <a:ext cx="2948940" cy="489306"/>
        </a:xfrm>
        <a:prstGeom prst="rect">
          <a:avLst/>
        </a:prstGeom>
      </xdr:spPr>
    </xdr:pic>
    <xdr:clientData/>
  </xdr:twoCellAnchor>
  <xdr:twoCellAnchor editAs="oneCell">
    <xdr:from>
      <xdr:col>8</xdr:col>
      <xdr:colOff>7620</xdr:colOff>
      <xdr:row>12</xdr:row>
      <xdr:rowOff>132742</xdr:rowOff>
    </xdr:from>
    <xdr:to>
      <xdr:col>13</xdr:col>
      <xdr:colOff>350520</xdr:colOff>
      <xdr:row>16</xdr:row>
      <xdr:rowOff>76286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338060" y="2502562"/>
          <a:ext cx="3390900" cy="675064"/>
        </a:xfrm>
        <a:prstGeom prst="rect">
          <a:avLst/>
        </a:prstGeom>
      </xdr:spPr>
    </xdr:pic>
    <xdr:clientData/>
  </xdr:twoCellAnchor>
  <xdr:twoCellAnchor>
    <xdr:from>
      <xdr:col>6</xdr:col>
      <xdr:colOff>507999</xdr:colOff>
      <xdr:row>37</xdr:row>
      <xdr:rowOff>44824</xdr:rowOff>
    </xdr:from>
    <xdr:to>
      <xdr:col>12</xdr:col>
      <xdr:colOff>530411</xdr:colOff>
      <xdr:row>43</xdr:row>
      <xdr:rowOff>164354</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6716058" y="6940177"/>
          <a:ext cx="3697941" cy="1240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Specific</a:t>
          </a:r>
          <a:r>
            <a:rPr lang="en-US" sz="1100" baseline="0"/>
            <a:t> to the LM5123 and LM5152. See datasheet for details</a:t>
          </a:r>
        </a:p>
        <a:p>
          <a:endParaRPr lang="en-US" sz="1100" baseline="0"/>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9157</xdr:colOff>
      <xdr:row>3</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2</xdr:col>
          <xdr:colOff>28575</xdr:colOff>
          <xdr:row>2</xdr:row>
          <xdr:rowOff>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600-000002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2</xdr:col>
          <xdr:colOff>28575</xdr:colOff>
          <xdr:row>5</xdr:row>
          <xdr:rowOff>9525</xdr:rowOff>
        </xdr:to>
        <xdr:sp macro="" textlink="">
          <xdr:nvSpPr>
            <xdr:cNvPr id="10243" name="Object 3" hidden="1">
              <a:extLst>
                <a:ext uri="{63B3BB69-23CF-44E3-9099-C40C66FF867C}">
                  <a14:compatExt spid="_x0000_s10243"/>
                </a:ext>
                <a:ext uri="{FF2B5EF4-FFF2-40B4-BE49-F238E27FC236}">
                  <a16:creationId xmlns:a16="http://schemas.microsoft.com/office/drawing/2014/main" id="{00000000-0008-0000-0600-000003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2</xdr:col>
          <xdr:colOff>28575</xdr:colOff>
          <xdr:row>7</xdr:row>
          <xdr:rowOff>9525</xdr:rowOff>
        </xdr:to>
        <xdr:sp macro="" textlink="">
          <xdr:nvSpPr>
            <xdr:cNvPr id="10246" name="Object 6" hidden="1">
              <a:extLst>
                <a:ext uri="{63B3BB69-23CF-44E3-9099-C40C66FF867C}">
                  <a14:compatExt spid="_x0000_s10246"/>
                </a:ext>
                <a:ext uri="{FF2B5EF4-FFF2-40B4-BE49-F238E27FC236}">
                  <a16:creationId xmlns:a16="http://schemas.microsoft.com/office/drawing/2014/main" id="{00000000-0008-0000-0600-000006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package" Target="../embeddings/Microsoft_Visio_Drawing2.vsdx"/><Relationship Id="rId3" Type="http://schemas.openxmlformats.org/officeDocument/2006/relationships/vmlDrawing" Target="../drawings/vmlDrawing5.vml"/><Relationship Id="rId7" Type="http://schemas.openxmlformats.org/officeDocument/2006/relationships/image" Target="../media/image9.emf"/><Relationship Id="rId2" Type="http://schemas.openxmlformats.org/officeDocument/2006/relationships/drawing" Target="../drawings/drawing7.xml"/><Relationship Id="rId1" Type="http://schemas.openxmlformats.org/officeDocument/2006/relationships/printerSettings" Target="../printerSettings/printerSettings6.bin"/><Relationship Id="rId6" Type="http://schemas.openxmlformats.org/officeDocument/2006/relationships/package" Target="../embeddings/Microsoft_Visio_Drawing1.vsdx"/><Relationship Id="rId5" Type="http://schemas.openxmlformats.org/officeDocument/2006/relationships/image" Target="../media/image8.emf"/><Relationship Id="rId4" Type="http://schemas.openxmlformats.org/officeDocument/2006/relationships/package" Target="../embeddings/Microsoft_Visio_Drawing.vsdx"/><Relationship Id="rId9" Type="http://schemas.openxmlformats.org/officeDocument/2006/relationships/image" Target="../media/image10.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AA98"/>
  <sheetViews>
    <sheetView tabSelected="1" topLeftCell="A60" zoomScale="85" zoomScaleNormal="85" workbookViewId="0">
      <selection activeCell="H76" sqref="H76"/>
    </sheetView>
  </sheetViews>
  <sheetFormatPr defaultColWidth="8.85546875" defaultRowHeight="15" x14ac:dyDescent="0.25"/>
  <cols>
    <col min="1" max="6" width="8.85546875" style="91" customWidth="1"/>
    <col min="7" max="7" width="8.85546875" style="131" customWidth="1"/>
    <col min="8" max="8" width="12" style="91" bestFit="1" customWidth="1"/>
    <col min="9" max="9" width="8.28515625" style="91" bestFit="1" customWidth="1"/>
    <col min="10" max="10" width="4.85546875" style="91" customWidth="1"/>
    <col min="11" max="21" width="8.85546875" style="91" customWidth="1"/>
    <col min="22" max="22" width="7.140625" style="91" customWidth="1"/>
    <col min="23" max="26" width="8.85546875" style="91" customWidth="1"/>
    <col min="27" max="27" width="1.85546875" style="132" customWidth="1"/>
    <col min="28" max="16384" width="8.85546875" style="91"/>
  </cols>
  <sheetData>
    <row r="1" spans="1:27" ht="46.7" customHeight="1" x14ac:dyDescent="0.25">
      <c r="A1" s="87"/>
      <c r="B1" s="87"/>
      <c r="C1" s="87"/>
      <c r="D1" s="87"/>
      <c r="E1" s="88" t="s">
        <v>517</v>
      </c>
      <c r="F1" s="87"/>
      <c r="G1" s="89"/>
      <c r="H1" s="87"/>
      <c r="I1" s="87"/>
      <c r="J1" s="87"/>
      <c r="K1" s="87"/>
      <c r="L1" s="87"/>
      <c r="M1" s="87"/>
      <c r="N1" s="87"/>
      <c r="O1" s="87"/>
      <c r="P1" s="87"/>
      <c r="Q1" s="87"/>
      <c r="R1" s="87"/>
      <c r="S1" s="87"/>
      <c r="T1" s="87"/>
      <c r="U1" s="87"/>
      <c r="V1" s="87"/>
      <c r="W1" s="87"/>
      <c r="X1" s="87"/>
      <c r="Y1" s="87"/>
      <c r="Z1" s="87"/>
      <c r="AA1" s="90"/>
    </row>
    <row r="2" spans="1:27" x14ac:dyDescent="0.25">
      <c r="A2" s="92"/>
      <c r="B2" s="92"/>
      <c r="C2" s="92"/>
      <c r="D2" s="92"/>
      <c r="E2" s="92"/>
      <c r="F2" s="92"/>
      <c r="G2" s="93"/>
      <c r="H2" s="92"/>
      <c r="I2" s="92"/>
      <c r="J2" s="92"/>
      <c r="K2" s="92"/>
      <c r="L2" s="92"/>
      <c r="M2" s="92"/>
      <c r="N2" s="92"/>
      <c r="O2" s="92"/>
      <c r="P2" s="92"/>
      <c r="Q2" s="92"/>
      <c r="R2" s="92"/>
      <c r="S2" s="92"/>
      <c r="T2" s="92"/>
      <c r="U2" s="92"/>
      <c r="V2" s="92"/>
      <c r="W2" s="92"/>
      <c r="X2" s="92"/>
      <c r="Y2" s="92"/>
      <c r="Z2" s="92"/>
      <c r="AA2" s="90"/>
    </row>
    <row r="3" spans="1:27" x14ac:dyDescent="0.25">
      <c r="A3" s="94" t="s">
        <v>1</v>
      </c>
      <c r="B3" s="92"/>
      <c r="C3" s="92"/>
      <c r="D3" s="92"/>
      <c r="E3" s="95"/>
      <c r="F3" s="96" t="s">
        <v>2</v>
      </c>
      <c r="G3" s="93"/>
      <c r="H3" s="92"/>
      <c r="I3" s="92"/>
      <c r="J3" s="92"/>
      <c r="K3" s="92"/>
      <c r="L3" s="92"/>
      <c r="M3" s="92"/>
      <c r="N3" s="92"/>
      <c r="O3" s="97" t="s">
        <v>0</v>
      </c>
      <c r="P3" s="92"/>
      <c r="Q3" s="92"/>
      <c r="R3" s="92"/>
      <c r="S3" s="92"/>
      <c r="T3" s="92"/>
      <c r="U3" s="92"/>
      <c r="V3" s="92"/>
      <c r="W3" s="92"/>
      <c r="X3" s="92"/>
      <c r="Y3" s="92"/>
      <c r="Z3" s="92"/>
      <c r="AA3" s="90"/>
    </row>
    <row r="4" spans="1:27" s="101" customFormat="1" x14ac:dyDescent="0.25">
      <c r="A4" s="98"/>
      <c r="B4" s="98"/>
      <c r="C4" s="98"/>
      <c r="D4" s="98"/>
      <c r="E4" s="98"/>
      <c r="F4" s="98"/>
      <c r="G4" s="99"/>
      <c r="H4" s="98"/>
      <c r="I4" s="98"/>
      <c r="J4" s="98"/>
      <c r="K4" s="98"/>
      <c r="L4" s="98"/>
      <c r="M4" s="98"/>
      <c r="N4" s="98"/>
      <c r="O4" s="98"/>
      <c r="P4" s="98"/>
      <c r="Q4" s="98"/>
      <c r="R4" s="98"/>
      <c r="S4" s="98"/>
      <c r="T4" s="98"/>
      <c r="U4" s="98"/>
      <c r="V4" s="98"/>
      <c r="W4" s="98"/>
      <c r="X4" s="98"/>
      <c r="Y4" s="98"/>
      <c r="Z4" s="98"/>
      <c r="AA4" s="100"/>
    </row>
    <row r="5" spans="1:27" x14ac:dyDescent="0.25">
      <c r="A5" s="102"/>
      <c r="B5" s="102"/>
      <c r="C5" s="102"/>
      <c r="D5" s="102"/>
      <c r="E5" s="102"/>
      <c r="F5" s="102"/>
      <c r="G5" s="103"/>
      <c r="H5" s="102"/>
      <c r="I5" s="102"/>
      <c r="J5" s="102"/>
      <c r="K5" s="102"/>
      <c r="L5" s="102"/>
      <c r="M5" s="102"/>
      <c r="N5" s="102"/>
      <c r="O5" s="102" t="s">
        <v>608</v>
      </c>
      <c r="P5" s="104" t="s">
        <v>609</v>
      </c>
      <c r="Q5" s="102"/>
      <c r="R5" s="102"/>
      <c r="S5" s="102"/>
      <c r="T5" s="102"/>
      <c r="U5" s="102"/>
      <c r="V5" s="102"/>
      <c r="W5" s="102"/>
      <c r="X5" s="102"/>
      <c r="Y5" s="102"/>
      <c r="Z5" s="102"/>
      <c r="AA5" s="90"/>
    </row>
    <row r="6" spans="1:27" ht="15.75" thickBot="1" x14ac:dyDescent="0.3">
      <c r="A6" s="117" t="s">
        <v>3</v>
      </c>
      <c r="B6" s="102"/>
      <c r="C6" s="102"/>
      <c r="D6" s="102"/>
      <c r="E6" s="102"/>
      <c r="F6" s="102"/>
      <c r="G6" s="103"/>
      <c r="H6" s="102"/>
      <c r="I6" s="102"/>
      <c r="J6" s="102"/>
      <c r="K6" s="102"/>
      <c r="L6" s="102"/>
      <c r="M6" s="102"/>
      <c r="N6" s="102"/>
      <c r="O6" s="102"/>
      <c r="P6" s="102"/>
      <c r="Q6" s="102"/>
      <c r="R6" s="102"/>
      <c r="S6" s="102"/>
      <c r="T6" s="102"/>
      <c r="U6" s="102"/>
      <c r="V6" s="102"/>
      <c r="W6" s="102"/>
      <c r="X6" s="102"/>
      <c r="Y6" s="102"/>
      <c r="Z6" s="102"/>
      <c r="AA6" s="90"/>
    </row>
    <row r="7" spans="1:27" x14ac:dyDescent="0.25">
      <c r="A7" s="105"/>
      <c r="B7" s="106"/>
      <c r="C7" s="106"/>
      <c r="D7" s="106"/>
      <c r="E7" s="106"/>
      <c r="F7" s="106"/>
      <c r="G7" s="107" t="s">
        <v>4</v>
      </c>
      <c r="H7" s="133">
        <v>10</v>
      </c>
      <c r="I7" s="108" t="s">
        <v>10</v>
      </c>
      <c r="J7" s="102"/>
      <c r="K7" s="102"/>
      <c r="L7" s="102"/>
      <c r="M7" s="102"/>
      <c r="N7" s="102"/>
      <c r="O7" s="102"/>
      <c r="P7" s="102"/>
      <c r="Q7" s="102"/>
      <c r="R7" s="102"/>
      <c r="S7" s="102"/>
      <c r="T7" s="102"/>
      <c r="U7" s="102"/>
      <c r="V7" s="102"/>
      <c r="W7" s="102"/>
      <c r="X7" s="102"/>
      <c r="Y7" s="102"/>
      <c r="Z7" s="102"/>
      <c r="AA7" s="90"/>
    </row>
    <row r="8" spans="1:27" x14ac:dyDescent="0.25">
      <c r="A8" s="109"/>
      <c r="B8" s="102"/>
      <c r="C8" s="102"/>
      <c r="D8" s="102"/>
      <c r="E8" s="102"/>
      <c r="F8" s="102"/>
      <c r="G8" s="110" t="s">
        <v>5</v>
      </c>
      <c r="H8" s="134">
        <v>3</v>
      </c>
      <c r="I8" s="111" t="s">
        <v>10</v>
      </c>
      <c r="J8" s="102"/>
      <c r="K8" s="102"/>
      <c r="L8" s="102"/>
      <c r="M8" s="102"/>
      <c r="N8" s="102"/>
      <c r="O8" s="102"/>
      <c r="P8" s="102"/>
      <c r="Q8" s="102"/>
      <c r="R8" s="102"/>
      <c r="S8" s="102"/>
      <c r="T8" s="102"/>
      <c r="U8" s="102"/>
      <c r="V8" s="102"/>
      <c r="W8" s="102"/>
      <c r="X8" s="102"/>
      <c r="Y8" s="102"/>
      <c r="Z8" s="102"/>
      <c r="AA8" s="90"/>
    </row>
    <row r="9" spans="1:27" x14ac:dyDescent="0.25">
      <c r="A9" s="109"/>
      <c r="B9" s="102"/>
      <c r="C9" s="102"/>
      <c r="D9" s="102"/>
      <c r="E9" s="102"/>
      <c r="F9" s="102"/>
      <c r="G9" s="110" t="s">
        <v>6</v>
      </c>
      <c r="H9" s="134">
        <v>16</v>
      </c>
      <c r="I9" s="111" t="s">
        <v>10</v>
      </c>
      <c r="J9" s="102"/>
      <c r="K9" s="102"/>
      <c r="L9" s="102"/>
      <c r="M9" s="102"/>
      <c r="N9" s="102"/>
      <c r="O9" s="102"/>
      <c r="P9" s="102"/>
      <c r="Q9" s="102"/>
      <c r="R9" s="102"/>
      <c r="S9" s="102"/>
      <c r="T9" s="102"/>
      <c r="U9" s="102"/>
      <c r="V9" s="102"/>
      <c r="W9" s="102"/>
      <c r="X9" s="102"/>
      <c r="Y9" s="102"/>
      <c r="Z9" s="102"/>
      <c r="AA9" s="90"/>
    </row>
    <row r="10" spans="1:27" x14ac:dyDescent="0.25">
      <c r="A10" s="109"/>
      <c r="B10" s="102"/>
      <c r="C10" s="102"/>
      <c r="D10" s="102"/>
      <c r="E10" s="102"/>
      <c r="F10" s="102"/>
      <c r="G10" s="110" t="s">
        <v>7</v>
      </c>
      <c r="H10" s="134">
        <v>50</v>
      </c>
      <c r="I10" s="111" t="s">
        <v>10</v>
      </c>
      <c r="J10" s="102"/>
      <c r="K10" s="102"/>
      <c r="L10" s="102"/>
      <c r="M10" s="102"/>
      <c r="N10" s="102"/>
      <c r="O10" s="102"/>
      <c r="P10" s="102"/>
      <c r="Q10" s="102"/>
      <c r="R10" s="102"/>
      <c r="S10" s="102"/>
      <c r="T10" s="102"/>
      <c r="U10" s="102"/>
      <c r="V10" s="102"/>
      <c r="W10" s="102"/>
      <c r="X10" s="102"/>
      <c r="Y10" s="102"/>
      <c r="Z10" s="102"/>
      <c r="AA10" s="90"/>
    </row>
    <row r="11" spans="1:27" x14ac:dyDescent="0.25">
      <c r="A11" s="109"/>
      <c r="B11" s="102"/>
      <c r="C11" s="102"/>
      <c r="D11" s="102"/>
      <c r="E11" s="102"/>
      <c r="F11" s="102"/>
      <c r="G11" s="110" t="s">
        <v>8</v>
      </c>
      <c r="H11" s="210">
        <v>4.5</v>
      </c>
      <c r="I11" s="111" t="s">
        <v>11</v>
      </c>
      <c r="J11" s="102"/>
      <c r="K11" s="102"/>
      <c r="L11" s="102"/>
      <c r="M11" s="102"/>
      <c r="N11" s="102"/>
      <c r="O11" s="102"/>
      <c r="P11" s="102"/>
      <c r="Q11" s="102"/>
      <c r="R11" s="102"/>
      <c r="S11" s="102"/>
      <c r="T11" s="102"/>
      <c r="U11" s="102"/>
      <c r="V11" s="102"/>
      <c r="W11" s="102"/>
      <c r="X11" s="102"/>
      <c r="Y11" s="102"/>
      <c r="Z11" s="102"/>
      <c r="AA11" s="90"/>
    </row>
    <row r="12" spans="1:27" x14ac:dyDescent="0.25">
      <c r="A12" s="109"/>
      <c r="B12" s="102"/>
      <c r="C12" s="102"/>
      <c r="D12" s="102"/>
      <c r="E12" s="102"/>
      <c r="F12" s="102"/>
      <c r="G12" s="110" t="s">
        <v>521</v>
      </c>
      <c r="H12" s="211" t="s">
        <v>607</v>
      </c>
      <c r="I12" s="212"/>
      <c r="J12" s="102"/>
      <c r="K12" s="102"/>
      <c r="L12" s="102"/>
      <c r="M12" s="102"/>
      <c r="N12" s="102"/>
      <c r="O12" s="102"/>
      <c r="P12" s="102"/>
      <c r="Q12" s="102"/>
      <c r="R12" s="102"/>
      <c r="S12" s="102"/>
      <c r="T12" s="102"/>
      <c r="U12" s="102"/>
      <c r="V12" s="102"/>
      <c r="W12" s="102"/>
      <c r="X12" s="102"/>
      <c r="Y12" s="102"/>
      <c r="Z12" s="102"/>
      <c r="AA12" s="90"/>
    </row>
    <row r="13" spans="1:27" x14ac:dyDescent="0.25">
      <c r="A13" s="109"/>
      <c r="B13" s="102"/>
      <c r="C13" s="102"/>
      <c r="D13" s="102"/>
      <c r="E13" s="102"/>
      <c r="F13" s="102"/>
      <c r="G13" s="110" t="s">
        <v>9</v>
      </c>
      <c r="H13" s="134">
        <v>440</v>
      </c>
      <c r="I13" s="111" t="s">
        <v>12</v>
      </c>
      <c r="J13" s="102"/>
      <c r="K13" s="102"/>
      <c r="L13" s="102"/>
      <c r="M13" s="102"/>
      <c r="N13" s="102"/>
      <c r="O13" s="102"/>
      <c r="P13" s="102"/>
      <c r="Q13" s="102"/>
      <c r="R13" s="102"/>
      <c r="S13" s="102"/>
      <c r="T13" s="102"/>
      <c r="U13" s="102"/>
      <c r="V13" s="102"/>
      <c r="W13" s="102"/>
      <c r="X13" s="102"/>
      <c r="Y13" s="102"/>
      <c r="Z13" s="102"/>
      <c r="AA13" s="90"/>
    </row>
    <row r="14" spans="1:27" x14ac:dyDescent="0.25">
      <c r="A14" s="109"/>
      <c r="B14" s="102"/>
      <c r="C14" s="102"/>
      <c r="D14" s="102"/>
      <c r="E14" s="102"/>
      <c r="F14" s="102"/>
      <c r="G14" s="110" t="s">
        <v>70</v>
      </c>
      <c r="H14" s="135">
        <f>RT/1000</f>
        <v>49.272272727272728</v>
      </c>
      <c r="I14" s="111" t="s">
        <v>71</v>
      </c>
      <c r="J14" s="102"/>
      <c r="K14" s="102"/>
      <c r="L14" s="102"/>
      <c r="M14" s="102"/>
      <c r="N14" s="102"/>
      <c r="O14" s="102"/>
      <c r="P14" s="102"/>
      <c r="Q14" s="102"/>
      <c r="R14" s="102"/>
      <c r="S14" s="102"/>
      <c r="T14" s="102"/>
      <c r="U14" s="102"/>
      <c r="V14" s="102"/>
      <c r="W14" s="102"/>
      <c r="X14" s="102"/>
      <c r="Y14" s="102"/>
      <c r="Z14" s="102"/>
      <c r="AA14" s="90"/>
    </row>
    <row r="15" spans="1:27" x14ac:dyDescent="0.25">
      <c r="A15" s="109"/>
      <c r="B15" s="102"/>
      <c r="C15" s="102"/>
      <c r="D15" s="102"/>
      <c r="E15" s="102"/>
      <c r="F15" s="102"/>
      <c r="G15" s="110" t="s">
        <v>14</v>
      </c>
      <c r="H15" s="163">
        <f>POUT</f>
        <v>225</v>
      </c>
      <c r="I15" s="111" t="s">
        <v>38</v>
      </c>
      <c r="J15" s="102"/>
      <c r="K15" s="102"/>
      <c r="L15" s="102"/>
      <c r="M15" s="102"/>
      <c r="N15" s="102"/>
      <c r="O15" s="102"/>
      <c r="P15" s="102"/>
      <c r="Q15" s="102"/>
      <c r="R15" s="102"/>
      <c r="S15" s="102"/>
      <c r="T15" s="102"/>
      <c r="U15" s="102"/>
      <c r="V15" s="102"/>
      <c r="W15" s="102"/>
      <c r="X15" s="102"/>
      <c r="Y15" s="102"/>
      <c r="Z15" s="102"/>
      <c r="AA15" s="90"/>
    </row>
    <row r="16" spans="1:27" x14ac:dyDescent="0.25">
      <c r="A16" s="112"/>
      <c r="B16" s="113"/>
      <c r="C16" s="113"/>
      <c r="D16" s="113"/>
      <c r="E16" s="113"/>
      <c r="F16" s="102"/>
      <c r="G16" s="114" t="s">
        <v>516</v>
      </c>
      <c r="H16" s="163">
        <f>Dc_max_IC*100</f>
        <v>88</v>
      </c>
      <c r="I16" s="111" t="s">
        <v>13</v>
      </c>
      <c r="J16" s="102"/>
      <c r="K16" s="102"/>
      <c r="L16" s="102"/>
      <c r="M16" s="102"/>
      <c r="N16" s="102"/>
      <c r="O16" s="102"/>
      <c r="P16" s="102"/>
      <c r="Q16" s="102"/>
      <c r="R16" s="102"/>
      <c r="S16" s="102"/>
      <c r="T16" s="102"/>
      <c r="U16" s="102"/>
      <c r="V16" s="102"/>
      <c r="W16" s="102"/>
      <c r="X16" s="102"/>
      <c r="Y16" s="102"/>
      <c r="Z16" s="102"/>
      <c r="AA16" s="90"/>
    </row>
    <row r="17" spans="1:27" ht="15.75" thickBot="1" x14ac:dyDescent="0.3">
      <c r="A17" s="161"/>
      <c r="B17" s="162"/>
      <c r="C17" s="162"/>
      <c r="D17" s="162"/>
      <c r="E17" s="162"/>
      <c r="F17" s="115"/>
      <c r="G17" s="204" t="s">
        <v>414</v>
      </c>
      <c r="H17" s="205">
        <f>Variable_Management!B22*100</f>
        <v>80</v>
      </c>
      <c r="I17" s="116" t="s">
        <v>13</v>
      </c>
      <c r="J17" s="102"/>
      <c r="K17" s="102"/>
      <c r="L17" s="102"/>
      <c r="M17" s="102"/>
      <c r="N17" s="102"/>
      <c r="O17" s="102"/>
      <c r="P17" s="102"/>
      <c r="Q17" s="102"/>
      <c r="R17" s="102"/>
      <c r="S17" s="102"/>
      <c r="T17" s="102"/>
      <c r="U17" s="102"/>
      <c r="V17" s="102"/>
      <c r="W17" s="102"/>
      <c r="X17" s="102"/>
      <c r="Y17" s="102"/>
      <c r="Z17" s="102"/>
      <c r="AA17" s="90"/>
    </row>
    <row r="18" spans="1:27" x14ac:dyDescent="0.25">
      <c r="A18" s="113"/>
      <c r="B18" s="113"/>
      <c r="C18" s="113"/>
      <c r="D18" s="113"/>
      <c r="E18" s="113"/>
      <c r="F18" s="102"/>
      <c r="G18" s="103"/>
      <c r="H18" s="102"/>
      <c r="I18" s="102"/>
      <c r="J18" s="102"/>
      <c r="K18" s="102"/>
      <c r="L18" s="102"/>
      <c r="M18" s="102"/>
      <c r="N18" s="102"/>
      <c r="O18" s="102"/>
      <c r="P18" s="102"/>
      <c r="Q18" s="102"/>
      <c r="R18" s="102"/>
      <c r="S18" s="102"/>
      <c r="T18" s="102"/>
      <c r="U18" s="102"/>
      <c r="V18" s="102"/>
      <c r="W18" s="102"/>
      <c r="X18" s="102"/>
      <c r="Y18" s="102"/>
      <c r="Z18" s="102"/>
      <c r="AA18" s="90"/>
    </row>
    <row r="19" spans="1:27" ht="15.75" thickBot="1" x14ac:dyDescent="0.3">
      <c r="A19" s="117" t="s">
        <v>72</v>
      </c>
      <c r="B19" s="113"/>
      <c r="C19" s="113"/>
      <c r="D19" s="113"/>
      <c r="E19" s="113"/>
      <c r="F19" s="102"/>
      <c r="G19" s="103"/>
      <c r="H19" s="102"/>
      <c r="I19" s="102"/>
      <c r="J19" s="102"/>
      <c r="K19" s="102"/>
      <c r="L19" s="102"/>
      <c r="M19" s="102"/>
      <c r="N19" s="102"/>
      <c r="O19" s="102"/>
      <c r="P19" s="102"/>
      <c r="Q19" s="102"/>
      <c r="R19" s="102"/>
      <c r="S19" s="102"/>
      <c r="T19" s="102"/>
      <c r="U19" s="102"/>
      <c r="V19" s="102"/>
      <c r="W19" s="102"/>
      <c r="X19" s="102"/>
      <c r="Y19" s="102"/>
      <c r="Z19" s="102"/>
      <c r="AA19" s="90"/>
    </row>
    <row r="20" spans="1:27" ht="18" x14ac:dyDescent="0.35">
      <c r="A20" s="125"/>
      <c r="B20" s="118"/>
      <c r="C20" s="118"/>
      <c r="D20" s="118"/>
      <c r="E20" s="118"/>
      <c r="F20" s="106"/>
      <c r="G20" s="124" t="s">
        <v>524</v>
      </c>
      <c r="H20" s="157" t="str">
        <f>CHOOSE(Variable_Management!B25, "DCM","CCM")</f>
        <v>CCM</v>
      </c>
      <c r="I20" s="108"/>
      <c r="J20" s="102"/>
      <c r="K20" s="102"/>
      <c r="L20" s="102"/>
      <c r="M20" s="102"/>
      <c r="N20" s="102"/>
      <c r="O20" s="102"/>
      <c r="P20" s="102"/>
      <c r="Q20" s="102"/>
      <c r="R20" s="102"/>
      <c r="S20" s="102"/>
      <c r="T20" s="102"/>
      <c r="U20" s="102"/>
      <c r="V20" s="102"/>
      <c r="W20" s="102"/>
      <c r="X20" s="102"/>
      <c r="Y20" s="102"/>
      <c r="Z20" s="102"/>
      <c r="AA20" s="90"/>
    </row>
    <row r="21" spans="1:27" x14ac:dyDescent="0.25">
      <c r="A21" s="112"/>
      <c r="B21" s="113"/>
      <c r="C21" s="113"/>
      <c r="D21" s="113"/>
      <c r="E21" s="113"/>
      <c r="F21" s="102"/>
      <c r="G21" s="110" t="str">
        <f>CHOOSE(Variable_Management!B25,"Maximum duty cycle at the minimum supply voltage","Desired Maximum Inductor Current Ripple Ratio")</f>
        <v>Desired Maximum Inductor Current Ripple Ratio</v>
      </c>
      <c r="H21" s="134">
        <v>20</v>
      </c>
      <c r="I21" s="111" t="s">
        <v>13</v>
      </c>
      <c r="J21" s="102"/>
      <c r="K21" s="102"/>
      <c r="L21" s="102"/>
      <c r="M21" s="102"/>
      <c r="N21" s="102"/>
      <c r="O21" s="102"/>
      <c r="P21" s="102"/>
      <c r="Q21" s="102"/>
      <c r="R21" s="102"/>
      <c r="S21" s="102"/>
      <c r="T21" s="102"/>
      <c r="U21" s="102"/>
      <c r="V21" s="102"/>
      <c r="W21" s="102"/>
      <c r="X21" s="102"/>
      <c r="Y21" s="102"/>
      <c r="Z21" s="102"/>
      <c r="AA21" s="90"/>
    </row>
    <row r="22" spans="1:27" x14ac:dyDescent="0.25">
      <c r="A22" s="109"/>
      <c r="B22" s="102"/>
      <c r="C22" s="102"/>
      <c r="D22" s="102"/>
      <c r="E22" s="102"/>
      <c r="F22" s="102"/>
      <c r="G22" s="110" t="s">
        <v>390</v>
      </c>
      <c r="H22" s="137">
        <f>CHOOSE(Variable_Management!B25,Variable_Management!B45*10^9,Variable_Management!B45*10^6)</f>
        <v>8.7919191919191935</v>
      </c>
      <c r="I22" s="111" t="str">
        <f>CHOOSE(Variable_Management!B25,"nH","uH")</f>
        <v>uH</v>
      </c>
      <c r="J22" s="102"/>
      <c r="K22" s="102"/>
      <c r="L22" s="102"/>
      <c r="M22" s="102"/>
      <c r="N22" s="102"/>
      <c r="O22" s="102"/>
      <c r="P22" s="102"/>
      <c r="Q22" s="102"/>
      <c r="R22" s="102"/>
      <c r="S22" s="102"/>
      <c r="T22" s="102"/>
      <c r="U22" s="102"/>
      <c r="V22" s="102"/>
      <c r="W22" s="102"/>
      <c r="X22" s="102"/>
      <c r="Y22" s="102"/>
      <c r="Z22" s="102"/>
      <c r="AA22" s="90"/>
    </row>
    <row r="23" spans="1:27" x14ac:dyDescent="0.25">
      <c r="A23" s="109"/>
      <c r="B23" s="102"/>
      <c r="C23" s="102"/>
      <c r="D23" s="102"/>
      <c r="E23" s="102"/>
      <c r="F23" s="102"/>
      <c r="G23" s="110" t="s">
        <v>391</v>
      </c>
      <c r="H23" s="134">
        <v>10</v>
      </c>
      <c r="I23" s="111" t="str">
        <f>CHOOSE(Variable_Management!B25,"nH","uH")</f>
        <v>uH</v>
      </c>
      <c r="J23" s="102"/>
      <c r="K23" s="102"/>
      <c r="L23" s="102"/>
      <c r="M23" s="102"/>
      <c r="N23" s="102"/>
      <c r="O23" s="102"/>
      <c r="P23" s="102"/>
      <c r="Q23" s="102"/>
      <c r="R23" s="102"/>
      <c r="S23" s="102"/>
      <c r="T23" s="102"/>
      <c r="U23" s="102"/>
      <c r="V23" s="102"/>
      <c r="W23" s="102"/>
      <c r="X23" s="102"/>
      <c r="Y23" s="102"/>
      <c r="Z23" s="102"/>
      <c r="AA23" s="90"/>
    </row>
    <row r="24" spans="1:27" x14ac:dyDescent="0.25">
      <c r="A24" s="109"/>
      <c r="B24" s="102"/>
      <c r="C24" s="102"/>
      <c r="D24" s="102"/>
      <c r="E24" s="102"/>
      <c r="F24" s="102"/>
      <c r="G24" s="110" t="s">
        <v>76</v>
      </c>
      <c r="H24" s="134">
        <v>7.5</v>
      </c>
      <c r="I24" s="111" t="s">
        <v>92</v>
      </c>
      <c r="J24" s="102"/>
      <c r="K24" s="102"/>
      <c r="L24" s="102"/>
      <c r="M24" s="102"/>
      <c r="N24" s="102"/>
      <c r="O24" s="102"/>
      <c r="P24" s="102"/>
      <c r="Q24" s="102"/>
      <c r="R24" s="102"/>
      <c r="S24" s="102"/>
      <c r="T24" s="102"/>
      <c r="U24" s="102"/>
      <c r="V24" s="102"/>
      <c r="W24" s="102"/>
      <c r="X24" s="102"/>
      <c r="Y24" s="102"/>
      <c r="Z24" s="102"/>
      <c r="AA24" s="90"/>
    </row>
    <row r="25" spans="1:27" ht="15.75" thickBot="1" x14ac:dyDescent="0.3">
      <c r="A25" s="119"/>
      <c r="B25" s="115"/>
      <c r="C25" s="115"/>
      <c r="D25" s="115"/>
      <c r="E25" s="115"/>
      <c r="F25" s="115"/>
      <c r="G25" s="120" t="s">
        <v>93</v>
      </c>
      <c r="H25" s="138">
        <f>ILp_VINmin</f>
        <v>23.40909090909091</v>
      </c>
      <c r="I25" s="116" t="s">
        <v>11</v>
      </c>
      <c r="J25" s="102"/>
      <c r="K25" s="102"/>
      <c r="L25" s="102"/>
      <c r="M25" s="102"/>
      <c r="N25" s="102"/>
      <c r="O25" s="102"/>
      <c r="P25" s="102"/>
      <c r="Q25" s="102"/>
      <c r="R25" s="102"/>
      <c r="S25" s="102"/>
      <c r="T25" s="102"/>
      <c r="U25" s="102"/>
      <c r="V25" s="102"/>
      <c r="W25" s="102"/>
      <c r="X25" s="102"/>
      <c r="Y25" s="102"/>
      <c r="Z25" s="102"/>
      <c r="AA25" s="90"/>
    </row>
    <row r="26" spans="1:27" x14ac:dyDescent="0.25">
      <c r="A26" s="102"/>
      <c r="B26" s="102"/>
      <c r="C26" s="102"/>
      <c r="D26" s="102"/>
      <c r="E26" s="102"/>
      <c r="F26" s="102"/>
      <c r="G26" s="103"/>
      <c r="H26" s="102"/>
      <c r="I26" s="102"/>
      <c r="J26" s="102"/>
      <c r="K26" s="102"/>
      <c r="L26" s="102"/>
      <c r="M26" s="102"/>
      <c r="N26" s="102"/>
      <c r="O26" s="102"/>
      <c r="P26" s="102"/>
      <c r="Q26" s="102"/>
      <c r="R26" s="102"/>
      <c r="S26" s="102"/>
      <c r="T26" s="102"/>
      <c r="U26" s="102"/>
      <c r="V26" s="102"/>
      <c r="W26" s="102"/>
      <c r="X26" s="102"/>
      <c r="Y26" s="102"/>
      <c r="Z26" s="102"/>
      <c r="AA26" s="90"/>
    </row>
    <row r="27" spans="1:27" ht="15.75" thickBot="1" x14ac:dyDescent="0.3">
      <c r="A27" s="117" t="s">
        <v>112</v>
      </c>
      <c r="B27" s="102"/>
      <c r="C27" s="102"/>
      <c r="D27" s="102"/>
      <c r="E27" s="102"/>
      <c r="F27" s="102"/>
      <c r="G27" s="103"/>
      <c r="H27" s="102"/>
      <c r="I27" s="102"/>
      <c r="J27" s="102"/>
      <c r="K27" s="102"/>
      <c r="L27" s="102"/>
      <c r="M27" s="102"/>
      <c r="N27" s="102"/>
      <c r="O27" s="102"/>
      <c r="P27" s="102"/>
      <c r="Q27" s="102"/>
      <c r="R27" s="102"/>
      <c r="S27" s="102"/>
      <c r="T27" s="102"/>
      <c r="U27" s="102"/>
      <c r="V27" s="102"/>
      <c r="W27" s="102"/>
      <c r="X27" s="102"/>
      <c r="Y27" s="102"/>
      <c r="Z27" s="102"/>
      <c r="AA27" s="90"/>
    </row>
    <row r="28" spans="1:27" x14ac:dyDescent="0.25">
      <c r="A28" s="105"/>
      <c r="B28" s="106"/>
      <c r="C28" s="106"/>
      <c r="D28" s="106"/>
      <c r="E28" s="106"/>
      <c r="F28" s="106"/>
      <c r="G28" s="107" t="s">
        <v>415</v>
      </c>
      <c r="H28" s="133">
        <v>30</v>
      </c>
      <c r="I28" s="108" t="s">
        <v>13</v>
      </c>
      <c r="J28" s="102"/>
      <c r="K28" s="102"/>
      <c r="L28" s="102"/>
      <c r="M28" s="102"/>
      <c r="N28" s="102"/>
      <c r="O28" s="102"/>
      <c r="P28" s="102"/>
      <c r="Q28" s="102"/>
      <c r="R28" s="102"/>
      <c r="S28" s="102"/>
      <c r="T28" s="102"/>
      <c r="U28" s="102"/>
      <c r="V28" s="102"/>
      <c r="W28" s="102"/>
      <c r="X28" s="102"/>
      <c r="Y28" s="102"/>
      <c r="Z28" s="102"/>
      <c r="AA28" s="90"/>
    </row>
    <row r="29" spans="1:27" ht="18" x14ac:dyDescent="0.35">
      <c r="A29" s="109"/>
      <c r="B29" s="102"/>
      <c r="C29" s="102"/>
      <c r="D29" s="102"/>
      <c r="E29" s="102"/>
      <c r="F29" s="102"/>
      <c r="G29" s="103" t="s">
        <v>170</v>
      </c>
      <c r="H29" s="135">
        <f>Ipk_selected</f>
        <v>31.971291866028714</v>
      </c>
      <c r="I29" s="111" t="s">
        <v>11</v>
      </c>
      <c r="J29" s="102"/>
      <c r="K29" s="102"/>
      <c r="L29" s="102"/>
      <c r="M29" s="102"/>
      <c r="N29" s="102"/>
      <c r="O29" s="102"/>
      <c r="P29" s="102"/>
      <c r="Q29" s="102"/>
      <c r="R29" s="102"/>
      <c r="S29" s="102"/>
      <c r="T29" s="102"/>
      <c r="U29" s="102"/>
      <c r="V29" s="102"/>
      <c r="W29" s="102"/>
      <c r="X29" s="102"/>
      <c r="Y29" s="102"/>
      <c r="Z29" s="102"/>
      <c r="AA29" s="90"/>
    </row>
    <row r="30" spans="1:27" ht="18" x14ac:dyDescent="0.35">
      <c r="A30" s="109"/>
      <c r="B30" s="102"/>
      <c r="C30" s="102"/>
      <c r="D30" s="102"/>
      <c r="E30" s="102"/>
      <c r="F30" s="102"/>
      <c r="G30" s="103" t="s">
        <v>418</v>
      </c>
      <c r="H30" s="135">
        <f>Variable_Management!B87*1000</f>
        <v>1.8766836276563899</v>
      </c>
      <c r="I30" s="111" t="s">
        <v>92</v>
      </c>
      <c r="J30" s="102"/>
      <c r="K30" s="102"/>
      <c r="L30" s="102"/>
      <c r="M30" s="102"/>
      <c r="N30" s="102"/>
      <c r="O30" s="102"/>
      <c r="P30" s="102"/>
      <c r="Q30" s="102"/>
      <c r="R30" s="102"/>
      <c r="S30" s="102"/>
      <c r="T30" s="102"/>
      <c r="U30" s="102"/>
      <c r="V30" s="102"/>
      <c r="W30" s="102"/>
      <c r="X30" s="102"/>
      <c r="Y30" s="102"/>
      <c r="Z30" s="102"/>
      <c r="AA30" s="90"/>
    </row>
    <row r="31" spans="1:27" ht="18" x14ac:dyDescent="0.35">
      <c r="A31" s="109"/>
      <c r="B31" s="102"/>
      <c r="C31" s="102"/>
      <c r="D31" s="102"/>
      <c r="E31" s="102"/>
      <c r="F31" s="102"/>
      <c r="G31" s="103" t="s">
        <v>419</v>
      </c>
      <c r="H31" s="134">
        <v>2</v>
      </c>
      <c r="I31" s="111" t="s">
        <v>92</v>
      </c>
      <c r="J31" s="102"/>
      <c r="K31" s="102"/>
      <c r="L31" s="102"/>
      <c r="M31" s="102"/>
      <c r="N31" s="102"/>
      <c r="O31" s="102"/>
      <c r="P31" s="102"/>
      <c r="Q31" s="102"/>
      <c r="R31" s="102"/>
      <c r="S31" s="102"/>
      <c r="T31" s="102"/>
      <c r="U31" s="102"/>
      <c r="V31" s="102"/>
      <c r="W31" s="102"/>
      <c r="X31" s="102"/>
      <c r="Y31" s="102"/>
      <c r="Z31" s="102"/>
      <c r="AA31" s="90"/>
    </row>
    <row r="32" spans="1:27" ht="15.75" thickBot="1" x14ac:dyDescent="0.3">
      <c r="A32" s="119"/>
      <c r="B32" s="115"/>
      <c r="C32" s="115"/>
      <c r="D32" s="115"/>
      <c r="E32" s="115"/>
      <c r="F32" s="115"/>
      <c r="G32" s="122" t="s">
        <v>143</v>
      </c>
      <c r="H32" s="139">
        <f>IL_pk_max</f>
        <v>30</v>
      </c>
      <c r="I32" s="123" t="s">
        <v>11</v>
      </c>
      <c r="J32" s="102"/>
      <c r="K32" s="102"/>
      <c r="L32" s="102"/>
      <c r="M32" s="102"/>
      <c r="N32" s="102"/>
      <c r="O32" s="102"/>
      <c r="P32" s="102"/>
      <c r="Q32" s="102"/>
      <c r="R32" s="102"/>
      <c r="S32" s="102"/>
      <c r="T32" s="102"/>
      <c r="U32" s="102"/>
      <c r="V32" s="102"/>
      <c r="W32" s="102"/>
      <c r="X32" s="102"/>
      <c r="Y32" s="102"/>
      <c r="Z32" s="102"/>
      <c r="AA32" s="90"/>
    </row>
    <row r="33" spans="1:27" x14ac:dyDescent="0.25">
      <c r="A33" s="102"/>
      <c r="B33" s="102"/>
      <c r="C33" s="102"/>
      <c r="D33" s="102"/>
      <c r="E33" s="102"/>
      <c r="F33" s="102"/>
      <c r="G33" s="103"/>
      <c r="H33" s="102"/>
      <c r="I33" s="102"/>
      <c r="J33" s="102"/>
      <c r="K33" s="102"/>
      <c r="L33" s="102"/>
      <c r="M33" s="102"/>
      <c r="N33" s="102"/>
      <c r="O33" s="102"/>
      <c r="P33" s="102"/>
      <c r="Q33" s="102"/>
      <c r="R33" s="102"/>
      <c r="S33" s="102"/>
      <c r="T33" s="102"/>
      <c r="U33" s="102"/>
      <c r="V33" s="102"/>
      <c r="W33" s="102"/>
      <c r="X33" s="102"/>
      <c r="Y33" s="102"/>
      <c r="Z33" s="102"/>
      <c r="AA33" s="90"/>
    </row>
    <row r="34" spans="1:27" ht="15.75" thickBot="1" x14ac:dyDescent="0.3">
      <c r="A34" s="117" t="s">
        <v>154</v>
      </c>
      <c r="B34" s="102"/>
      <c r="C34" s="102"/>
      <c r="D34" s="102"/>
      <c r="E34" s="102"/>
      <c r="F34" s="102"/>
      <c r="G34" s="103"/>
      <c r="H34" s="102"/>
      <c r="I34" s="102"/>
      <c r="J34" s="102"/>
      <c r="K34" s="102"/>
      <c r="L34" s="102"/>
      <c r="M34" s="102"/>
      <c r="N34" s="102"/>
      <c r="O34" s="102"/>
      <c r="P34" s="102"/>
      <c r="Q34" s="102"/>
      <c r="R34" s="102"/>
      <c r="S34" s="102"/>
      <c r="T34" s="102"/>
      <c r="U34" s="102"/>
      <c r="V34" s="102"/>
      <c r="W34" s="102"/>
      <c r="X34" s="102"/>
      <c r="Y34" s="102"/>
      <c r="Z34" s="102"/>
      <c r="AA34" s="90"/>
    </row>
    <row r="35" spans="1:27" ht="18" x14ac:dyDescent="0.35">
      <c r="A35" s="105"/>
      <c r="B35" s="106"/>
      <c r="C35" s="106"/>
      <c r="D35" s="106"/>
      <c r="E35" s="106"/>
      <c r="F35" s="106"/>
      <c r="G35" s="124" t="s">
        <v>451</v>
      </c>
      <c r="H35" s="133">
        <v>500</v>
      </c>
      <c r="I35" s="108" t="s">
        <v>155</v>
      </c>
      <c r="J35" s="102"/>
      <c r="K35" s="102"/>
      <c r="L35" s="102"/>
      <c r="M35" s="102"/>
      <c r="N35" s="102"/>
      <c r="O35" s="102"/>
      <c r="P35" s="102"/>
      <c r="Q35" s="102"/>
      <c r="R35" s="102"/>
      <c r="S35" s="102"/>
      <c r="T35" s="102"/>
      <c r="U35" s="102"/>
      <c r="V35" s="102"/>
      <c r="W35" s="102"/>
      <c r="X35" s="102"/>
      <c r="Y35" s="102"/>
      <c r="Z35" s="102"/>
      <c r="AA35" s="90"/>
    </row>
    <row r="36" spans="1:27" x14ac:dyDescent="0.25">
      <c r="A36" s="109"/>
      <c r="B36" s="102"/>
      <c r="C36" s="102"/>
      <c r="D36" s="102"/>
      <c r="E36" s="102"/>
      <c r="F36" s="102"/>
      <c r="G36" s="103" t="s">
        <v>156</v>
      </c>
      <c r="H36" s="135">
        <f>Cout_min*10^6</f>
        <v>506.25</v>
      </c>
      <c r="I36" s="111" t="s">
        <v>157</v>
      </c>
      <c r="J36" s="102"/>
      <c r="K36" s="102"/>
      <c r="L36" s="102"/>
      <c r="M36" s="102"/>
      <c r="N36" s="102"/>
      <c r="O36" s="102"/>
      <c r="P36" s="102"/>
      <c r="Q36" s="102"/>
      <c r="R36" s="102"/>
      <c r="S36" s="102"/>
      <c r="T36" s="102"/>
      <c r="U36" s="102"/>
      <c r="V36" s="102"/>
      <c r="W36" s="102"/>
      <c r="X36" s="102"/>
      <c r="Y36" s="102"/>
      <c r="Z36" s="102"/>
      <c r="AA36" s="90"/>
    </row>
    <row r="37" spans="1:27" ht="18" x14ac:dyDescent="0.35">
      <c r="A37" s="109"/>
      <c r="B37" s="102"/>
      <c r="C37" s="102"/>
      <c r="D37" s="102"/>
      <c r="E37" s="102"/>
      <c r="F37" s="102"/>
      <c r="G37" s="103" t="s">
        <v>158</v>
      </c>
      <c r="H37" s="134">
        <v>470</v>
      </c>
      <c r="I37" s="111" t="s">
        <v>157</v>
      </c>
      <c r="J37" s="102"/>
      <c r="K37" s="102"/>
      <c r="L37" s="102"/>
      <c r="M37" s="102"/>
      <c r="N37" s="102"/>
      <c r="O37" s="102"/>
      <c r="P37" s="102"/>
      <c r="Q37" s="102"/>
      <c r="R37" s="102"/>
      <c r="S37" s="102"/>
      <c r="T37" s="102"/>
      <c r="U37" s="102"/>
      <c r="V37" s="102"/>
      <c r="W37" s="102"/>
      <c r="X37" s="102"/>
      <c r="Y37" s="102"/>
      <c r="Z37" s="102"/>
      <c r="AA37" s="90"/>
    </row>
    <row r="38" spans="1:27" ht="18.75" thickBot="1" x14ac:dyDescent="0.4">
      <c r="A38" s="119"/>
      <c r="B38" s="115"/>
      <c r="C38" s="115"/>
      <c r="D38" s="115"/>
      <c r="E38" s="115"/>
      <c r="F38" s="115"/>
      <c r="G38" s="122" t="s">
        <v>165</v>
      </c>
      <c r="H38" s="140">
        <v>35</v>
      </c>
      <c r="I38" s="116" t="s">
        <v>92</v>
      </c>
      <c r="J38" s="102"/>
      <c r="K38" s="102"/>
      <c r="L38" s="102"/>
      <c r="M38" s="102"/>
      <c r="N38" s="102"/>
      <c r="O38" s="102"/>
      <c r="P38" s="102"/>
      <c r="Q38" s="102"/>
      <c r="R38" s="102"/>
      <c r="S38" s="102"/>
      <c r="T38" s="102"/>
      <c r="U38" s="102"/>
      <c r="V38" s="102"/>
      <c r="W38" s="102"/>
      <c r="X38" s="102"/>
      <c r="Y38" s="102"/>
      <c r="Z38" s="102"/>
      <c r="AA38" s="90"/>
    </row>
    <row r="39" spans="1:27" x14ac:dyDescent="0.25">
      <c r="A39" s="102"/>
      <c r="B39" s="102"/>
      <c r="C39" s="102"/>
      <c r="D39" s="102"/>
      <c r="E39" s="102"/>
      <c r="F39" s="102"/>
      <c r="G39" s="103"/>
      <c r="H39" s="102"/>
      <c r="I39" s="102"/>
      <c r="J39" s="102"/>
      <c r="K39" s="102"/>
      <c r="L39" s="102"/>
      <c r="M39" s="102"/>
      <c r="N39" s="102"/>
      <c r="O39" s="102"/>
      <c r="P39" s="102"/>
      <c r="Q39" s="102"/>
      <c r="R39" s="102"/>
      <c r="S39" s="102"/>
      <c r="T39" s="102"/>
      <c r="U39" s="102"/>
      <c r="V39" s="102"/>
      <c r="W39" s="102"/>
      <c r="X39" s="102"/>
      <c r="Y39" s="102"/>
      <c r="Z39" s="102"/>
      <c r="AA39" s="90"/>
    </row>
    <row r="40" spans="1:27" ht="15.75" thickBot="1" x14ac:dyDescent="0.3">
      <c r="A40" s="117" t="s">
        <v>548</v>
      </c>
      <c r="B40" s="102"/>
      <c r="C40" s="102"/>
      <c r="D40" s="102"/>
      <c r="E40" s="102"/>
      <c r="F40" s="102"/>
      <c r="G40" s="103"/>
      <c r="H40" s="102"/>
      <c r="I40" s="102"/>
      <c r="J40" s="102"/>
      <c r="K40" s="102"/>
      <c r="L40" s="102"/>
      <c r="M40" s="102"/>
      <c r="N40" s="102"/>
      <c r="O40" s="102"/>
      <c r="P40" s="102"/>
      <c r="Q40" s="102"/>
      <c r="R40" s="102"/>
      <c r="S40" s="102"/>
      <c r="T40" s="102"/>
      <c r="U40" s="102"/>
      <c r="V40" s="102"/>
      <c r="W40" s="102"/>
      <c r="X40" s="102"/>
      <c r="Y40" s="102"/>
      <c r="Z40" s="102"/>
      <c r="AA40" s="90"/>
    </row>
    <row r="41" spans="1:27" ht="18" x14ac:dyDescent="0.35">
      <c r="A41" s="105"/>
      <c r="B41" s="106"/>
      <c r="C41" s="106"/>
      <c r="D41" s="106"/>
      <c r="E41" s="106"/>
      <c r="F41" s="106"/>
      <c r="G41" s="124" t="s">
        <v>285</v>
      </c>
      <c r="H41" s="142">
        <f>Variable_Management!B117*(10^9)</f>
        <v>104.44444444444444</v>
      </c>
      <c r="I41" s="108" t="s">
        <v>183</v>
      </c>
      <c r="J41" s="102"/>
      <c r="K41" s="102"/>
      <c r="L41" s="102"/>
      <c r="M41" s="102"/>
      <c r="N41" s="102"/>
      <c r="O41" s="102"/>
      <c r="P41" s="102"/>
      <c r="Q41" s="102"/>
      <c r="R41" s="102"/>
      <c r="S41" s="102"/>
      <c r="T41" s="102"/>
      <c r="U41" s="102"/>
      <c r="V41" s="102"/>
      <c r="W41" s="102"/>
      <c r="X41" s="102"/>
      <c r="Y41" s="102"/>
      <c r="Z41" s="102"/>
      <c r="AA41" s="90"/>
    </row>
    <row r="42" spans="1:27" ht="18" x14ac:dyDescent="0.35">
      <c r="A42" s="109"/>
      <c r="B42" s="102"/>
      <c r="C42" s="102"/>
      <c r="D42" s="102"/>
      <c r="E42" s="102"/>
      <c r="F42" s="102"/>
      <c r="G42" s="103" t="s">
        <v>290</v>
      </c>
      <c r="H42" s="134">
        <v>10</v>
      </c>
      <c r="I42" s="111" t="s">
        <v>286</v>
      </c>
      <c r="J42" s="102"/>
      <c r="K42" s="102"/>
      <c r="L42" s="102"/>
      <c r="M42" s="102"/>
      <c r="N42" s="102"/>
      <c r="O42" s="102"/>
      <c r="P42" s="102"/>
      <c r="Q42" s="102"/>
      <c r="R42" s="102"/>
      <c r="S42" s="102"/>
      <c r="T42" s="102"/>
      <c r="U42" s="102"/>
      <c r="V42" s="102"/>
      <c r="W42" s="102"/>
      <c r="X42" s="102"/>
      <c r="Y42" s="102"/>
      <c r="Z42" s="102"/>
      <c r="AA42" s="90"/>
    </row>
    <row r="43" spans="1:27" ht="18.75" thickBot="1" x14ac:dyDescent="0.4">
      <c r="A43" s="119"/>
      <c r="B43" s="115"/>
      <c r="C43" s="115"/>
      <c r="D43" s="115"/>
      <c r="E43" s="115"/>
      <c r="F43" s="115"/>
      <c r="G43" s="122" t="s">
        <v>289</v>
      </c>
      <c r="H43" s="143">
        <f>Variable_Management!B119*(10^9)</f>
        <v>250</v>
      </c>
      <c r="I43" s="116" t="s">
        <v>183</v>
      </c>
      <c r="J43" s="102"/>
      <c r="K43" s="102"/>
      <c r="L43" s="102"/>
      <c r="M43" s="102"/>
      <c r="N43" s="102"/>
      <c r="O43" s="102"/>
      <c r="P43" s="102"/>
      <c r="Q43" s="102"/>
      <c r="R43" s="102"/>
      <c r="S43" s="102"/>
      <c r="T43" s="102"/>
      <c r="U43" s="102"/>
      <c r="V43" s="102"/>
      <c r="W43" s="102"/>
      <c r="X43" s="102"/>
      <c r="Y43" s="102"/>
      <c r="Z43" s="102"/>
      <c r="AA43" s="90"/>
    </row>
    <row r="44" spans="1:27" x14ac:dyDescent="0.25">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90"/>
    </row>
    <row r="45" spans="1:27" ht="15.75" thickBot="1" x14ac:dyDescent="0.3">
      <c r="A45" s="117" t="s">
        <v>547</v>
      </c>
      <c r="B45" s="102"/>
      <c r="C45" s="102"/>
      <c r="D45" s="102"/>
      <c r="E45" s="102"/>
      <c r="F45" s="102"/>
      <c r="G45" s="103"/>
      <c r="H45" s="102"/>
      <c r="I45" s="102"/>
      <c r="J45" s="102"/>
      <c r="K45" s="102"/>
      <c r="L45" s="102"/>
      <c r="M45" s="102"/>
      <c r="N45" s="102"/>
      <c r="O45" s="102"/>
      <c r="P45" s="102"/>
      <c r="Q45" s="102"/>
      <c r="R45" s="102"/>
      <c r="S45" s="102"/>
      <c r="T45" s="102"/>
      <c r="U45" s="102"/>
      <c r="V45" s="102"/>
      <c r="W45" s="102"/>
      <c r="X45" s="102"/>
      <c r="Y45" s="102"/>
      <c r="Z45" s="102"/>
      <c r="AA45" s="90"/>
    </row>
    <row r="46" spans="1:27" ht="18" x14ac:dyDescent="0.35">
      <c r="A46" s="105"/>
      <c r="B46" s="106"/>
      <c r="C46" s="106"/>
      <c r="D46" s="106"/>
      <c r="E46" s="106"/>
      <c r="F46" s="106"/>
      <c r="G46" s="124" t="s">
        <v>542</v>
      </c>
      <c r="H46" s="133">
        <v>8</v>
      </c>
      <c r="I46" s="108" t="s">
        <v>10</v>
      </c>
      <c r="J46" s="102"/>
      <c r="K46" s="102"/>
      <c r="L46" s="102"/>
      <c r="M46" s="102"/>
      <c r="N46" s="102"/>
      <c r="O46" s="102"/>
      <c r="P46" s="102"/>
      <c r="Q46" s="102"/>
      <c r="R46" s="102"/>
      <c r="S46" s="102"/>
      <c r="T46" s="102"/>
      <c r="U46" s="102"/>
      <c r="V46" s="102"/>
      <c r="W46" s="102"/>
      <c r="X46" s="102"/>
      <c r="Y46" s="102"/>
      <c r="Z46" s="102"/>
      <c r="AA46" s="90"/>
    </row>
    <row r="47" spans="1:27" ht="18" x14ac:dyDescent="0.35">
      <c r="A47" s="109"/>
      <c r="B47" s="102"/>
      <c r="C47" s="102"/>
      <c r="D47" s="102"/>
      <c r="E47" s="102"/>
      <c r="F47" s="102"/>
      <c r="G47" s="103" t="s">
        <v>543</v>
      </c>
      <c r="H47" s="134">
        <v>7</v>
      </c>
      <c r="I47" s="111" t="s">
        <v>10</v>
      </c>
      <c r="J47" s="102"/>
      <c r="K47" s="102"/>
      <c r="L47" s="102"/>
      <c r="M47" s="102"/>
      <c r="N47" s="102"/>
      <c r="O47" s="102"/>
      <c r="P47" s="102"/>
      <c r="Q47" s="102"/>
      <c r="R47" s="102"/>
      <c r="S47" s="102"/>
      <c r="T47" s="102"/>
      <c r="U47" s="102"/>
      <c r="V47" s="102"/>
      <c r="W47" s="102"/>
      <c r="X47" s="102"/>
      <c r="Y47" s="102"/>
      <c r="Z47" s="102"/>
      <c r="AA47" s="90"/>
    </row>
    <row r="48" spans="1:27" ht="18" x14ac:dyDescent="0.35">
      <c r="A48" s="109"/>
      <c r="B48" s="102"/>
      <c r="C48" s="102"/>
      <c r="D48" s="102"/>
      <c r="E48" s="102"/>
      <c r="F48" s="102"/>
      <c r="G48" s="103" t="s">
        <v>544</v>
      </c>
      <c r="H48" s="141">
        <f>Ruvlo_top_calc/1000</f>
        <v>81.818181818181756</v>
      </c>
      <c r="I48" s="121" t="s">
        <v>181</v>
      </c>
      <c r="J48" s="102"/>
      <c r="K48" s="102"/>
      <c r="L48" s="102"/>
      <c r="M48" s="102"/>
      <c r="N48" s="102"/>
      <c r="O48" s="102"/>
      <c r="P48" s="102"/>
      <c r="Q48" s="102"/>
      <c r="R48" s="102"/>
      <c r="S48" s="102"/>
      <c r="T48" s="102"/>
      <c r="U48" s="102"/>
      <c r="V48" s="102"/>
      <c r="W48" s="102"/>
      <c r="X48" s="102"/>
      <c r="Y48" s="102"/>
      <c r="Z48" s="102"/>
      <c r="AA48" s="90"/>
    </row>
    <row r="49" spans="1:27" ht="18" x14ac:dyDescent="0.35">
      <c r="A49" s="109"/>
      <c r="B49" s="102"/>
      <c r="C49" s="102"/>
      <c r="D49" s="102"/>
      <c r="E49" s="102"/>
      <c r="F49" s="102"/>
      <c r="G49" s="103" t="s">
        <v>545</v>
      </c>
      <c r="H49" s="134">
        <v>80.599999999999994</v>
      </c>
      <c r="I49" s="121" t="s">
        <v>181</v>
      </c>
      <c r="J49" s="102"/>
      <c r="K49" s="102"/>
      <c r="L49" s="102"/>
      <c r="M49" s="102"/>
      <c r="N49" s="102"/>
      <c r="O49" s="102"/>
      <c r="P49" s="102"/>
      <c r="Q49" s="102"/>
      <c r="R49" s="102"/>
      <c r="S49" s="102"/>
      <c r="T49" s="102"/>
      <c r="U49" s="102"/>
      <c r="V49" s="102"/>
      <c r="W49" s="102"/>
      <c r="X49" s="102"/>
      <c r="Y49" s="102"/>
      <c r="Z49" s="102"/>
      <c r="AA49" s="90"/>
    </row>
    <row r="50" spans="1:27" ht="18.75" thickBot="1" x14ac:dyDescent="0.4">
      <c r="A50" s="119"/>
      <c r="B50" s="115"/>
      <c r="C50" s="115"/>
      <c r="D50" s="115"/>
      <c r="E50" s="115"/>
      <c r="F50" s="115"/>
      <c r="G50" s="122" t="s">
        <v>546</v>
      </c>
      <c r="H50" s="167">
        <f>Ruvlo_bottom_calc/1000</f>
        <v>12.84927536231884</v>
      </c>
      <c r="I50" s="123" t="s">
        <v>181</v>
      </c>
      <c r="J50" s="102"/>
      <c r="K50" s="102"/>
      <c r="L50" s="102"/>
      <c r="M50" s="102"/>
      <c r="N50" s="102"/>
      <c r="O50" s="102"/>
      <c r="P50" s="102"/>
      <c r="Q50" s="102"/>
      <c r="R50" s="102"/>
      <c r="S50" s="102"/>
      <c r="T50" s="102"/>
      <c r="U50" s="102"/>
      <c r="V50" s="102"/>
      <c r="W50" s="102"/>
      <c r="X50" s="102"/>
      <c r="Y50" s="102"/>
      <c r="Z50" s="102"/>
      <c r="AA50" s="90"/>
    </row>
    <row r="51" spans="1:27" x14ac:dyDescent="0.25">
      <c r="A51" s="102"/>
      <c r="B51" s="102"/>
      <c r="C51" s="102"/>
      <c r="D51" s="102"/>
      <c r="E51" s="102"/>
      <c r="F51" s="102"/>
      <c r="G51" s="103"/>
      <c r="H51" s="102"/>
      <c r="I51" s="102"/>
      <c r="J51" s="102"/>
      <c r="K51" s="102"/>
      <c r="L51" s="102"/>
      <c r="M51" s="102"/>
      <c r="N51" s="102"/>
      <c r="O51" s="102"/>
      <c r="P51" s="102"/>
      <c r="Q51" s="102"/>
      <c r="R51" s="102"/>
      <c r="S51" s="102"/>
      <c r="T51" s="102"/>
      <c r="U51" s="102"/>
      <c r="V51" s="102"/>
      <c r="W51" s="102"/>
      <c r="X51" s="102"/>
      <c r="Y51" s="102"/>
      <c r="Z51" s="102"/>
      <c r="AA51" s="90"/>
    </row>
    <row r="52" spans="1:27" x14ac:dyDescent="0.25">
      <c r="A52" s="102"/>
      <c r="B52" s="102"/>
      <c r="C52" s="102"/>
      <c r="D52" s="102"/>
      <c r="E52" s="102"/>
      <c r="F52" s="102"/>
      <c r="G52" s="103"/>
      <c r="H52" s="102"/>
      <c r="I52" s="102"/>
      <c r="J52" s="102"/>
      <c r="K52" s="102"/>
      <c r="L52" s="102"/>
      <c r="M52" s="102"/>
      <c r="N52" s="102"/>
      <c r="O52" s="102"/>
      <c r="P52" s="102"/>
      <c r="Q52" s="102"/>
      <c r="R52" s="102"/>
      <c r="S52" s="102"/>
      <c r="T52" s="102"/>
      <c r="U52" s="102"/>
      <c r="V52" s="102"/>
      <c r="W52" s="102"/>
      <c r="X52" s="102"/>
      <c r="Y52" s="102"/>
      <c r="Z52" s="102"/>
      <c r="AA52" s="90"/>
    </row>
    <row r="53" spans="1:27" ht="15.75" thickBot="1" x14ac:dyDescent="0.3">
      <c r="A53" s="117" t="s">
        <v>313</v>
      </c>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90"/>
    </row>
    <row r="54" spans="1:27" ht="18" x14ac:dyDescent="0.35">
      <c r="A54" s="125"/>
      <c r="B54" s="106"/>
      <c r="C54" s="106"/>
      <c r="D54" s="106"/>
      <c r="E54" s="106"/>
      <c r="F54" s="106"/>
      <c r="G54" s="126" t="s">
        <v>416</v>
      </c>
      <c r="H54" s="144" t="str">
        <f>VIN_nom&amp;"V"</f>
        <v>3V</v>
      </c>
      <c r="I54" s="108"/>
      <c r="J54" s="102"/>
      <c r="K54" s="102"/>
      <c r="L54" s="102"/>
      <c r="M54" s="102"/>
      <c r="N54" s="102"/>
      <c r="O54" s="102"/>
      <c r="P54" s="102"/>
      <c r="Q54" s="102"/>
      <c r="R54" s="102"/>
      <c r="S54" s="102"/>
      <c r="T54" s="102"/>
      <c r="U54" s="102"/>
      <c r="V54" s="102"/>
      <c r="W54" s="102"/>
      <c r="X54" s="102"/>
      <c r="Y54" s="102"/>
      <c r="Z54" s="102"/>
      <c r="AA54" s="90"/>
    </row>
    <row r="55" spans="1:27" x14ac:dyDescent="0.25">
      <c r="A55" s="109"/>
      <c r="B55" s="102"/>
      <c r="C55" s="102"/>
      <c r="D55" s="102"/>
      <c r="E55" s="102"/>
      <c r="F55" s="102"/>
      <c r="G55" s="128" t="s">
        <v>564</v>
      </c>
      <c r="H55" s="145"/>
      <c r="I55" s="111"/>
      <c r="J55" s="102"/>
      <c r="K55" s="102"/>
      <c r="L55" s="102"/>
      <c r="M55" s="102"/>
      <c r="N55" s="102"/>
      <c r="O55" s="102"/>
      <c r="P55" s="102"/>
      <c r="Q55" s="102"/>
      <c r="R55" s="102"/>
      <c r="S55" s="102"/>
      <c r="T55" s="102"/>
      <c r="U55" s="102"/>
      <c r="V55" s="102"/>
      <c r="W55" s="102"/>
      <c r="X55" s="102"/>
      <c r="Y55" s="102"/>
      <c r="Z55" s="102"/>
      <c r="AA55" s="90"/>
    </row>
    <row r="56" spans="1:27" x14ac:dyDescent="0.25">
      <c r="A56" s="127"/>
      <c r="B56" s="102"/>
      <c r="C56" s="102"/>
      <c r="D56" s="102"/>
      <c r="E56" s="102"/>
      <c r="F56" s="102"/>
      <c r="G56" s="103" t="s">
        <v>519</v>
      </c>
      <c r="H56" s="147" t="str">
        <f>CHOOSE(VOUT_range,"Low","High")</f>
        <v>High</v>
      </c>
      <c r="I56" s="111"/>
      <c r="J56" s="102"/>
      <c r="K56" s="102"/>
      <c r="L56" s="102"/>
      <c r="M56" s="102"/>
      <c r="N56" s="102"/>
      <c r="O56" s="102"/>
      <c r="P56" s="102"/>
      <c r="Q56" s="102"/>
      <c r="R56" s="102"/>
      <c r="S56" s="102"/>
      <c r="T56" s="102"/>
      <c r="U56" s="102"/>
      <c r="V56" s="102"/>
      <c r="W56" s="102"/>
      <c r="X56" s="102"/>
      <c r="Y56" s="102"/>
      <c r="Z56" s="102"/>
      <c r="AA56" s="90"/>
    </row>
    <row r="57" spans="1:27" ht="18" x14ac:dyDescent="0.35">
      <c r="A57" s="127"/>
      <c r="B57" s="102"/>
      <c r="C57" s="102"/>
      <c r="D57" s="102"/>
      <c r="E57" s="102"/>
      <c r="F57" s="102"/>
      <c r="G57" s="103" t="s">
        <v>566</v>
      </c>
      <c r="H57" s="146">
        <f>VTRK</f>
        <v>0.83333333333333337</v>
      </c>
      <c r="I57" s="121" t="s">
        <v>10</v>
      </c>
      <c r="J57" s="102"/>
      <c r="K57" s="102"/>
      <c r="L57" s="102"/>
      <c r="M57" s="102"/>
      <c r="N57" s="102"/>
      <c r="O57" s="102"/>
      <c r="P57" s="102"/>
      <c r="Q57" s="102"/>
      <c r="R57" s="102"/>
      <c r="S57" s="102"/>
      <c r="T57" s="102"/>
      <c r="U57" s="102"/>
      <c r="V57" s="102"/>
      <c r="W57" s="102"/>
      <c r="X57" s="102"/>
      <c r="Y57" s="102"/>
      <c r="Z57" s="102"/>
      <c r="AA57" s="90"/>
    </row>
    <row r="58" spans="1:27" ht="18" x14ac:dyDescent="0.35">
      <c r="A58" s="127"/>
      <c r="B58" s="102"/>
      <c r="C58" s="102"/>
      <c r="D58" s="102"/>
      <c r="E58" s="102"/>
      <c r="F58" s="102"/>
      <c r="G58" s="103" t="s">
        <v>599</v>
      </c>
      <c r="H58" s="163">
        <f>Variable_Management!B144/1000</f>
        <v>3.3333333333333321</v>
      </c>
      <c r="I58" s="121" t="s">
        <v>181</v>
      </c>
      <c r="J58" s="102"/>
      <c r="K58" s="102"/>
      <c r="L58" s="102"/>
      <c r="M58" s="102"/>
      <c r="N58" s="102"/>
      <c r="O58" s="102"/>
      <c r="P58" s="102"/>
      <c r="Q58" s="102"/>
      <c r="R58" s="102"/>
      <c r="S58" s="102"/>
      <c r="T58" s="102"/>
      <c r="U58" s="102"/>
      <c r="V58" s="102"/>
      <c r="W58" s="102"/>
      <c r="X58" s="102"/>
      <c r="Y58" s="102"/>
      <c r="Z58" s="102"/>
      <c r="AA58" s="90"/>
    </row>
    <row r="59" spans="1:27" ht="18" x14ac:dyDescent="0.35">
      <c r="A59" s="127"/>
      <c r="B59" s="102"/>
      <c r="C59" s="102"/>
      <c r="D59" s="102"/>
      <c r="E59" s="102"/>
      <c r="F59" s="102"/>
      <c r="G59" s="103" t="s">
        <v>600</v>
      </c>
      <c r="H59" s="163">
        <f>Variable_Management!B143/1000</f>
        <v>5.8333333333333321</v>
      </c>
      <c r="I59" s="121" t="s">
        <v>181</v>
      </c>
      <c r="J59" s="102"/>
      <c r="K59" s="102"/>
      <c r="L59" s="102"/>
      <c r="M59" s="102"/>
      <c r="N59" s="102"/>
      <c r="O59" s="102"/>
      <c r="P59" s="102"/>
      <c r="Q59" s="102"/>
      <c r="R59" s="102"/>
      <c r="S59" s="102"/>
      <c r="T59" s="102"/>
      <c r="U59" s="102"/>
      <c r="V59" s="102"/>
      <c r="W59" s="102"/>
      <c r="X59" s="102"/>
      <c r="Y59" s="102"/>
      <c r="Z59" s="102"/>
      <c r="AA59" s="90"/>
    </row>
    <row r="60" spans="1:27" ht="18" x14ac:dyDescent="0.35">
      <c r="A60" s="127"/>
      <c r="B60" s="102"/>
      <c r="C60" s="102"/>
      <c r="D60" s="102"/>
      <c r="E60" s="102"/>
      <c r="F60" s="102"/>
      <c r="G60" s="103" t="s">
        <v>592</v>
      </c>
      <c r="H60" s="134">
        <v>21</v>
      </c>
      <c r="I60" s="121" t="s">
        <v>181</v>
      </c>
      <c r="J60" s="102"/>
      <c r="K60" s="102"/>
      <c r="L60" s="102"/>
      <c r="M60" s="102"/>
      <c r="N60" s="102"/>
      <c r="O60" s="102"/>
      <c r="P60" s="102"/>
      <c r="Q60" s="102"/>
      <c r="R60" s="102"/>
      <c r="S60" s="102"/>
      <c r="T60" s="102"/>
      <c r="U60" s="102"/>
      <c r="V60" s="102"/>
      <c r="W60" s="102"/>
      <c r="X60" s="102"/>
      <c r="Y60" s="102"/>
      <c r="Z60" s="102"/>
      <c r="AA60" s="90"/>
    </row>
    <row r="61" spans="1:27" ht="18" x14ac:dyDescent="0.35">
      <c r="A61" s="109"/>
      <c r="B61" s="102"/>
      <c r="C61" s="102"/>
      <c r="D61" s="102"/>
      <c r="E61" s="102"/>
      <c r="F61" s="102"/>
      <c r="G61" s="103" t="s">
        <v>565</v>
      </c>
      <c r="H61" s="185">
        <f>RFBB_calc/1000</f>
        <v>105.00000000000003</v>
      </c>
      <c r="I61" s="121" t="s">
        <v>181</v>
      </c>
      <c r="J61" s="102"/>
      <c r="K61" s="102"/>
      <c r="L61" s="102"/>
      <c r="M61" s="102"/>
      <c r="N61" s="102"/>
      <c r="O61" s="102"/>
      <c r="P61" s="102"/>
      <c r="Q61" s="102"/>
      <c r="R61" s="102"/>
      <c r="S61" s="102"/>
      <c r="T61" s="102"/>
      <c r="U61" s="102"/>
      <c r="V61" s="102"/>
      <c r="W61" s="102"/>
      <c r="X61" s="102"/>
      <c r="Y61" s="102"/>
      <c r="Z61" s="102"/>
      <c r="AA61" s="90"/>
    </row>
    <row r="62" spans="1:27" ht="18" x14ac:dyDescent="0.35">
      <c r="A62" s="109"/>
      <c r="B62" s="102"/>
      <c r="C62" s="102"/>
      <c r="D62" s="102"/>
      <c r="E62" s="102"/>
      <c r="F62" s="102"/>
      <c r="G62" s="103" t="s">
        <v>596</v>
      </c>
      <c r="H62" s="134">
        <v>14</v>
      </c>
      <c r="I62" s="121" t="s">
        <v>181</v>
      </c>
      <c r="J62" s="102"/>
      <c r="K62" s="102"/>
      <c r="L62" s="102"/>
      <c r="M62" s="102"/>
      <c r="N62" s="102"/>
      <c r="O62" s="102"/>
      <c r="P62" s="102"/>
      <c r="Q62" s="102"/>
      <c r="R62" s="102"/>
      <c r="S62" s="102"/>
      <c r="T62" s="102"/>
      <c r="U62" s="102"/>
      <c r="V62" s="102"/>
      <c r="W62" s="102"/>
      <c r="X62" s="102"/>
      <c r="Y62" s="102"/>
      <c r="Z62" s="102"/>
      <c r="AA62" s="90"/>
    </row>
    <row r="63" spans="1:27" x14ac:dyDescent="0.25">
      <c r="A63" s="109"/>
      <c r="B63" s="102"/>
      <c r="C63" s="102"/>
      <c r="D63" s="102"/>
      <c r="E63" s="102"/>
      <c r="F63" s="102"/>
      <c r="G63" s="103"/>
      <c r="H63" s="136"/>
      <c r="I63" s="121"/>
      <c r="J63" s="102"/>
      <c r="K63" s="102"/>
      <c r="L63" s="102"/>
      <c r="M63" s="102"/>
      <c r="N63" s="102"/>
      <c r="O63" s="102"/>
      <c r="P63" s="102"/>
      <c r="Q63" s="102"/>
      <c r="R63" s="102"/>
      <c r="S63" s="102"/>
      <c r="T63" s="102"/>
      <c r="U63" s="102"/>
      <c r="V63" s="102"/>
      <c r="W63" s="102"/>
      <c r="X63" s="102"/>
      <c r="Y63" s="102"/>
      <c r="Z63" s="102"/>
      <c r="AA63" s="90"/>
    </row>
    <row r="64" spans="1:27" ht="18" x14ac:dyDescent="0.35">
      <c r="A64" s="109"/>
      <c r="B64" s="102"/>
      <c r="C64" s="102"/>
      <c r="D64" s="102"/>
      <c r="E64" s="102"/>
      <c r="F64" s="102"/>
      <c r="G64" s="103" t="s">
        <v>598</v>
      </c>
      <c r="H64" s="163">
        <f>fcross_est/1000</f>
        <v>1.4147106052612923</v>
      </c>
      <c r="I64" s="111" t="s">
        <v>12</v>
      </c>
      <c r="J64" s="102"/>
      <c r="K64" s="102"/>
      <c r="L64" s="102"/>
      <c r="M64" s="102"/>
      <c r="N64" s="102"/>
      <c r="O64" s="102"/>
      <c r="P64" s="102"/>
      <c r="Q64" s="102"/>
      <c r="R64" s="102"/>
      <c r="S64" s="102"/>
      <c r="T64" s="102"/>
      <c r="U64" s="102"/>
      <c r="V64" s="102"/>
      <c r="W64" s="102"/>
      <c r="X64" s="102"/>
      <c r="Y64" s="102"/>
      <c r="Z64" s="102"/>
      <c r="AA64" s="90"/>
    </row>
    <row r="65" spans="1:27" ht="18" x14ac:dyDescent="0.35">
      <c r="A65" s="109"/>
      <c r="B65" s="102"/>
      <c r="C65" s="102"/>
      <c r="D65" s="102"/>
      <c r="E65" s="102"/>
      <c r="F65" s="102"/>
      <c r="G65" s="103" t="s">
        <v>597</v>
      </c>
      <c r="H65" s="134">
        <v>1.4</v>
      </c>
      <c r="I65" s="111" t="s">
        <v>12</v>
      </c>
      <c r="J65" s="102"/>
      <c r="K65" s="102"/>
      <c r="L65" s="102"/>
      <c r="M65" s="102"/>
      <c r="N65" s="102"/>
      <c r="O65" s="102"/>
      <c r="P65" s="102"/>
      <c r="Q65" s="102"/>
      <c r="R65" s="102"/>
      <c r="S65" s="102"/>
      <c r="T65" s="102"/>
      <c r="U65" s="102"/>
      <c r="V65" s="102"/>
      <c r="W65" s="102"/>
      <c r="X65" s="102"/>
      <c r="Y65" s="102"/>
      <c r="Z65" s="102"/>
      <c r="AA65" s="90"/>
    </row>
    <row r="66" spans="1:27" x14ac:dyDescent="0.25">
      <c r="A66" s="109"/>
      <c r="B66" s="102"/>
      <c r="C66" s="102"/>
      <c r="D66" s="102"/>
      <c r="E66" s="102"/>
      <c r="F66" s="102"/>
      <c r="G66" s="103"/>
      <c r="H66" s="136"/>
      <c r="I66" s="111"/>
      <c r="J66" s="102"/>
      <c r="K66" s="102"/>
      <c r="L66" s="102"/>
      <c r="M66" s="102"/>
      <c r="N66" s="102"/>
      <c r="O66" s="102"/>
      <c r="P66" s="102"/>
      <c r="Q66" s="102"/>
      <c r="R66" s="102"/>
      <c r="S66" s="102"/>
      <c r="T66" s="102"/>
      <c r="U66" s="102"/>
      <c r="V66" s="102"/>
      <c r="W66" s="102"/>
      <c r="X66" s="102"/>
      <c r="Y66" s="102"/>
      <c r="Z66" s="102"/>
      <c r="AA66" s="90"/>
    </row>
    <row r="67" spans="1:27" ht="15.75" thickBot="1" x14ac:dyDescent="0.3">
      <c r="A67" s="109"/>
      <c r="B67" s="102"/>
      <c r="C67" s="102"/>
      <c r="D67" s="102"/>
      <c r="E67" s="102"/>
      <c r="F67" s="129" t="s">
        <v>266</v>
      </c>
      <c r="G67" s="129"/>
      <c r="H67" s="147" t="s">
        <v>267</v>
      </c>
      <c r="I67" s="130"/>
      <c r="J67" s="102"/>
      <c r="K67" s="102"/>
      <c r="L67" s="102"/>
      <c r="M67" s="102"/>
      <c r="N67" s="102"/>
      <c r="O67" s="102"/>
      <c r="P67" s="102"/>
      <c r="Q67" s="102"/>
      <c r="R67" s="102"/>
      <c r="S67" s="102"/>
      <c r="T67" s="102"/>
      <c r="U67" s="102"/>
      <c r="V67" s="102"/>
      <c r="W67" s="102"/>
      <c r="X67" s="102"/>
      <c r="Y67" s="102"/>
      <c r="Z67" s="102"/>
      <c r="AA67" s="90"/>
    </row>
    <row r="68" spans="1:27" ht="18.75" thickBot="1" x14ac:dyDescent="0.4">
      <c r="A68" s="109"/>
      <c r="B68" s="102"/>
      <c r="C68" s="102"/>
      <c r="D68" s="102"/>
      <c r="E68" s="103" t="s">
        <v>265</v>
      </c>
      <c r="F68" s="186">
        <f>RCOMP_Calc/1000</f>
        <v>23.774877105831759</v>
      </c>
      <c r="G68" s="169" t="s">
        <v>181</v>
      </c>
      <c r="H68" s="149">
        <v>35.6</v>
      </c>
      <c r="I68" s="121" t="s">
        <v>181</v>
      </c>
      <c r="J68" s="102"/>
      <c r="K68" s="102"/>
      <c r="L68" s="102"/>
      <c r="M68" s="102"/>
      <c r="N68" s="102"/>
      <c r="O68" s="102"/>
      <c r="P68" s="102"/>
      <c r="Q68" s="102"/>
      <c r="R68" s="102"/>
      <c r="S68" s="102"/>
      <c r="T68" s="102"/>
      <c r="U68" s="102"/>
      <c r="V68" s="102"/>
      <c r="W68" s="102"/>
      <c r="X68" s="102"/>
      <c r="Y68" s="102"/>
      <c r="Z68" s="102"/>
      <c r="AA68" s="90"/>
    </row>
    <row r="69" spans="1:27" ht="18.75" thickBot="1" x14ac:dyDescent="0.4">
      <c r="A69" s="109"/>
      <c r="B69" s="102"/>
      <c r="C69" s="102"/>
      <c r="D69" s="102"/>
      <c r="E69" s="103" t="s">
        <v>380</v>
      </c>
      <c r="F69" s="186">
        <f>CCOMP_Calc*(10^9)</f>
        <v>21.799642925120189</v>
      </c>
      <c r="G69" s="169" t="s">
        <v>183</v>
      </c>
      <c r="H69" s="149">
        <v>3.3</v>
      </c>
      <c r="I69" s="111" t="s">
        <v>183</v>
      </c>
      <c r="J69" s="102"/>
      <c r="K69" s="102"/>
      <c r="L69" s="102"/>
      <c r="M69" s="102"/>
      <c r="N69" s="102"/>
      <c r="O69" s="102"/>
      <c r="P69" s="102"/>
      <c r="Q69" s="102"/>
      <c r="R69" s="102"/>
      <c r="S69" s="102"/>
      <c r="T69" s="102"/>
      <c r="U69" s="102"/>
      <c r="V69" s="102"/>
      <c r="W69" s="102"/>
      <c r="X69" s="102"/>
      <c r="Y69" s="102"/>
      <c r="Z69" s="102"/>
      <c r="AA69" s="90"/>
    </row>
    <row r="70" spans="1:27" ht="18.75" thickBot="1" x14ac:dyDescent="0.4">
      <c r="A70" s="119"/>
      <c r="B70" s="115"/>
      <c r="C70" s="115"/>
      <c r="D70" s="115"/>
      <c r="E70" s="122" t="s">
        <v>381</v>
      </c>
      <c r="F70" s="148">
        <f>CHF_calc*(10^12)</f>
        <v>171.02737526954061</v>
      </c>
      <c r="G70" s="170" t="s">
        <v>182</v>
      </c>
      <c r="H70" s="140">
        <v>100</v>
      </c>
      <c r="I70" s="116" t="s">
        <v>182</v>
      </c>
      <c r="J70" s="102"/>
      <c r="K70" s="102"/>
      <c r="L70" s="102"/>
      <c r="M70" s="102"/>
      <c r="N70" s="102"/>
      <c r="O70" s="102"/>
      <c r="P70" s="102"/>
      <c r="Q70" s="102"/>
      <c r="R70" s="102"/>
      <c r="S70" s="102"/>
      <c r="T70" s="102"/>
      <c r="U70" s="102"/>
      <c r="V70" s="102"/>
      <c r="W70" s="102"/>
      <c r="X70" s="102"/>
      <c r="Y70" s="102"/>
      <c r="Z70" s="102"/>
      <c r="AA70" s="90"/>
    </row>
    <row r="71" spans="1:27" x14ac:dyDescent="0.25">
      <c r="A71" s="92"/>
      <c r="B71" s="92"/>
      <c r="C71" s="92"/>
      <c r="D71" s="92"/>
      <c r="E71" s="93"/>
      <c r="F71" s="184"/>
      <c r="G71" s="93"/>
      <c r="H71" s="92"/>
      <c r="I71" s="92"/>
      <c r="J71" s="92"/>
      <c r="K71" s="92"/>
      <c r="L71" s="92"/>
      <c r="M71" s="92"/>
      <c r="N71" s="92"/>
      <c r="O71" s="92"/>
      <c r="P71" s="92"/>
      <c r="Q71" s="92"/>
      <c r="R71" s="92"/>
      <c r="S71" s="92"/>
      <c r="T71" s="92"/>
      <c r="U71" s="92"/>
      <c r="V71" s="92"/>
      <c r="W71" s="92"/>
      <c r="X71" s="92"/>
      <c r="Y71" s="92"/>
      <c r="Z71" s="92"/>
      <c r="AA71" s="90"/>
    </row>
    <row r="72" spans="1:27" s="159" customFormat="1" ht="23.25" x14ac:dyDescent="0.35">
      <c r="A72" s="171" t="s">
        <v>264</v>
      </c>
      <c r="B72" s="172"/>
      <c r="C72" s="172"/>
      <c r="D72" s="172"/>
      <c r="E72" s="172"/>
      <c r="F72" s="172"/>
      <c r="G72" s="173"/>
      <c r="H72" s="172"/>
      <c r="I72" s="172"/>
      <c r="J72" s="172"/>
      <c r="K72" s="172"/>
      <c r="L72" s="172"/>
      <c r="M72" s="172"/>
      <c r="N72" s="172"/>
      <c r="O72" s="172"/>
      <c r="P72" s="172"/>
      <c r="Q72" s="172"/>
      <c r="R72" s="172"/>
      <c r="S72" s="172"/>
      <c r="T72" s="172"/>
      <c r="U72" s="172"/>
      <c r="V72" s="172"/>
      <c r="W72" s="172"/>
      <c r="X72" s="174"/>
      <c r="Y72" s="174"/>
      <c r="Z72" s="174"/>
      <c r="AA72" s="189"/>
    </row>
    <row r="73" spans="1:27" s="159" customFormat="1" x14ac:dyDescent="0.25">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4"/>
      <c r="Y73" s="174"/>
      <c r="Z73" s="174"/>
      <c r="AA73" s="189"/>
    </row>
    <row r="74" spans="1:27" s="159" customFormat="1" ht="18.75" thickBot="1" x14ac:dyDescent="0.4">
      <c r="A74" s="175" t="s">
        <v>594</v>
      </c>
      <c r="B74" s="172"/>
      <c r="C74" s="172"/>
      <c r="D74" s="172"/>
      <c r="E74" s="172"/>
      <c r="F74" s="172"/>
      <c r="G74" s="172"/>
      <c r="H74" s="172"/>
      <c r="I74" s="172"/>
      <c r="J74" s="172"/>
      <c r="K74" s="172"/>
      <c r="L74" s="172"/>
      <c r="M74" s="172"/>
      <c r="N74" s="172"/>
      <c r="O74" s="172"/>
      <c r="P74" s="172"/>
      <c r="Q74" s="172"/>
      <c r="R74" s="172"/>
      <c r="S74" s="172"/>
      <c r="T74" s="172"/>
      <c r="U74" s="172"/>
      <c r="V74" s="172"/>
      <c r="W74" s="172"/>
      <c r="X74" s="174"/>
      <c r="Y74" s="174"/>
      <c r="Z74" s="174"/>
      <c r="AA74" s="189"/>
    </row>
    <row r="75" spans="1:27" s="159" customFormat="1" ht="15.75" x14ac:dyDescent="0.3">
      <c r="A75" s="190"/>
      <c r="B75" s="191"/>
      <c r="C75" s="191"/>
      <c r="D75" s="191"/>
      <c r="E75" s="191"/>
      <c r="F75" s="191"/>
      <c r="G75" s="192" t="s">
        <v>510</v>
      </c>
      <c r="H75" s="207">
        <v>37.200000000000003</v>
      </c>
      <c r="I75" s="193" t="s">
        <v>334</v>
      </c>
      <c r="J75" s="172"/>
      <c r="K75" s="172"/>
      <c r="L75" s="172"/>
      <c r="M75" s="172"/>
      <c r="N75" s="172"/>
      <c r="O75" s="172"/>
      <c r="P75" s="172"/>
      <c r="Q75" s="172"/>
      <c r="R75" s="172"/>
      <c r="S75" s="172"/>
      <c r="T75" s="172"/>
      <c r="U75" s="172"/>
      <c r="V75" s="172"/>
      <c r="W75" s="172"/>
      <c r="X75" s="174"/>
      <c r="Y75" s="174"/>
      <c r="Z75" s="174"/>
      <c r="AA75" s="189"/>
    </row>
    <row r="76" spans="1:27" s="159" customFormat="1" ht="15.75" x14ac:dyDescent="0.3">
      <c r="A76" s="194"/>
      <c r="B76" s="172"/>
      <c r="C76" s="172"/>
      <c r="D76" s="172"/>
      <c r="E76" s="172"/>
      <c r="F76" s="172"/>
      <c r="G76" s="176" t="s">
        <v>511</v>
      </c>
      <c r="H76" s="208">
        <v>10</v>
      </c>
      <c r="I76" s="195" t="s">
        <v>335</v>
      </c>
      <c r="J76" s="172"/>
      <c r="K76" s="172"/>
      <c r="L76" s="172"/>
      <c r="M76" s="172"/>
      <c r="N76" s="172"/>
      <c r="O76" s="172"/>
      <c r="P76" s="172"/>
      <c r="Q76" s="172"/>
      <c r="R76" s="172"/>
      <c r="S76" s="172"/>
      <c r="T76" s="172"/>
      <c r="U76" s="172"/>
      <c r="V76" s="172"/>
      <c r="W76" s="172"/>
      <c r="X76" s="174"/>
      <c r="Y76" s="174"/>
      <c r="Z76" s="174"/>
      <c r="AA76" s="189"/>
    </row>
    <row r="77" spans="1:27" s="159" customFormat="1" ht="15.75" x14ac:dyDescent="0.3">
      <c r="A77" s="194"/>
      <c r="B77" s="172"/>
      <c r="C77" s="172"/>
      <c r="D77" s="172"/>
      <c r="E77" s="172"/>
      <c r="F77" s="172"/>
      <c r="G77" s="176" t="s">
        <v>512</v>
      </c>
      <c r="H77" s="208">
        <v>2.4</v>
      </c>
      <c r="I77" s="195" t="s">
        <v>335</v>
      </c>
      <c r="J77" s="172"/>
      <c r="K77" s="172"/>
      <c r="L77" s="172"/>
      <c r="M77" s="172"/>
      <c r="N77" s="172"/>
      <c r="O77" s="172"/>
      <c r="P77" s="172"/>
      <c r="Q77" s="172"/>
      <c r="R77" s="172"/>
      <c r="S77" s="172"/>
      <c r="T77" s="172"/>
      <c r="U77" s="172"/>
      <c r="V77" s="172"/>
      <c r="W77" s="172"/>
      <c r="X77" s="174"/>
      <c r="Y77" s="174"/>
      <c r="Z77" s="174"/>
      <c r="AA77" s="189"/>
    </row>
    <row r="78" spans="1:27" s="159" customFormat="1" ht="15.75" x14ac:dyDescent="0.3">
      <c r="A78" s="196"/>
      <c r="B78" s="172"/>
      <c r="C78" s="172"/>
      <c r="D78" s="172"/>
      <c r="E78" s="172"/>
      <c r="F78" s="172"/>
      <c r="G78" s="176" t="s">
        <v>513</v>
      </c>
      <c r="H78" s="208">
        <v>4.5</v>
      </c>
      <c r="I78" s="195" t="s">
        <v>335</v>
      </c>
      <c r="J78" s="172"/>
      <c r="K78" s="172"/>
      <c r="L78" s="172"/>
      <c r="M78" s="172"/>
      <c r="N78" s="172"/>
      <c r="O78" s="172"/>
      <c r="P78" s="172"/>
      <c r="Q78" s="172"/>
      <c r="R78" s="172"/>
      <c r="S78" s="172"/>
      <c r="T78" s="172"/>
      <c r="U78" s="172"/>
      <c r="V78" s="172"/>
      <c r="W78" s="172"/>
      <c r="X78" s="174"/>
      <c r="Y78" s="174"/>
      <c r="Z78" s="174"/>
      <c r="AA78" s="189"/>
    </row>
    <row r="79" spans="1:27" s="159" customFormat="1" ht="15.75" x14ac:dyDescent="0.3">
      <c r="A79" s="196"/>
      <c r="B79" s="172"/>
      <c r="C79" s="172"/>
      <c r="D79" s="172"/>
      <c r="E79" s="172"/>
      <c r="F79" s="172"/>
      <c r="G79" s="176" t="s">
        <v>514</v>
      </c>
      <c r="H79" s="208">
        <v>0</v>
      </c>
      <c r="I79" s="195" t="s">
        <v>336</v>
      </c>
      <c r="J79" s="172"/>
      <c r="K79" s="172"/>
      <c r="L79" s="172"/>
      <c r="M79" s="172"/>
      <c r="N79" s="172"/>
      <c r="O79" s="172"/>
      <c r="P79" s="172"/>
      <c r="Q79" s="172"/>
      <c r="R79" s="172"/>
      <c r="S79" s="172"/>
      <c r="T79" s="172"/>
      <c r="U79" s="172"/>
      <c r="V79" s="172"/>
      <c r="W79" s="172"/>
      <c r="X79" s="174"/>
      <c r="Y79" s="174"/>
      <c r="Z79" s="174"/>
      <c r="AA79" s="189"/>
    </row>
    <row r="80" spans="1:27" s="159" customFormat="1" ht="16.5" thickBot="1" x14ac:dyDescent="0.35">
      <c r="A80" s="197"/>
      <c r="B80" s="198"/>
      <c r="C80" s="198"/>
      <c r="D80" s="198"/>
      <c r="E80" s="198"/>
      <c r="F80" s="198"/>
      <c r="G80" s="199" t="s">
        <v>515</v>
      </c>
      <c r="H80" s="209">
        <v>1.7</v>
      </c>
      <c r="I80" s="200" t="s">
        <v>10</v>
      </c>
      <c r="J80" s="172"/>
      <c r="K80" s="172"/>
      <c r="L80" s="172"/>
      <c r="M80" s="172"/>
      <c r="N80" s="172"/>
      <c r="O80" s="172"/>
      <c r="P80" s="172"/>
      <c r="Q80" s="172"/>
      <c r="R80" s="172"/>
      <c r="S80" s="172"/>
      <c r="T80" s="172"/>
      <c r="U80" s="172"/>
      <c r="V80" s="172"/>
      <c r="W80" s="172"/>
      <c r="X80" s="174"/>
      <c r="Y80" s="174"/>
      <c r="Z80" s="174"/>
      <c r="AA80" s="189"/>
    </row>
    <row r="81" spans="1:27" s="159" customFormat="1" x14ac:dyDescent="0.25">
      <c r="A81" s="172"/>
      <c r="B81" s="172"/>
      <c r="C81" s="172"/>
      <c r="D81" s="172"/>
      <c r="E81" s="172"/>
      <c r="F81" s="172"/>
      <c r="G81" s="173"/>
      <c r="H81" s="172"/>
      <c r="I81" s="172"/>
      <c r="J81" s="172"/>
      <c r="K81" s="172"/>
      <c r="L81" s="172"/>
      <c r="M81" s="172"/>
      <c r="N81" s="172"/>
      <c r="O81" s="172"/>
      <c r="P81" s="172"/>
      <c r="Q81" s="172"/>
      <c r="R81" s="172"/>
      <c r="S81" s="172"/>
      <c r="T81" s="172"/>
      <c r="U81" s="172"/>
      <c r="V81" s="172"/>
      <c r="W81" s="172"/>
      <c r="X81" s="174"/>
      <c r="Y81" s="174"/>
      <c r="Z81" s="174"/>
      <c r="AA81" s="189"/>
    </row>
    <row r="82" spans="1:27" s="159" customFormat="1" ht="18.75" thickBot="1" x14ac:dyDescent="0.4">
      <c r="A82" s="175" t="s">
        <v>595</v>
      </c>
      <c r="B82" s="172"/>
      <c r="C82" s="172"/>
      <c r="D82" s="172"/>
      <c r="E82" s="172"/>
      <c r="F82" s="172"/>
      <c r="G82" s="173"/>
      <c r="H82" s="172"/>
      <c r="I82" s="172"/>
      <c r="J82" s="172"/>
      <c r="K82" s="172"/>
      <c r="L82" s="172"/>
      <c r="M82" s="172"/>
      <c r="N82" s="172"/>
      <c r="O82" s="172"/>
      <c r="P82" s="172"/>
      <c r="Q82" s="172"/>
      <c r="R82" s="172"/>
      <c r="S82" s="172"/>
      <c r="T82" s="172"/>
      <c r="U82" s="172"/>
      <c r="V82" s="172"/>
      <c r="W82" s="172"/>
      <c r="X82" s="174"/>
      <c r="Y82" s="174"/>
      <c r="Z82" s="174"/>
      <c r="AA82" s="189"/>
    </row>
    <row r="83" spans="1:27" s="159" customFormat="1" ht="15.75" x14ac:dyDescent="0.3">
      <c r="A83" s="190"/>
      <c r="B83" s="191"/>
      <c r="C83" s="191"/>
      <c r="D83" s="191"/>
      <c r="E83" s="191"/>
      <c r="F83" s="191"/>
      <c r="G83" s="192" t="s">
        <v>583</v>
      </c>
      <c r="H83" s="207">
        <v>8.8000000000000007</v>
      </c>
      <c r="I83" s="193" t="s">
        <v>334</v>
      </c>
      <c r="J83" s="172"/>
      <c r="K83" s="172"/>
      <c r="L83" s="172"/>
      <c r="M83" s="172"/>
      <c r="N83" s="172"/>
      <c r="O83" s="172"/>
      <c r="P83" s="172"/>
      <c r="Q83" s="172"/>
      <c r="R83" s="172"/>
      <c r="S83" s="172"/>
      <c r="T83" s="172"/>
      <c r="U83" s="172"/>
      <c r="V83" s="172"/>
      <c r="W83" s="172"/>
      <c r="X83" s="174"/>
      <c r="Y83" s="174"/>
      <c r="Z83" s="174"/>
      <c r="AA83" s="189"/>
    </row>
    <row r="84" spans="1:27" s="159" customFormat="1" ht="15.75" x14ac:dyDescent="0.3">
      <c r="A84" s="196"/>
      <c r="B84" s="172"/>
      <c r="C84" s="172"/>
      <c r="D84" s="172"/>
      <c r="E84" s="172"/>
      <c r="F84" s="172"/>
      <c r="G84" s="176" t="s">
        <v>584</v>
      </c>
      <c r="H84" s="208">
        <v>10</v>
      </c>
      <c r="I84" s="195" t="s">
        <v>335</v>
      </c>
      <c r="J84" s="172"/>
      <c r="K84" s="172"/>
      <c r="L84" s="172"/>
      <c r="M84" s="172"/>
      <c r="N84" s="172"/>
      <c r="O84" s="172"/>
      <c r="P84" s="172"/>
      <c r="Q84" s="172"/>
      <c r="R84" s="172"/>
      <c r="S84" s="172"/>
      <c r="T84" s="172"/>
      <c r="U84" s="172"/>
      <c r="V84" s="172"/>
      <c r="W84" s="172"/>
      <c r="X84" s="174"/>
      <c r="Y84" s="174"/>
      <c r="Z84" s="174"/>
      <c r="AA84" s="189"/>
    </row>
    <row r="85" spans="1:27" s="159" customFormat="1" ht="15.75" x14ac:dyDescent="0.3">
      <c r="A85" s="196"/>
      <c r="B85" s="172"/>
      <c r="C85" s="172"/>
      <c r="D85" s="172"/>
      <c r="E85" s="172"/>
      <c r="F85" s="172"/>
      <c r="G85" s="176" t="s">
        <v>585</v>
      </c>
      <c r="H85" s="208">
        <v>2.4</v>
      </c>
      <c r="I85" s="195" t="s">
        <v>335</v>
      </c>
      <c r="J85" s="172"/>
      <c r="K85" s="172"/>
      <c r="L85" s="172"/>
      <c r="M85" s="172"/>
      <c r="N85" s="172"/>
      <c r="O85" s="172"/>
      <c r="P85" s="172"/>
      <c r="Q85" s="172"/>
      <c r="R85" s="172"/>
      <c r="S85" s="172"/>
      <c r="T85" s="172"/>
      <c r="U85" s="172"/>
      <c r="V85" s="172"/>
      <c r="W85" s="172"/>
      <c r="X85" s="174"/>
      <c r="Y85" s="174"/>
      <c r="Z85" s="174"/>
      <c r="AA85" s="189"/>
    </row>
    <row r="86" spans="1:27" s="159" customFormat="1" ht="15.75" x14ac:dyDescent="0.3">
      <c r="A86" s="196"/>
      <c r="B86" s="172"/>
      <c r="C86" s="172"/>
      <c r="D86" s="172"/>
      <c r="E86" s="172"/>
      <c r="F86" s="172"/>
      <c r="G86" s="176" t="s">
        <v>586</v>
      </c>
      <c r="H86" s="208">
        <v>4.5</v>
      </c>
      <c r="I86" s="195" t="s">
        <v>335</v>
      </c>
      <c r="J86" s="172"/>
      <c r="K86" s="172"/>
      <c r="L86" s="172"/>
      <c r="M86" s="172"/>
      <c r="N86" s="172"/>
      <c r="O86" s="172"/>
      <c r="P86" s="172"/>
      <c r="Q86" s="172"/>
      <c r="R86" s="172"/>
      <c r="S86" s="172"/>
      <c r="T86" s="172"/>
      <c r="U86" s="172"/>
      <c r="V86" s="172"/>
      <c r="W86" s="172"/>
      <c r="X86" s="174"/>
      <c r="Y86" s="174"/>
      <c r="Z86" s="174"/>
      <c r="AA86" s="189"/>
    </row>
    <row r="87" spans="1:27" s="159" customFormat="1" ht="15.75" x14ac:dyDescent="0.3">
      <c r="A87" s="196"/>
      <c r="B87" s="172"/>
      <c r="C87" s="172"/>
      <c r="D87" s="172"/>
      <c r="E87" s="172"/>
      <c r="F87" s="172"/>
      <c r="G87" s="176" t="s">
        <v>582</v>
      </c>
      <c r="H87" s="208">
        <v>0</v>
      </c>
      <c r="I87" s="195" t="s">
        <v>336</v>
      </c>
      <c r="J87" s="172"/>
      <c r="K87" s="172"/>
      <c r="L87" s="172"/>
      <c r="M87" s="172"/>
      <c r="N87" s="172"/>
      <c r="O87" s="172"/>
      <c r="P87" s="172"/>
      <c r="Q87" s="172"/>
      <c r="R87" s="172"/>
      <c r="S87" s="172"/>
      <c r="T87" s="172"/>
      <c r="U87" s="172"/>
      <c r="V87" s="172"/>
      <c r="W87" s="172"/>
      <c r="X87" s="174"/>
      <c r="Y87" s="174"/>
      <c r="Z87" s="174"/>
      <c r="AA87" s="189"/>
    </row>
    <row r="88" spans="1:27" s="159" customFormat="1" ht="15.75" x14ac:dyDescent="0.3">
      <c r="A88" s="196"/>
      <c r="B88" s="172"/>
      <c r="C88" s="172"/>
      <c r="D88" s="172"/>
      <c r="E88" s="172"/>
      <c r="F88" s="172"/>
      <c r="G88" s="176" t="s">
        <v>581</v>
      </c>
      <c r="H88" s="208">
        <v>1.7</v>
      </c>
      <c r="I88" s="195" t="s">
        <v>10</v>
      </c>
      <c r="J88" s="172"/>
      <c r="K88" s="172"/>
      <c r="L88" s="172"/>
      <c r="M88" s="172"/>
      <c r="N88" s="172"/>
      <c r="O88" s="172"/>
      <c r="P88" s="172"/>
      <c r="Q88" s="172"/>
      <c r="R88" s="172"/>
      <c r="S88" s="172"/>
      <c r="T88" s="172"/>
      <c r="U88" s="172"/>
      <c r="V88" s="172"/>
      <c r="W88" s="172"/>
      <c r="X88" s="174"/>
      <c r="Y88" s="174"/>
      <c r="Z88" s="174"/>
      <c r="AA88" s="189"/>
    </row>
    <row r="89" spans="1:27" s="159" customFormat="1" ht="18" x14ac:dyDescent="0.35">
      <c r="A89" s="196"/>
      <c r="B89" s="172"/>
      <c r="C89" s="172"/>
      <c r="D89" s="172"/>
      <c r="E89" s="172"/>
      <c r="F89" s="172"/>
      <c r="G89" s="173" t="s">
        <v>579</v>
      </c>
      <c r="H89" s="208">
        <v>33</v>
      </c>
      <c r="I89" s="201" t="s">
        <v>335</v>
      </c>
      <c r="J89" s="172"/>
      <c r="K89" s="172"/>
      <c r="L89" s="172"/>
      <c r="M89" s="172"/>
      <c r="N89" s="172"/>
      <c r="O89" s="172"/>
      <c r="P89" s="172"/>
      <c r="Q89" s="172"/>
      <c r="R89" s="172"/>
      <c r="S89" s="172"/>
      <c r="T89" s="172"/>
      <c r="U89" s="172"/>
      <c r="V89" s="172"/>
      <c r="W89" s="172"/>
      <c r="X89" s="174"/>
      <c r="Y89" s="174"/>
      <c r="Z89" s="174"/>
      <c r="AA89" s="189"/>
    </row>
    <row r="90" spans="1:27" s="159" customFormat="1" ht="18.75" thickBot="1" x14ac:dyDescent="0.4">
      <c r="A90" s="197"/>
      <c r="B90" s="198"/>
      <c r="C90" s="198"/>
      <c r="D90" s="198"/>
      <c r="E90" s="198"/>
      <c r="F90" s="198"/>
      <c r="G90" s="202" t="s">
        <v>580</v>
      </c>
      <c r="H90" s="209">
        <v>0.8</v>
      </c>
      <c r="I90" s="203" t="s">
        <v>10</v>
      </c>
      <c r="J90" s="172"/>
      <c r="K90" s="172"/>
      <c r="L90" s="172"/>
      <c r="M90" s="172"/>
      <c r="N90" s="172"/>
      <c r="O90" s="172"/>
      <c r="P90" s="172"/>
      <c r="Q90" s="172"/>
      <c r="R90" s="172"/>
      <c r="S90" s="172"/>
      <c r="T90" s="172"/>
      <c r="U90" s="172"/>
      <c r="V90" s="172"/>
      <c r="W90" s="172"/>
      <c r="X90" s="174"/>
      <c r="Y90" s="174"/>
      <c r="Z90" s="174"/>
      <c r="AA90" s="189"/>
    </row>
    <row r="91" spans="1:27" x14ac:dyDescent="0.25">
      <c r="A91" s="172"/>
      <c r="B91" s="172"/>
      <c r="C91" s="172"/>
      <c r="D91" s="172"/>
      <c r="E91" s="172"/>
      <c r="F91" s="172"/>
      <c r="G91" s="173"/>
      <c r="H91" s="172"/>
      <c r="I91" s="172"/>
      <c r="J91" s="172"/>
      <c r="K91" s="172"/>
      <c r="L91" s="172"/>
      <c r="M91" s="172"/>
      <c r="N91" s="172"/>
      <c r="O91" s="172"/>
      <c r="P91" s="172"/>
      <c r="Q91" s="172"/>
      <c r="R91" s="172"/>
      <c r="S91" s="172"/>
      <c r="T91" s="172"/>
      <c r="U91" s="172"/>
      <c r="V91" s="172"/>
      <c r="W91" s="172"/>
      <c r="X91" s="102"/>
      <c r="Y91" s="102"/>
      <c r="Z91" s="102"/>
      <c r="AA91" s="92"/>
    </row>
    <row r="92" spans="1:27" x14ac:dyDescent="0.25">
      <c r="A92" s="172"/>
      <c r="B92" s="172"/>
      <c r="C92" s="172"/>
      <c r="D92" s="172"/>
      <c r="E92" s="172"/>
      <c r="F92" s="172"/>
      <c r="G92" s="173"/>
      <c r="H92" s="172"/>
      <c r="I92" s="172"/>
      <c r="J92" s="172"/>
      <c r="K92" s="172"/>
      <c r="L92" s="172"/>
      <c r="M92" s="172"/>
      <c r="N92" s="172"/>
      <c r="O92" s="172"/>
      <c r="P92" s="172"/>
      <c r="Q92" s="172"/>
      <c r="R92" s="172"/>
      <c r="S92" s="172"/>
      <c r="T92" s="172"/>
      <c r="U92" s="172"/>
      <c r="V92" s="172"/>
      <c r="W92" s="172"/>
      <c r="X92" s="102"/>
      <c r="Y92" s="102"/>
      <c r="Z92" s="102"/>
      <c r="AA92" s="92"/>
    </row>
    <row r="93" spans="1:27" x14ac:dyDescent="0.25">
      <c r="A93" s="172"/>
      <c r="B93" s="172"/>
      <c r="C93" s="172"/>
      <c r="D93" s="172"/>
      <c r="E93" s="172"/>
      <c r="F93" s="172"/>
      <c r="G93" s="173"/>
      <c r="H93" s="172"/>
      <c r="I93" s="172"/>
      <c r="J93" s="172"/>
      <c r="K93" s="172"/>
      <c r="L93" s="172"/>
      <c r="M93" s="172"/>
      <c r="N93" s="172"/>
      <c r="O93" s="172"/>
      <c r="P93" s="172"/>
      <c r="Q93" s="172"/>
      <c r="R93" s="172"/>
      <c r="S93" s="172"/>
      <c r="T93" s="172"/>
      <c r="U93" s="172"/>
      <c r="V93" s="172"/>
      <c r="W93" s="172"/>
      <c r="X93" s="102"/>
      <c r="Y93" s="102"/>
      <c r="Z93" s="102"/>
      <c r="AA93" s="92"/>
    </row>
    <row r="94" spans="1:27" x14ac:dyDescent="0.25">
      <c r="A94" s="172"/>
      <c r="B94" s="172"/>
      <c r="C94" s="172"/>
      <c r="D94" s="172"/>
      <c r="E94" s="172"/>
      <c r="F94" s="172"/>
      <c r="G94" s="173"/>
      <c r="H94" s="172"/>
      <c r="I94" s="172"/>
      <c r="J94" s="172"/>
      <c r="K94" s="172"/>
      <c r="L94" s="172"/>
      <c r="M94" s="172"/>
      <c r="N94" s="172"/>
      <c r="O94" s="172"/>
      <c r="P94" s="172"/>
      <c r="Q94" s="172"/>
      <c r="R94" s="172"/>
      <c r="S94" s="172"/>
      <c r="T94" s="172"/>
      <c r="U94" s="172"/>
      <c r="V94" s="172"/>
      <c r="W94" s="172"/>
      <c r="X94" s="102"/>
      <c r="Y94" s="102"/>
      <c r="Z94" s="102"/>
      <c r="AA94" s="92"/>
    </row>
    <row r="95" spans="1:27" x14ac:dyDescent="0.25">
      <c r="A95" s="172"/>
      <c r="B95" s="172"/>
      <c r="C95" s="172"/>
      <c r="D95" s="172"/>
      <c r="E95" s="172"/>
      <c r="F95" s="172"/>
      <c r="G95" s="173"/>
      <c r="H95" s="172"/>
      <c r="I95" s="172"/>
      <c r="J95" s="172"/>
      <c r="K95" s="172"/>
      <c r="L95" s="172"/>
      <c r="M95" s="172"/>
      <c r="N95" s="172"/>
      <c r="O95" s="172"/>
      <c r="P95" s="172"/>
      <c r="Q95" s="172"/>
      <c r="R95" s="172"/>
      <c r="S95" s="172"/>
      <c r="T95" s="172"/>
      <c r="U95" s="172"/>
      <c r="V95" s="172"/>
      <c r="W95" s="172"/>
      <c r="X95" s="102"/>
      <c r="Y95" s="102"/>
      <c r="Z95" s="102"/>
      <c r="AA95" s="92"/>
    </row>
    <row r="96" spans="1:27" x14ac:dyDescent="0.25">
      <c r="A96" s="102"/>
      <c r="B96" s="102"/>
      <c r="C96" s="102"/>
      <c r="D96" s="102"/>
      <c r="E96" s="102"/>
      <c r="F96" s="102"/>
      <c r="G96" s="103"/>
      <c r="H96" s="102"/>
      <c r="I96" s="102"/>
      <c r="J96" s="102"/>
      <c r="K96" s="102"/>
      <c r="L96" s="102"/>
      <c r="M96" s="102"/>
      <c r="N96" s="102"/>
      <c r="O96" s="102"/>
      <c r="P96" s="102"/>
      <c r="Q96" s="102"/>
      <c r="R96" s="102"/>
      <c r="S96" s="102"/>
      <c r="T96" s="102"/>
      <c r="U96" s="102"/>
      <c r="V96" s="102"/>
      <c r="W96" s="102"/>
      <c r="X96" s="102"/>
      <c r="Y96" s="102"/>
      <c r="Z96" s="102"/>
      <c r="AA96" s="92"/>
    </row>
    <row r="97" spans="1:27" x14ac:dyDescent="0.25">
      <c r="A97" s="102"/>
      <c r="B97" s="102"/>
      <c r="C97" s="102"/>
      <c r="D97" s="102"/>
      <c r="E97" s="102"/>
      <c r="F97" s="102"/>
      <c r="G97" s="103"/>
      <c r="H97" s="102"/>
      <c r="I97" s="102"/>
      <c r="J97" s="102"/>
      <c r="K97" s="102"/>
      <c r="L97" s="102"/>
      <c r="M97" s="102"/>
      <c r="N97" s="102"/>
      <c r="O97" s="102"/>
      <c r="P97" s="102"/>
      <c r="Q97" s="102"/>
      <c r="R97" s="102"/>
      <c r="S97" s="102"/>
      <c r="T97" s="102"/>
      <c r="U97" s="102"/>
      <c r="V97" s="102"/>
      <c r="W97" s="102"/>
      <c r="X97" s="102"/>
      <c r="Y97" s="102"/>
      <c r="Z97" s="102"/>
      <c r="AA97" s="92"/>
    </row>
    <row r="98" spans="1:27" x14ac:dyDescent="0.25">
      <c r="A98" s="92"/>
      <c r="B98" s="92"/>
      <c r="C98" s="92"/>
      <c r="D98" s="92"/>
      <c r="E98" s="92"/>
      <c r="F98" s="92"/>
      <c r="G98" s="93"/>
      <c r="H98" s="92"/>
      <c r="I98" s="92"/>
      <c r="J98" s="92"/>
      <c r="K98" s="92"/>
      <c r="L98" s="92"/>
      <c r="M98" s="92"/>
      <c r="N98" s="92"/>
      <c r="O98" s="92"/>
      <c r="P98" s="92"/>
      <c r="Q98" s="92"/>
      <c r="R98" s="92"/>
      <c r="S98" s="92"/>
      <c r="T98" s="92"/>
      <c r="U98" s="92"/>
      <c r="V98" s="92"/>
      <c r="W98" s="92"/>
      <c r="X98" s="92"/>
      <c r="Y98" s="92"/>
      <c r="Z98" s="92"/>
      <c r="AA98" s="90"/>
    </row>
  </sheetData>
  <pageMargins left="0.2" right="0.2" top="0.25" bottom="0.25" header="0" footer="0"/>
  <pageSetup paperSize="9" scale="4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60" r:id="rId4" name="Spinner 36">
              <controlPr defaultSize="0" autoPict="0">
                <anchor moveWithCells="1" sizeWithCells="1">
                  <from>
                    <xdr:col>7</xdr:col>
                    <xdr:colOff>561975</xdr:colOff>
                    <xdr:row>53</xdr:row>
                    <xdr:rowOff>0</xdr:rowOff>
                  </from>
                  <to>
                    <xdr:col>8</xdr:col>
                    <xdr:colOff>9525</xdr:colOff>
                    <xdr:row>55</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Lists!$F$3:$F$5</xm:f>
          </x14:formula1>
          <xm:sqref>H12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268"/>
  <sheetViews>
    <sheetView zoomScaleNormal="100" workbookViewId="0">
      <pane ySplit="5" topLeftCell="A6" activePane="bottomLeft" state="frozen"/>
      <selection pane="bottomLeft" activeCell="C53" sqref="C53"/>
    </sheetView>
  </sheetViews>
  <sheetFormatPr defaultRowHeight="15" x14ac:dyDescent="0.25"/>
  <cols>
    <col min="1" max="1" width="28.85546875" customWidth="1"/>
    <col min="2" max="2" width="19.5703125" customWidth="1"/>
    <col min="3" max="3" width="10.85546875" customWidth="1"/>
    <col min="4" max="4" width="10" bestFit="1" customWidth="1"/>
    <col min="5" max="5" width="18.5703125" customWidth="1"/>
    <col min="6" max="6" width="14.85546875" customWidth="1"/>
    <col min="7" max="7" width="15.140625" customWidth="1"/>
    <col min="8" max="9" width="12.5703125" customWidth="1"/>
    <col min="12" max="12" width="12.42578125" bestFit="1" customWidth="1"/>
  </cols>
  <sheetData>
    <row r="1" spans="1:17" ht="27.75" x14ac:dyDescent="0.4">
      <c r="A1" s="213" t="s">
        <v>15</v>
      </c>
      <c r="B1" s="213"/>
      <c r="C1" s="213"/>
      <c r="D1" s="213"/>
      <c r="E1" s="213"/>
      <c r="F1" s="213"/>
      <c r="G1" s="213"/>
      <c r="H1" s="213"/>
      <c r="I1" s="213"/>
      <c r="J1" s="213"/>
    </row>
    <row r="2" spans="1:17" x14ac:dyDescent="0.25">
      <c r="A2" s="5"/>
      <c r="B2" s="5" t="s">
        <v>16</v>
      </c>
      <c r="C2" s="6"/>
      <c r="D2" s="4"/>
      <c r="E2" s="5"/>
      <c r="F2" s="5"/>
      <c r="G2" s="5"/>
      <c r="H2" s="5"/>
      <c r="I2" s="5"/>
      <c r="J2" s="5"/>
    </row>
    <row r="3" spans="1:17" x14ac:dyDescent="0.25">
      <c r="A3" s="5"/>
      <c r="B3" s="5" t="s">
        <v>17</v>
      </c>
      <c r="C3" s="7"/>
      <c r="D3" s="4"/>
      <c r="E3" s="5"/>
      <c r="F3" s="14" t="s">
        <v>60</v>
      </c>
      <c r="G3" s="15" t="s">
        <v>61</v>
      </c>
      <c r="H3" s="24" t="s">
        <v>533</v>
      </c>
      <c r="I3" s="5"/>
      <c r="J3" s="5"/>
    </row>
    <row r="4" spans="1:17" x14ac:dyDescent="0.25">
      <c r="A4" s="5"/>
      <c r="B4" s="5" t="s">
        <v>18</v>
      </c>
      <c r="C4" s="8"/>
      <c r="D4" s="4"/>
      <c r="E4" s="5"/>
      <c r="F4" s="5"/>
      <c r="G4" s="5"/>
      <c r="H4" s="5"/>
      <c r="I4" s="5"/>
      <c r="J4" s="5"/>
    </row>
    <row r="5" spans="1:17" x14ac:dyDescent="0.25">
      <c r="A5" s="9" t="s">
        <v>19</v>
      </c>
      <c r="B5" s="9" t="s">
        <v>20</v>
      </c>
      <c r="C5" s="9" t="s">
        <v>21</v>
      </c>
      <c r="D5" s="4"/>
      <c r="E5" s="214" t="s">
        <v>22</v>
      </c>
      <c r="F5" s="214"/>
      <c r="G5" s="214"/>
      <c r="H5" s="214"/>
      <c r="I5" s="5"/>
      <c r="J5" s="9" t="s">
        <v>23</v>
      </c>
      <c r="K5" s="9" t="s">
        <v>67</v>
      </c>
      <c r="L5" s="4"/>
      <c r="M5" s="4"/>
      <c r="N5" s="4"/>
      <c r="O5" s="4"/>
      <c r="P5" s="4"/>
      <c r="Q5" s="4"/>
    </row>
    <row r="6" spans="1:17" ht="15.75" x14ac:dyDescent="0.25">
      <c r="A6" s="10" t="s">
        <v>24</v>
      </c>
      <c r="B6" s="9"/>
      <c r="C6" s="9"/>
      <c r="D6" s="9"/>
      <c r="E6" s="5"/>
      <c r="F6" s="5"/>
      <c r="G6" s="5"/>
      <c r="H6" s="5"/>
      <c r="I6" s="5"/>
      <c r="J6" s="9"/>
      <c r="K6" s="4"/>
      <c r="L6" s="4"/>
      <c r="M6" s="4"/>
      <c r="N6" s="4"/>
      <c r="O6" s="4"/>
      <c r="P6" s="4"/>
      <c r="Q6" s="4"/>
    </row>
    <row r="7" spans="1:17" x14ac:dyDescent="0.25">
      <c r="A7" t="s">
        <v>25</v>
      </c>
      <c r="B7" s="3">
        <f>'Design Converter'!H7</f>
        <v>10</v>
      </c>
      <c r="C7" t="s">
        <v>10</v>
      </c>
      <c r="E7" t="s">
        <v>28</v>
      </c>
    </row>
    <row r="8" spans="1:17" x14ac:dyDescent="0.25">
      <c r="A8" t="s">
        <v>26</v>
      </c>
      <c r="B8" s="3">
        <f>'Design Converter'!H8</f>
        <v>3</v>
      </c>
      <c r="C8" t="s">
        <v>10</v>
      </c>
      <c r="E8" t="s">
        <v>29</v>
      </c>
      <c r="K8">
        <f>IF(VIN_min&lt;VIN_min,1,IF(VIN_nom&gt;VIN_max,1,0))</f>
        <v>0</v>
      </c>
    </row>
    <row r="9" spans="1:17" x14ac:dyDescent="0.25">
      <c r="A9" t="s">
        <v>27</v>
      </c>
      <c r="B9" s="3">
        <f>'Design Converter'!H9</f>
        <v>16</v>
      </c>
      <c r="C9" t="s">
        <v>10</v>
      </c>
      <c r="E9" t="s">
        <v>30</v>
      </c>
    </row>
    <row r="10" spans="1:17" x14ac:dyDescent="0.25">
      <c r="A10" t="s">
        <v>64</v>
      </c>
      <c r="B10" s="3">
        <f>'Design Converter'!H13*1000</f>
        <v>440000</v>
      </c>
      <c r="C10" t="s">
        <v>65</v>
      </c>
      <c r="E10" t="s">
        <v>66</v>
      </c>
    </row>
    <row r="11" spans="1:17" x14ac:dyDescent="0.25">
      <c r="A11" t="s">
        <v>68</v>
      </c>
      <c r="B11" s="18">
        <f>((2.21*10^10)/Fsw)-955</f>
        <v>49272.272727272728</v>
      </c>
      <c r="C11" s="2" t="s">
        <v>36</v>
      </c>
      <c r="E11" t="s">
        <v>69</v>
      </c>
    </row>
    <row r="12" spans="1:17" x14ac:dyDescent="0.25">
      <c r="A12" t="s">
        <v>31</v>
      </c>
      <c r="B12" s="3">
        <f>'Design Converter'!H10</f>
        <v>50</v>
      </c>
      <c r="C12" t="s">
        <v>10</v>
      </c>
      <c r="E12" t="s">
        <v>32</v>
      </c>
    </row>
    <row r="13" spans="1:17" x14ac:dyDescent="0.25">
      <c r="A13" t="s">
        <v>33</v>
      </c>
      <c r="B13" s="3">
        <f>'Design Converter'!H11</f>
        <v>4.5</v>
      </c>
      <c r="C13" t="s">
        <v>11</v>
      </c>
      <c r="E13" t="s">
        <v>34</v>
      </c>
    </row>
    <row r="14" spans="1:17" x14ac:dyDescent="0.25">
      <c r="A14" t="s">
        <v>35</v>
      </c>
      <c r="B14" s="17">
        <f>VOUT/IOUT</f>
        <v>11.111111111111111</v>
      </c>
      <c r="C14" s="2" t="s">
        <v>36</v>
      </c>
      <c r="E14" t="s">
        <v>41</v>
      </c>
    </row>
    <row r="15" spans="1:17" x14ac:dyDescent="0.25">
      <c r="A15" t="s">
        <v>37</v>
      </c>
      <c r="B15" s="1">
        <f>VOUT*IOUT</f>
        <v>225</v>
      </c>
      <c r="C15" s="2" t="s">
        <v>38</v>
      </c>
      <c r="E15" t="s">
        <v>40</v>
      </c>
    </row>
    <row r="16" spans="1:17" x14ac:dyDescent="0.25">
      <c r="A16" t="s">
        <v>39</v>
      </c>
      <c r="B16" s="11">
        <v>1</v>
      </c>
      <c r="E16" t="s">
        <v>525</v>
      </c>
    </row>
    <row r="17" spans="1:11" x14ac:dyDescent="0.25">
      <c r="A17" t="s">
        <v>531</v>
      </c>
      <c r="B17" s="12">
        <v>1</v>
      </c>
      <c r="E17" t="s">
        <v>532</v>
      </c>
    </row>
    <row r="19" spans="1:11" x14ac:dyDescent="0.25">
      <c r="A19" t="s">
        <v>518</v>
      </c>
      <c r="B19">
        <f>IF(VOUT&lt;=15,1,2)</f>
        <v>2</v>
      </c>
      <c r="E19" t="s">
        <v>520</v>
      </c>
    </row>
    <row r="20" spans="1:11" x14ac:dyDescent="0.25">
      <c r="A20" t="s">
        <v>522</v>
      </c>
      <c r="B20">
        <f>IF('Design Converter'!H12="FPWM",3,IF('Design Converter'!H12="DEM",2,1))</f>
        <v>2</v>
      </c>
      <c r="E20" t="s">
        <v>523</v>
      </c>
    </row>
    <row r="22" spans="1:11" x14ac:dyDescent="0.25">
      <c r="A22" t="s">
        <v>42</v>
      </c>
      <c r="B22" s="1">
        <f>1-VIN_min*EFF_est/VOUT</f>
        <v>0.8</v>
      </c>
      <c r="E22" t="s">
        <v>420</v>
      </c>
    </row>
    <row r="23" spans="1:11" x14ac:dyDescent="0.25">
      <c r="A23" t="s">
        <v>43</v>
      </c>
      <c r="B23" s="12">
        <f>Constants!B20-0.02</f>
        <v>0.88</v>
      </c>
      <c r="E23" t="s">
        <v>528</v>
      </c>
    </row>
    <row r="24" spans="1:11" x14ac:dyDescent="0.25">
      <c r="B24" s="160"/>
    </row>
    <row r="25" spans="1:11" x14ac:dyDescent="0.25">
      <c r="A25" t="s">
        <v>424</v>
      </c>
      <c r="B25" s="150">
        <f>IF(B22&gt;Dc_max_IC,1,2)</f>
        <v>2</v>
      </c>
      <c r="E25" t="s">
        <v>526</v>
      </c>
      <c r="K25">
        <f>IF(B25=1,1,0)</f>
        <v>0</v>
      </c>
    </row>
    <row r="26" spans="1:11" x14ac:dyDescent="0.25">
      <c r="E26" t="s">
        <v>527</v>
      </c>
    </row>
    <row r="28" spans="1:11" x14ac:dyDescent="0.25">
      <c r="A28" s="19" t="s">
        <v>72</v>
      </c>
      <c r="E28" t="b">
        <f>AND((1-(VIN_max/VOUT))&lt;Dc_rip_max,(1-(VIN_min/VOUT))&lt;Dc_rip_max)</f>
        <v>0</v>
      </c>
    </row>
    <row r="29" spans="1:11" x14ac:dyDescent="0.25">
      <c r="A29" s="151" t="s">
        <v>426</v>
      </c>
    </row>
    <row r="30" spans="1:11" x14ac:dyDescent="0.25">
      <c r="A30" t="s">
        <v>88</v>
      </c>
      <c r="B30" s="3">
        <f>'Design Converter'!H21/100</f>
        <v>0.2</v>
      </c>
      <c r="E30" t="s">
        <v>107</v>
      </c>
    </row>
    <row r="31" spans="1:11" x14ac:dyDescent="0.25">
      <c r="A31" t="s">
        <v>118</v>
      </c>
      <c r="B31" s="12">
        <v>0.33</v>
      </c>
      <c r="C31" t="s">
        <v>13</v>
      </c>
      <c r="E31" t="s">
        <v>117</v>
      </c>
    </row>
    <row r="32" spans="1:11" x14ac:dyDescent="0.25">
      <c r="A32" t="s">
        <v>425</v>
      </c>
      <c r="B32" s="16">
        <f>IF(AND((1-(VIN_max/VOUT))&lt;Dc_rip_max,(1-(VIN_min/VOUT))&gt;=Dc_rip_max),Dc_rip_max,IF((1-(VIN_max/VOUT))&gt;Dc_rip_max,(1-(VIN_max/VOUT)),IF((1-(VIN_min/VOUT))&lt;Dc_rip_max,(1-(VIN_min/VOUT)),0.33)))</f>
        <v>0.67999999999999994</v>
      </c>
    </row>
    <row r="33" spans="1:5" x14ac:dyDescent="0.25">
      <c r="A33" t="s">
        <v>94</v>
      </c>
      <c r="B33" s="1">
        <f>VOUT*(1-DC_rip)</f>
        <v>16.000000000000004</v>
      </c>
      <c r="C33" t="s">
        <v>10</v>
      </c>
      <c r="E33" t="s">
        <v>120</v>
      </c>
    </row>
    <row r="35" spans="1:5" x14ac:dyDescent="0.25">
      <c r="A35" t="s">
        <v>95</v>
      </c>
      <c r="B35" s="16">
        <f>(VOUT*IOUT)/(VIN_33)</f>
        <v>14.062499999999996</v>
      </c>
      <c r="C35" t="s">
        <v>11</v>
      </c>
      <c r="E35" t="s">
        <v>119</v>
      </c>
    </row>
    <row r="36" spans="1:5" x14ac:dyDescent="0.25">
      <c r="A36" t="s">
        <v>96</v>
      </c>
      <c r="B36" s="23">
        <f>(VIN_33*DC_rip)/(IIN_33*ILrip*Fsw)</f>
        <v>8.7919191919191937E-6</v>
      </c>
      <c r="C36" t="s">
        <v>87</v>
      </c>
      <c r="E36" t="s">
        <v>440</v>
      </c>
    </row>
    <row r="38" spans="1:5" x14ac:dyDescent="0.25">
      <c r="A38" s="151" t="s">
        <v>529</v>
      </c>
    </row>
    <row r="39" spans="1:5" x14ac:dyDescent="0.25">
      <c r="A39" t="s">
        <v>429</v>
      </c>
      <c r="B39" s="3">
        <f>'Design Converter'!H21/100</f>
        <v>0.2</v>
      </c>
      <c r="E39" t="s">
        <v>430</v>
      </c>
    </row>
    <row r="40" spans="1:5" x14ac:dyDescent="0.25">
      <c r="A40" t="s">
        <v>428</v>
      </c>
      <c r="B40" s="23">
        <f>((DC_DCM_max^2)*(VIN_min^2))/(2*IOUT*VOUT*Fsw-2*IOUT*VIN_min*Fsw)</f>
        <v>2.525252525252526E-8</v>
      </c>
      <c r="C40" t="s">
        <v>87</v>
      </c>
      <c r="E40" t="s">
        <v>427</v>
      </c>
    </row>
    <row r="41" spans="1:5" x14ac:dyDescent="0.25">
      <c r="A41" t="s">
        <v>431</v>
      </c>
      <c r="B41" s="12">
        <v>0.2</v>
      </c>
      <c r="E41" t="s">
        <v>432</v>
      </c>
    </row>
    <row r="42" spans="1:5" x14ac:dyDescent="0.25">
      <c r="A42" t="s">
        <v>433</v>
      </c>
      <c r="B42" s="23">
        <f>(1-M_L_DCM)*((VIN_min^2)*(1-(VIN_min/VOUT)))/(2*IOUT*VOUT*Fsw)</f>
        <v>3.2323232323232322E-7</v>
      </c>
      <c r="C42" t="s">
        <v>87</v>
      </c>
      <c r="E42" t="s">
        <v>434</v>
      </c>
    </row>
    <row r="43" spans="1:5" x14ac:dyDescent="0.25">
      <c r="A43" t="s">
        <v>435</v>
      </c>
      <c r="B43" s="23">
        <f>MIN(B40,B42)</f>
        <v>2.525252525252526E-8</v>
      </c>
      <c r="C43" t="s">
        <v>87</v>
      </c>
      <c r="E43" t="s">
        <v>436</v>
      </c>
    </row>
    <row r="44" spans="1:5" x14ac:dyDescent="0.25">
      <c r="B44" s="154"/>
    </row>
    <row r="45" spans="1:5" x14ac:dyDescent="0.25">
      <c r="A45" t="s">
        <v>439</v>
      </c>
      <c r="B45" s="23">
        <f>IF(B25=1,B43,Lopt_2)</f>
        <v>8.7919191919191937E-6</v>
      </c>
      <c r="E45" t="s">
        <v>437</v>
      </c>
    </row>
    <row r="47" spans="1:5" x14ac:dyDescent="0.25">
      <c r="A47" t="s">
        <v>89</v>
      </c>
      <c r="B47" s="21">
        <f>CHOOSE(B25,'Design Converter'!H23*10^-9,'Design Converter'!H23*10^-6)</f>
        <v>9.9999999999999991E-6</v>
      </c>
      <c r="C47" t="s">
        <v>87</v>
      </c>
      <c r="E47" t="s">
        <v>90</v>
      </c>
    </row>
    <row r="48" spans="1:5" x14ac:dyDescent="0.25">
      <c r="A48" t="s">
        <v>91</v>
      </c>
      <c r="B48" s="3">
        <f>'Design Converter'!H24*10^-3</f>
        <v>7.4999999999999997E-3</v>
      </c>
      <c r="C48" s="2" t="s">
        <v>36</v>
      </c>
      <c r="E48" t="s">
        <v>121</v>
      </c>
    </row>
    <row r="49" spans="1:9" x14ac:dyDescent="0.25">
      <c r="A49" t="s">
        <v>122</v>
      </c>
      <c r="B49" s="12">
        <v>0.2</v>
      </c>
      <c r="C49" s="2"/>
      <c r="E49" t="s">
        <v>123</v>
      </c>
    </row>
    <row r="50" spans="1:9" x14ac:dyDescent="0.25">
      <c r="B50" t="s">
        <v>97</v>
      </c>
    </row>
    <row r="51" spans="1:9" x14ac:dyDescent="0.25">
      <c r="A51" s="31" t="s">
        <v>441</v>
      </c>
    </row>
    <row r="53" spans="1:9" x14ac:dyDescent="0.25">
      <c r="A53" s="22" t="s">
        <v>442</v>
      </c>
    </row>
    <row r="54" spans="1:9" x14ac:dyDescent="0.25">
      <c r="A54" t="s">
        <v>443</v>
      </c>
      <c r="B54">
        <f>IF(B20=3,1,IF((VOUT*IOUT)/(VIN_min*Np)&lt;((VIN_min*(1-(VIN_min/VOUT)))/(2*Lm*Fsw)),0,1))</f>
        <v>1</v>
      </c>
      <c r="E54" t="s">
        <v>534</v>
      </c>
      <c r="I54" s="31"/>
    </row>
    <row r="55" spans="1:9" x14ac:dyDescent="0.25">
      <c r="A55" t="s">
        <v>77</v>
      </c>
      <c r="B55" s="1">
        <f>IF(B54=0,SQRT((2*(IOUT/Np)*Lm*Fsw*(VOUT-VIN_min)/(VIN_min^2))),(1-VIN_min/VOUT))</f>
        <v>0.8</v>
      </c>
      <c r="E55" t="s">
        <v>421</v>
      </c>
    </row>
    <row r="56" spans="1:9" x14ac:dyDescent="0.25">
      <c r="B56" s="13">
        <f>B55/Fsw</f>
        <v>1.8181818181818183E-6</v>
      </c>
      <c r="C56" t="s">
        <v>51</v>
      </c>
      <c r="E56" t="s">
        <v>276</v>
      </c>
    </row>
    <row r="57" spans="1:9" x14ac:dyDescent="0.25">
      <c r="A57" t="s">
        <v>82</v>
      </c>
      <c r="B57" s="17">
        <f>(VOUT*IOUT)/(VIN_min)</f>
        <v>22.5</v>
      </c>
      <c r="C57" t="s">
        <v>11</v>
      </c>
      <c r="E57" t="s">
        <v>84</v>
      </c>
    </row>
    <row r="58" spans="1:9" x14ac:dyDescent="0.25">
      <c r="A58" t="s">
        <v>100</v>
      </c>
      <c r="B58" s="16">
        <f>(VIN_min*Dc_VIN_min)/(Lm*Fsw)</f>
        <v>1.8181818181818183</v>
      </c>
      <c r="C58" t="s">
        <v>11</v>
      </c>
      <c r="E58" t="s">
        <v>101</v>
      </c>
    </row>
    <row r="59" spans="1:9" x14ac:dyDescent="0.25">
      <c r="A59" t="s">
        <v>98</v>
      </c>
      <c r="B59" s="16">
        <f>IF(B54=0,(VIN_min*Dc_VIN_min)/(Lm*Fsw),(IL_avg_VIN_min/EFF_est)+(ILrip_VINmin/2))</f>
        <v>23.40909090909091</v>
      </c>
      <c r="C59" t="s">
        <v>11</v>
      </c>
      <c r="E59" t="s">
        <v>99</v>
      </c>
    </row>
    <row r="61" spans="1:9" x14ac:dyDescent="0.25">
      <c r="A61" s="22" t="s">
        <v>29</v>
      </c>
    </row>
    <row r="62" spans="1:9" x14ac:dyDescent="0.25">
      <c r="A62" t="s">
        <v>444</v>
      </c>
      <c r="B62">
        <f>IF(B20=3,1,IF((VOUT*IOUT)/(VIN_nom*Np)&lt;((VIN_nom*(1-(VIN_nom/VOUT)))/(2*Lm*Fsw)),0,1))</f>
        <v>1</v>
      </c>
      <c r="E62" t="s">
        <v>530</v>
      </c>
    </row>
    <row r="63" spans="1:9" x14ac:dyDescent="0.25">
      <c r="A63" t="s">
        <v>78</v>
      </c>
      <c r="B63" s="1">
        <f>IF(B62=0,SQRT((2*(IOUT/Np)*Lm*Fsw*(VOUT-VIN_nom)/(VIN_nom^2))),(1-VIN_nom/VOUT))</f>
        <v>0.94</v>
      </c>
      <c r="E63" t="s">
        <v>422</v>
      </c>
    </row>
    <row r="64" spans="1:9" x14ac:dyDescent="0.25">
      <c r="B64" s="13">
        <f>B63/Fsw</f>
        <v>2.1363636363636361E-6</v>
      </c>
      <c r="C64" t="s">
        <v>51</v>
      </c>
      <c r="E64" t="s">
        <v>276</v>
      </c>
    </row>
    <row r="65" spans="1:5" x14ac:dyDescent="0.25">
      <c r="A65" t="s">
        <v>83</v>
      </c>
      <c r="B65" s="17">
        <f>(VOUT*IOUT)/(VIN_nom)</f>
        <v>75</v>
      </c>
      <c r="C65" t="s">
        <v>11</v>
      </c>
      <c r="E65" t="s">
        <v>85</v>
      </c>
    </row>
    <row r="66" spans="1:5" x14ac:dyDescent="0.25">
      <c r="A66" t="s">
        <v>102</v>
      </c>
      <c r="B66" s="16">
        <f>(VIN_nom*Dc_VIN_nom)/(Lm*Fsw)</f>
        <v>0.64090909090909098</v>
      </c>
      <c r="C66" t="s">
        <v>11</v>
      </c>
      <c r="E66" t="s">
        <v>108</v>
      </c>
    </row>
    <row r="67" spans="1:5" x14ac:dyDescent="0.25">
      <c r="A67" t="s">
        <v>103</v>
      </c>
      <c r="B67" s="16">
        <f>IF(B62=0,(VIN_nom*Dc_VIN_nom)/(Lm*Fsw),(IL_avg_VIN_nom/EFF_est)+(ILrip_VINnom/2))</f>
        <v>75.320454545454552</v>
      </c>
      <c r="C67" t="s">
        <v>11</v>
      </c>
      <c r="E67" t="s">
        <v>109</v>
      </c>
    </row>
    <row r="69" spans="1:5" x14ac:dyDescent="0.25">
      <c r="A69" s="22" t="s">
        <v>30</v>
      </c>
    </row>
    <row r="70" spans="1:5" x14ac:dyDescent="0.25">
      <c r="A70" t="s">
        <v>445</v>
      </c>
      <c r="B70">
        <f>IF(B20=3,1,IF((VOUT*IOUT)/(VIN_max*Np)&lt;((VIN_max*(1-(VIN_max/VOUT)))/(2*Lm*Fsw)),0,1))</f>
        <v>1</v>
      </c>
      <c r="E70" t="s">
        <v>530</v>
      </c>
    </row>
    <row r="71" spans="1:5" x14ac:dyDescent="0.25">
      <c r="A71" t="s">
        <v>79</v>
      </c>
      <c r="B71" s="1">
        <f>IF(B70=0,SQRT((2*(IOUT/Np)*Lm*Fsw*(VOUT-VIN_max)/(VIN_max^2))),(1-VIN_max/VOUT))</f>
        <v>0.67999999999999994</v>
      </c>
      <c r="E71" t="s">
        <v>423</v>
      </c>
    </row>
    <row r="72" spans="1:5" x14ac:dyDescent="0.25">
      <c r="B72" s="13">
        <f>B71/Fsw</f>
        <v>1.5454545454545452E-6</v>
      </c>
      <c r="C72" t="s">
        <v>51</v>
      </c>
      <c r="E72" t="s">
        <v>276</v>
      </c>
    </row>
    <row r="73" spans="1:5" x14ac:dyDescent="0.25">
      <c r="A73" t="s">
        <v>446</v>
      </c>
      <c r="B73" s="17">
        <f>(VOUT*IOUT)/(VIN_max)</f>
        <v>14.0625</v>
      </c>
      <c r="C73" t="s">
        <v>11</v>
      </c>
      <c r="E73" t="s">
        <v>86</v>
      </c>
    </row>
    <row r="74" spans="1:5" x14ac:dyDescent="0.25">
      <c r="A74" t="s">
        <v>104</v>
      </c>
      <c r="B74" s="16">
        <f>(VIN_max*Dc_VIN_max)/(Lm*Fsw)</f>
        <v>2.4727272727272727</v>
      </c>
      <c r="C74" t="s">
        <v>11</v>
      </c>
      <c r="E74" t="s">
        <v>110</v>
      </c>
    </row>
    <row r="75" spans="1:5" x14ac:dyDescent="0.25">
      <c r="A75" t="s">
        <v>105</v>
      </c>
      <c r="B75" s="16">
        <f>IF(B70=0,(VIN_max*Dc_VIN_max)/(Lm*Fsw),(IL_avg_VIN_max/EFF_est)+(ILrip_VINmax/2))</f>
        <v>15.298863636363636</v>
      </c>
      <c r="C75" t="s">
        <v>11</v>
      </c>
      <c r="E75" t="s">
        <v>111</v>
      </c>
    </row>
    <row r="77" spans="1:5" x14ac:dyDescent="0.25">
      <c r="A77" s="19" t="s">
        <v>106</v>
      </c>
    </row>
    <row r="78" spans="1:5" x14ac:dyDescent="0.25">
      <c r="A78" t="s">
        <v>113</v>
      </c>
      <c r="B78" s="3">
        <f>'Design Converter'!H28/100</f>
        <v>0.3</v>
      </c>
      <c r="E78" t="s">
        <v>114</v>
      </c>
    </row>
    <row r="79" spans="1:5" x14ac:dyDescent="0.25">
      <c r="A79" t="s">
        <v>601</v>
      </c>
      <c r="B79" s="12">
        <v>0.95</v>
      </c>
      <c r="E79" t="s">
        <v>602</v>
      </c>
    </row>
    <row r="80" spans="1:5" x14ac:dyDescent="0.25">
      <c r="A80" t="s">
        <v>115</v>
      </c>
      <c r="B80" s="17">
        <f>IF(B54=0,(1+Ipk_margin)*ILp_VINmin,((IL_avg_VIN_min/B79)+(ILrip_VINmin/2))*(1+Ipk_margin))</f>
        <v>31.971291866028714</v>
      </c>
      <c r="C80" t="s">
        <v>11</v>
      </c>
      <c r="E80" t="s">
        <v>116</v>
      </c>
    </row>
    <row r="81" spans="1:11" x14ac:dyDescent="0.25">
      <c r="B81" s="34"/>
    </row>
    <row r="82" spans="1:11" x14ac:dyDescent="0.25">
      <c r="A82" t="s">
        <v>126</v>
      </c>
      <c r="B82" s="12">
        <v>0.66600000000000004</v>
      </c>
      <c r="E82" t="s">
        <v>535</v>
      </c>
    </row>
    <row r="83" spans="1:11" x14ac:dyDescent="0.25">
      <c r="A83" t="s">
        <v>124</v>
      </c>
      <c r="B83" s="23">
        <f>IF(OR(Dc_VIN_min&lt;0.5,B54=0),1000,(Lm*Vsl*Fsw)/(B82*(VOUT-VIN_min)))</f>
        <v>7.432432432432432E-3</v>
      </c>
      <c r="C83" s="2" t="s">
        <v>36</v>
      </c>
      <c r="E83" t="s">
        <v>125</v>
      </c>
    </row>
    <row r="84" spans="1:11" x14ac:dyDescent="0.25">
      <c r="A84" t="s">
        <v>131</v>
      </c>
      <c r="B84" s="23">
        <f>Vcl/Ipk_selected</f>
        <v>1.8766836276563898E-3</v>
      </c>
      <c r="C84" s="2" t="s">
        <v>36</v>
      </c>
      <c r="E84" t="s">
        <v>492</v>
      </c>
    </row>
    <row r="86" spans="1:11" x14ac:dyDescent="0.25">
      <c r="A86" t="s">
        <v>134</v>
      </c>
      <c r="B86" s="1">
        <f>IF(Rcs_wo_sl&gt;Rcs_max,1,0)</f>
        <v>0</v>
      </c>
      <c r="E86" t="s">
        <v>448</v>
      </c>
    </row>
    <row r="87" spans="1:11" x14ac:dyDescent="0.25">
      <c r="A87" t="s">
        <v>135</v>
      </c>
      <c r="B87" s="25">
        <f>IF(B54=0,Rcs_wo_sl,IF(B86=0,Rcs_wo_sl,Rcs_w_sl))</f>
        <v>1.8766836276563898E-3</v>
      </c>
      <c r="C87" s="2" t="s">
        <v>36</v>
      </c>
      <c r="E87" t="s">
        <v>447</v>
      </c>
    </row>
    <row r="88" spans="1:11" x14ac:dyDescent="0.25">
      <c r="A88" t="s">
        <v>136</v>
      </c>
      <c r="B88" s="1">
        <v>0</v>
      </c>
      <c r="C88" s="2" t="s">
        <v>36</v>
      </c>
      <c r="E88" t="s">
        <v>536</v>
      </c>
    </row>
    <row r="90" spans="1:11" x14ac:dyDescent="0.25">
      <c r="A90" t="s">
        <v>137</v>
      </c>
      <c r="B90" s="26">
        <f>'Design Converter'!H31/1000</f>
        <v>2E-3</v>
      </c>
      <c r="C90" s="2" t="s">
        <v>36</v>
      </c>
      <c r="E90" t="s">
        <v>139</v>
      </c>
    </row>
    <row r="91" spans="1:11" x14ac:dyDescent="0.25">
      <c r="A91" t="s">
        <v>138</v>
      </c>
      <c r="B91" s="3">
        <v>0</v>
      </c>
      <c r="C91" s="2" t="s">
        <v>36</v>
      </c>
      <c r="E91" t="s">
        <v>537</v>
      </c>
    </row>
    <row r="93" spans="1:11" x14ac:dyDescent="0.25">
      <c r="A93" t="s">
        <v>142</v>
      </c>
      <c r="B93">
        <f>(Vsl*Fsw)/(((VOUT-VIN_min)/Lm)*R_cs)</f>
        <v>2.4749999999999996</v>
      </c>
      <c r="C93" t="s">
        <v>150</v>
      </c>
      <c r="E93" t="s">
        <v>140</v>
      </c>
      <c r="K93">
        <f>IF(B62=0,0,IF(B93&lt;0.5,1,0))</f>
        <v>0</v>
      </c>
    </row>
    <row r="94" spans="1:11" x14ac:dyDescent="0.25">
      <c r="A94" t="s">
        <v>144</v>
      </c>
      <c r="B94" s="17">
        <f>(Vcl-(Isl*R_sl*Dc_VIN_min))/R_cs</f>
        <v>30</v>
      </c>
      <c r="C94" t="s">
        <v>11</v>
      </c>
      <c r="E94" t="s">
        <v>146</v>
      </c>
      <c r="K94">
        <f>IF(IL_pk&lt;Ipk_selected,1,0)</f>
        <v>1</v>
      </c>
    </row>
    <row r="95" spans="1:11" x14ac:dyDescent="0.25">
      <c r="A95" t="s">
        <v>145</v>
      </c>
      <c r="B95" s="17">
        <f>(Vcl-(Isl*R_sl*Dc_VIN_max))/R_cs</f>
        <v>30</v>
      </c>
      <c r="C95" t="s">
        <v>11</v>
      </c>
      <c r="E95" t="s">
        <v>147</v>
      </c>
    </row>
    <row r="96" spans="1:11" x14ac:dyDescent="0.25">
      <c r="A96" t="s">
        <v>148</v>
      </c>
      <c r="B96" s="12">
        <f>0.15</f>
        <v>0.15</v>
      </c>
      <c r="E96" t="s">
        <v>149</v>
      </c>
    </row>
    <row r="97" spans="1:5" x14ac:dyDescent="0.25">
      <c r="A97" t="s">
        <v>151</v>
      </c>
      <c r="B97" s="20">
        <f>(1+B96)*B95</f>
        <v>34.5</v>
      </c>
      <c r="C97" t="s">
        <v>11</v>
      </c>
      <c r="E97" t="s">
        <v>152</v>
      </c>
    </row>
    <row r="99" spans="1:5" x14ac:dyDescent="0.25">
      <c r="A99" s="22" t="s">
        <v>153</v>
      </c>
      <c r="E99" t="s">
        <v>538</v>
      </c>
    </row>
    <row r="102" spans="1:5" x14ac:dyDescent="0.25">
      <c r="A102" s="28" t="s">
        <v>154</v>
      </c>
      <c r="E102" t="s">
        <v>549</v>
      </c>
    </row>
    <row r="104" spans="1:5" x14ac:dyDescent="0.25">
      <c r="A104" t="s">
        <v>449</v>
      </c>
      <c r="B104" s="1">
        <f>IF(B54=0,2*Fsw/(Dc_VIN_min*5),(VOUT/IOUT)*((VIN_min^2)/VOUT^2)/(Lm*5))</f>
        <v>8888.8888888888887</v>
      </c>
      <c r="C104" t="s">
        <v>489</v>
      </c>
      <c r="E104" t="s">
        <v>540</v>
      </c>
    </row>
    <row r="105" spans="1:5" x14ac:dyDescent="0.25">
      <c r="B105">
        <f>B104/(2*PI())</f>
        <v>1414.7106052612919</v>
      </c>
      <c r="C105" t="s">
        <v>65</v>
      </c>
    </row>
    <row r="106" spans="1:5" x14ac:dyDescent="0.25">
      <c r="A106" t="s">
        <v>160</v>
      </c>
      <c r="B106" s="29">
        <f>'Design Converter'!H35/1000</f>
        <v>0.5</v>
      </c>
      <c r="C106" t="s">
        <v>10</v>
      </c>
      <c r="E106" t="s">
        <v>159</v>
      </c>
    </row>
    <row r="107" spans="1:5" x14ac:dyDescent="0.25">
      <c r="A107" t="s">
        <v>450</v>
      </c>
      <c r="B107" s="1">
        <f>IOUT-0.5*IOUT</f>
        <v>2.25</v>
      </c>
      <c r="C107" t="s">
        <v>11</v>
      </c>
    </row>
    <row r="108" spans="1:5" x14ac:dyDescent="0.25">
      <c r="A108" t="s">
        <v>161</v>
      </c>
      <c r="B108" s="1">
        <f>B107/(Vout_rip_sel*B104)</f>
        <v>5.0624999999999997E-4</v>
      </c>
      <c r="C108" t="s">
        <v>162</v>
      </c>
      <c r="E108" t="s">
        <v>163</v>
      </c>
    </row>
    <row r="109" spans="1:5" x14ac:dyDescent="0.25">
      <c r="A109" t="s">
        <v>164</v>
      </c>
      <c r="B109" s="165">
        <f>SQRT((1-Dc_VIN_min)*((IOUT^2)*(Dc_VIN_min/((1-Dc_VIN_min)^2))+((ILrip_VINmin^2)/3)))</f>
        <v>9.0122353317548889</v>
      </c>
      <c r="C109" t="s">
        <v>11</v>
      </c>
      <c r="E109" s="31" t="s">
        <v>541</v>
      </c>
    </row>
    <row r="110" spans="1:5" x14ac:dyDescent="0.25">
      <c r="A110" t="s">
        <v>169</v>
      </c>
      <c r="B110" s="3">
        <f>'Design Converter'!H37*(10^-6)</f>
        <v>4.6999999999999999E-4</v>
      </c>
      <c r="C110" t="s">
        <v>162</v>
      </c>
      <c r="E110" t="s">
        <v>167</v>
      </c>
    </row>
    <row r="111" spans="1:5" x14ac:dyDescent="0.25">
      <c r="A111" t="s">
        <v>166</v>
      </c>
      <c r="B111" s="3">
        <f>'Design Converter'!H38/1000</f>
        <v>3.5000000000000003E-2</v>
      </c>
      <c r="C111" s="2" t="s">
        <v>36</v>
      </c>
      <c r="E111" t="s">
        <v>168</v>
      </c>
    </row>
    <row r="112" spans="1:5" x14ac:dyDescent="0.25">
      <c r="A112" t="s">
        <v>274</v>
      </c>
      <c r="B112" s="166">
        <f>SQRT((IOUT^2)+(IL_avg_VIN_min^2)-(2*IOUT*IL_avg_VIN_min)-(2*Dc_VIN_min*(IOUT^2))-(Dc_VIN_min*(IL_avg_VIN_min^2))+(2*Dc_VIN_min*IOUT*IL_avg_VIN_min))</f>
        <v>6.9713700231733524</v>
      </c>
      <c r="E112" s="164" t="s">
        <v>275</v>
      </c>
    </row>
    <row r="113" spans="1:7" x14ac:dyDescent="0.25">
      <c r="E113" s="72"/>
    </row>
    <row r="115" spans="1:7" x14ac:dyDescent="0.25">
      <c r="A115" s="28" t="s">
        <v>292</v>
      </c>
    </row>
    <row r="116" spans="1:7" x14ac:dyDescent="0.25">
      <c r="A116" t="s">
        <v>278</v>
      </c>
      <c r="B116" s="12">
        <f>Iss</f>
        <v>1.9999999999999998E-5</v>
      </c>
      <c r="C116" t="s">
        <v>11</v>
      </c>
      <c r="E116" t="s">
        <v>280</v>
      </c>
    </row>
    <row r="117" spans="1:7" x14ac:dyDescent="0.25">
      <c r="A117" t="s">
        <v>281</v>
      </c>
      <c r="B117" s="1">
        <f>Iss*VOUT*Cout/(Vref*IOUT)</f>
        <v>1.0444444444444445E-7</v>
      </c>
      <c r="C117" t="s">
        <v>162</v>
      </c>
      <c r="E117" t="s">
        <v>282</v>
      </c>
    </row>
    <row r="118" spans="1:7" x14ac:dyDescent="0.25">
      <c r="A118" t="s">
        <v>283</v>
      </c>
      <c r="B118" s="3">
        <f>'Design Converter'!H42*(10^-3)</f>
        <v>0.01</v>
      </c>
      <c r="C118" t="s">
        <v>51</v>
      </c>
      <c r="E118" t="s">
        <v>284</v>
      </c>
    </row>
    <row r="119" spans="1:7" x14ac:dyDescent="0.25">
      <c r="A119" t="s">
        <v>287</v>
      </c>
      <c r="B119" s="1">
        <f>(tss*Iss)/(Vref*(1-(VIN_min/VOUT)))</f>
        <v>2.4999999999999999E-7</v>
      </c>
      <c r="C119" t="s">
        <v>162</v>
      </c>
      <c r="E119" t="s">
        <v>288</v>
      </c>
    </row>
    <row r="121" spans="1:7" x14ac:dyDescent="0.25">
      <c r="A121" s="28" t="s">
        <v>291</v>
      </c>
    </row>
    <row r="122" spans="1:7" x14ac:dyDescent="0.25">
      <c r="A122" t="s">
        <v>293</v>
      </c>
      <c r="B122" s="3">
        <f>'Design Converter'!H46</f>
        <v>8</v>
      </c>
      <c r="C122" t="s">
        <v>10</v>
      </c>
      <c r="E122" t="s">
        <v>295</v>
      </c>
      <c r="G122" s="31"/>
    </row>
    <row r="123" spans="1:7" x14ac:dyDescent="0.25">
      <c r="A123" t="s">
        <v>294</v>
      </c>
      <c r="B123" s="3">
        <f>'Design Converter'!H47</f>
        <v>7</v>
      </c>
      <c r="C123" t="s">
        <v>10</v>
      </c>
      <c r="E123" t="s">
        <v>296</v>
      </c>
    </row>
    <row r="124" spans="1:7" x14ac:dyDescent="0.25">
      <c r="A124" t="s">
        <v>298</v>
      </c>
      <c r="B124" s="12">
        <f>UV_rise</f>
        <v>1.1000000000000001</v>
      </c>
      <c r="C124" t="s">
        <v>10</v>
      </c>
      <c r="E124" t="s">
        <v>303</v>
      </c>
    </row>
    <row r="125" spans="1:7" x14ac:dyDescent="0.25">
      <c r="A125" t="s">
        <v>299</v>
      </c>
      <c r="B125" s="12">
        <f>UV_fall</f>
        <v>1.075</v>
      </c>
      <c r="C125" t="s">
        <v>10</v>
      </c>
      <c r="E125" t="s">
        <v>302</v>
      </c>
    </row>
    <row r="126" spans="1:7" x14ac:dyDescent="0.25">
      <c r="A126" t="s">
        <v>304</v>
      </c>
      <c r="B126" s="12">
        <f>UV_I_hyst</f>
        <v>9.9999999999999991E-6</v>
      </c>
      <c r="C126" t="s">
        <v>11</v>
      </c>
      <c r="E126" t="s">
        <v>306</v>
      </c>
      <c r="G126" s="168">
        <f>(Vuvlo_on*0.977)-Vuvlo_off</f>
        <v>0.81599999999999984</v>
      </c>
    </row>
    <row r="127" spans="1:7" x14ac:dyDescent="0.25">
      <c r="A127" t="s">
        <v>307</v>
      </c>
      <c r="B127" s="16">
        <f>((Vuvlo_on*(UV_fall/UV_rise))-Vuvlo_off)/UV_I_hyst</f>
        <v>81818.181818181751</v>
      </c>
      <c r="C127" s="2" t="s">
        <v>36</v>
      </c>
      <c r="E127" t="s">
        <v>394</v>
      </c>
      <c r="G127" s="20">
        <f>B125/B124</f>
        <v>0.97727272727272718</v>
      </c>
    </row>
    <row r="128" spans="1:7" x14ac:dyDescent="0.25">
      <c r="A128" t="s">
        <v>307</v>
      </c>
      <c r="B128" s="3">
        <f>'Design Converter'!H49*1000</f>
        <v>80600</v>
      </c>
      <c r="C128" s="2" t="s">
        <v>36</v>
      </c>
      <c r="E128" t="s">
        <v>395</v>
      </c>
    </row>
    <row r="129" spans="1:7" x14ac:dyDescent="0.25">
      <c r="A129" t="s">
        <v>308</v>
      </c>
      <c r="B129" s="18">
        <f>UV_rise*Ruvlo_top/(Vuvlo_on-UV_rise)</f>
        <v>12849.27536231884</v>
      </c>
      <c r="C129" s="2" t="s">
        <v>36</v>
      </c>
      <c r="E129" t="s">
        <v>396</v>
      </c>
    </row>
    <row r="130" spans="1:7" x14ac:dyDescent="0.25">
      <c r="A130" t="s">
        <v>309</v>
      </c>
      <c r="B130" s="34">
        <f>UV_rise*(Ruvlo_top+Ruvlo_bottom_calc)/Ruvlo_bottom_calc</f>
        <v>8.0000000000000018</v>
      </c>
      <c r="E130" t="s">
        <v>311</v>
      </c>
    </row>
    <row r="131" spans="1:7" x14ac:dyDescent="0.25">
      <c r="A131" t="s">
        <v>310</v>
      </c>
      <c r="B131" s="34">
        <f>Ruvlo_top*((UV_fall/Ruvlo_top)-(UV_I_hyst)+(UV_fall/Ruvlo_bottom_calc))</f>
        <v>7.0121818181818183</v>
      </c>
      <c r="E131" t="s">
        <v>312</v>
      </c>
      <c r="G131" s="31"/>
    </row>
    <row r="134" spans="1:7" x14ac:dyDescent="0.25">
      <c r="A134" s="28" t="s">
        <v>171</v>
      </c>
    </row>
    <row r="135" spans="1:7" x14ac:dyDescent="0.25">
      <c r="A135" s="32" t="s">
        <v>197</v>
      </c>
      <c r="B135" s="3" t="str">
        <f>'Design Converter'!H54</f>
        <v>3V</v>
      </c>
      <c r="C135" t="s">
        <v>10</v>
      </c>
      <c r="E135" t="s">
        <v>238</v>
      </c>
    </row>
    <row r="136" spans="1:7" x14ac:dyDescent="0.25">
      <c r="A136" s="32"/>
    </row>
    <row r="137" spans="1:7" x14ac:dyDescent="0.25">
      <c r="A137" s="31" t="s">
        <v>252</v>
      </c>
    </row>
    <row r="138" spans="1:7" x14ac:dyDescent="0.25">
      <c r="A138" t="s">
        <v>550</v>
      </c>
      <c r="B138">
        <f>VOUT_range</f>
        <v>2</v>
      </c>
      <c r="E138" t="s">
        <v>520</v>
      </c>
    </row>
    <row r="139" spans="1:7" x14ac:dyDescent="0.25">
      <c r="A139" t="s">
        <v>551</v>
      </c>
      <c r="B139">
        <f>CHOOSE(VOUT_range,Kfb_low,Kfb_high)</f>
        <v>60</v>
      </c>
      <c r="C139" t="s">
        <v>150</v>
      </c>
    </row>
    <row r="140" spans="1:7" x14ac:dyDescent="0.25">
      <c r="A140" t="s">
        <v>558</v>
      </c>
      <c r="B140">
        <f>CHOOSE(VOUT_range,Rmax_low,Rmax_high)</f>
        <v>35000</v>
      </c>
      <c r="C140" t="s">
        <v>469</v>
      </c>
    </row>
    <row r="141" spans="1:7" x14ac:dyDescent="0.25">
      <c r="A141" t="s">
        <v>559</v>
      </c>
      <c r="B141">
        <f>CHOOSE(VOUT_range,Rmin_low,Rmin_high)</f>
        <v>20000</v>
      </c>
      <c r="C141" t="s">
        <v>469</v>
      </c>
    </row>
    <row r="142" spans="1:7" x14ac:dyDescent="0.25">
      <c r="A142" t="s">
        <v>562</v>
      </c>
      <c r="B142" s="1">
        <f>VOUT/Kfb</f>
        <v>0.83333333333333337</v>
      </c>
      <c r="C142" t="s">
        <v>10</v>
      </c>
      <c r="E142" t="s">
        <v>563</v>
      </c>
    </row>
    <row r="143" spans="1:7" x14ac:dyDescent="0.25">
      <c r="A143" t="s">
        <v>560</v>
      </c>
      <c r="B143" s="1">
        <f>((Vref*Rmax)-(VTRK*Rmax))/Vref</f>
        <v>5833.3333333333321</v>
      </c>
      <c r="E143">
        <f>Vref</f>
        <v>1</v>
      </c>
    </row>
    <row r="144" spans="1:7" x14ac:dyDescent="0.25">
      <c r="A144" t="s">
        <v>561</v>
      </c>
      <c r="B144" s="1">
        <f>((Vref*Rmin)-(VTRK*Rmin))/Vref</f>
        <v>3333.3333333333321</v>
      </c>
    </row>
    <row r="145" spans="1:5" x14ac:dyDescent="0.25">
      <c r="A145" t="s">
        <v>189</v>
      </c>
      <c r="B145" s="3">
        <f>'Design Converter'!H60*(10^3)</f>
        <v>21000</v>
      </c>
      <c r="C145" s="2" t="s">
        <v>36</v>
      </c>
      <c r="E145" t="s">
        <v>239</v>
      </c>
    </row>
    <row r="146" spans="1:5" x14ac:dyDescent="0.25">
      <c r="A146" t="s">
        <v>243</v>
      </c>
      <c r="B146" s="18">
        <f>RFBT/((Vref/VTRK)-1)</f>
        <v>105000.00000000003</v>
      </c>
      <c r="C146" s="2" t="s">
        <v>36</v>
      </c>
      <c r="E146" t="s">
        <v>246</v>
      </c>
    </row>
    <row r="147" spans="1:5" x14ac:dyDescent="0.25">
      <c r="A147" t="s">
        <v>190</v>
      </c>
      <c r="B147" s="3">
        <f>'Design Converter'!H62*(10^3)</f>
        <v>14000</v>
      </c>
      <c r="C147" s="2" t="s">
        <v>36</v>
      </c>
      <c r="E147" t="s">
        <v>247</v>
      </c>
    </row>
    <row r="148" spans="1:5" x14ac:dyDescent="0.25">
      <c r="A148" t="s">
        <v>248</v>
      </c>
      <c r="B148">
        <f>VOUT/(RFBB+RFBT)</f>
        <v>1.4285714285714286E-3</v>
      </c>
      <c r="C148" s="2" t="s">
        <v>11</v>
      </c>
      <c r="E148" t="s">
        <v>567</v>
      </c>
    </row>
    <row r="149" spans="1:5" x14ac:dyDescent="0.25">
      <c r="C149" s="2"/>
    </row>
    <row r="150" spans="1:5" x14ac:dyDescent="0.25">
      <c r="A150" s="31" t="s">
        <v>253</v>
      </c>
      <c r="E150" t="s">
        <v>388</v>
      </c>
    </row>
    <row r="152" spans="1:5" x14ac:dyDescent="0.25">
      <c r="A152" s="22" t="s">
        <v>452</v>
      </c>
      <c r="E152" t="s">
        <v>504</v>
      </c>
    </row>
    <row r="153" spans="1:5" x14ac:dyDescent="0.25">
      <c r="A153" s="22"/>
    </row>
    <row r="154" spans="1:5" x14ac:dyDescent="0.25">
      <c r="A154" t="s">
        <v>501</v>
      </c>
      <c r="B154" s="20">
        <f>(R_cs*Acs/(2*Lm*Fsw))*(1-(VIN_min/VOUT))*(VIN_min/VOUT)</f>
        <v>3.6363636363636372E-4</v>
      </c>
      <c r="E154" t="s">
        <v>497</v>
      </c>
    </row>
    <row r="155" spans="1:5" x14ac:dyDescent="0.25">
      <c r="A155" t="s">
        <v>502</v>
      </c>
      <c r="B155" s="20">
        <f>1/((0.5-(1-(VIN_min/VOUT)))*(R_cs*Acs/(Lm*Fsw))+(Vsl*Acs/VOUT))</f>
        <v>130.95238095238096</v>
      </c>
      <c r="E155" t="s">
        <v>497</v>
      </c>
    </row>
    <row r="156" spans="1:5" x14ac:dyDescent="0.25">
      <c r="A156" t="s">
        <v>503</v>
      </c>
      <c r="B156" s="20">
        <f>2+((VOUT*((VIN_min/VOUT)^2))/(IOUT*R_cs*Acs))*((1/Km_VINmin)+(Kex_VINmin/(VIN_min/VOUT)))</f>
        <v>2.2101010101010101</v>
      </c>
      <c r="E156" t="s">
        <v>497</v>
      </c>
    </row>
    <row r="157" spans="1:5" x14ac:dyDescent="0.25">
      <c r="A157" s="22"/>
      <c r="B157" s="20"/>
    </row>
    <row r="158" spans="1:5" x14ac:dyDescent="0.25">
      <c r="A158" s="22"/>
      <c r="B158" s="20"/>
    </row>
    <row r="159" spans="1:5" x14ac:dyDescent="0.25">
      <c r="A159" s="22"/>
      <c r="B159" s="20"/>
    </row>
    <row r="160" spans="1:5" x14ac:dyDescent="0.25">
      <c r="A160" t="s">
        <v>398</v>
      </c>
      <c r="B160" s="20">
        <f>(Gcomp*(VIN_min/VOUT)*(VOUT/IOUT))/(Kd_VINmin*R_cs*Acs/Np)</f>
        <v>50.274223034734923</v>
      </c>
    </row>
    <row r="161" spans="1:5" x14ac:dyDescent="0.25">
      <c r="B161" s="20"/>
    </row>
    <row r="162" spans="1:5" x14ac:dyDescent="0.25">
      <c r="A162" t="s">
        <v>399</v>
      </c>
      <c r="B162" s="20">
        <f>Kd_VINmin/(Cout*(VOUT/IOUT))</f>
        <v>423.21083172147007</v>
      </c>
      <c r="C162" t="s">
        <v>385</v>
      </c>
      <c r="E162" t="s">
        <v>384</v>
      </c>
    </row>
    <row r="163" spans="1:5" x14ac:dyDescent="0.25">
      <c r="A163" t="s">
        <v>400</v>
      </c>
      <c r="B163" s="20">
        <f>B162/(2*PI())</f>
        <v>67.35609583850426</v>
      </c>
      <c r="C163" t="s">
        <v>65</v>
      </c>
      <c r="E163" t="s">
        <v>249</v>
      </c>
    </row>
    <row r="164" spans="1:5" x14ac:dyDescent="0.25">
      <c r="B164" s="20"/>
    </row>
    <row r="165" spans="1:5" x14ac:dyDescent="0.25">
      <c r="A165" t="s">
        <v>401</v>
      </c>
      <c r="B165" s="20">
        <f>1/(Cout*Resr)</f>
        <v>60790.273556231004</v>
      </c>
      <c r="C165" t="s">
        <v>386</v>
      </c>
      <c r="E165" t="s">
        <v>387</v>
      </c>
    </row>
    <row r="166" spans="1:5" x14ac:dyDescent="0.25">
      <c r="A166" t="s">
        <v>402</v>
      </c>
      <c r="B166" s="20">
        <f>B165/(2*PI())</f>
        <v>9675.072528382696</v>
      </c>
      <c r="C166" t="s">
        <v>65</v>
      </c>
      <c r="E166" t="s">
        <v>251</v>
      </c>
    </row>
    <row r="167" spans="1:5" x14ac:dyDescent="0.25">
      <c r="B167" s="20"/>
    </row>
    <row r="168" spans="1:5" x14ac:dyDescent="0.25">
      <c r="A168" t="s">
        <v>403</v>
      </c>
      <c r="B168" s="20">
        <f>((VOUT/IOUT)*((VIN_min/VOUT)^2))/(Lm)</f>
        <v>44444.44444444446</v>
      </c>
      <c r="E168" t="s">
        <v>383</v>
      </c>
    </row>
    <row r="169" spans="1:5" x14ac:dyDescent="0.25">
      <c r="A169" t="s">
        <v>404</v>
      </c>
      <c r="B169" s="20">
        <f>B168/(2*PI())</f>
        <v>7073.553026306462</v>
      </c>
      <c r="C169" t="s">
        <v>65</v>
      </c>
      <c r="E169" t="s">
        <v>250</v>
      </c>
    </row>
    <row r="170" spans="1:5" x14ac:dyDescent="0.25">
      <c r="B170" s="20">
        <f>Fsw/10</f>
        <v>44000</v>
      </c>
      <c r="C170" t="s">
        <v>65</v>
      </c>
      <c r="E170" t="s">
        <v>256</v>
      </c>
    </row>
    <row r="171" spans="1:5" x14ac:dyDescent="0.25">
      <c r="B171" s="30">
        <f>IF((B169/5)&lt;(B170),0,1)</f>
        <v>0</v>
      </c>
      <c r="E171" t="s">
        <v>257</v>
      </c>
    </row>
    <row r="172" spans="1:5" x14ac:dyDescent="0.25">
      <c r="B172" s="20"/>
    </row>
    <row r="173" spans="1:5" x14ac:dyDescent="0.25">
      <c r="A173" t="s">
        <v>405</v>
      </c>
      <c r="B173" s="20">
        <f>(Vsl*Fsw)</f>
        <v>19800</v>
      </c>
      <c r="C173" t="s">
        <v>150</v>
      </c>
      <c r="E173" t="s">
        <v>505</v>
      </c>
    </row>
    <row r="174" spans="1:5" x14ac:dyDescent="0.25">
      <c r="A174" t="s">
        <v>406</v>
      </c>
      <c r="B174" s="20">
        <f>(R_cs*VIN_min)/Lm</f>
        <v>2000.0000000000002</v>
      </c>
      <c r="C174" t="s">
        <v>150</v>
      </c>
      <c r="E174" t="s">
        <v>214</v>
      </c>
    </row>
    <row r="175" spans="1:5" x14ac:dyDescent="0.25">
      <c r="B175" s="20"/>
    </row>
    <row r="176" spans="1:5" x14ac:dyDescent="0.25">
      <c r="A176" t="s">
        <v>407</v>
      </c>
      <c r="B176" s="20">
        <f>2*PI()*Fsw</f>
        <v>2764601.5351590179</v>
      </c>
      <c r="C176" t="s">
        <v>216</v>
      </c>
      <c r="E176" t="s">
        <v>498</v>
      </c>
    </row>
    <row r="177" spans="1:5" x14ac:dyDescent="0.25">
      <c r="A177" t="s">
        <v>408</v>
      </c>
      <c r="B177" s="20">
        <f>1/(PI()*(((VIN_min/VOUT)*(1+(B173/B174)))-0.5))</f>
        <v>0.18947017034749447</v>
      </c>
      <c r="E177" t="s">
        <v>499</v>
      </c>
    </row>
    <row r="178" spans="1:5" x14ac:dyDescent="0.25">
      <c r="B178" s="20"/>
    </row>
    <row r="179" spans="1:5" x14ac:dyDescent="0.25">
      <c r="A179" t="s">
        <v>254</v>
      </c>
      <c r="B179" s="20">
        <f>IF(B171=0,fz_rhp/5,Fsw/10)</f>
        <v>1414.7106052612924</v>
      </c>
      <c r="C179" t="s">
        <v>65</v>
      </c>
      <c r="E179" t="s">
        <v>464</v>
      </c>
    </row>
    <row r="180" spans="1:5" x14ac:dyDescent="0.25">
      <c r="B180" s="29">
        <f>fcross</f>
        <v>1400</v>
      </c>
      <c r="C180" t="s">
        <v>539</v>
      </c>
      <c r="E180" t="s">
        <v>570</v>
      </c>
    </row>
    <row r="181" spans="1:5" x14ac:dyDescent="0.25">
      <c r="A181" t="s">
        <v>261</v>
      </c>
      <c r="B181" s="51">
        <f>SQRT(B163*fcross)</f>
        <v>307.08066395314762</v>
      </c>
      <c r="C181" t="s">
        <v>65</v>
      </c>
      <c r="E181" t="s">
        <v>490</v>
      </c>
    </row>
    <row r="182" spans="1:5" x14ac:dyDescent="0.25">
      <c r="A182" t="s">
        <v>263</v>
      </c>
      <c r="B182" s="30">
        <f>SQRT(fz_rhp*Fsw/2)</f>
        <v>39448.46848468799</v>
      </c>
      <c r="C182" t="s">
        <v>65</v>
      </c>
      <c r="E182" t="s">
        <v>417</v>
      </c>
    </row>
    <row r="184" spans="1:5" x14ac:dyDescent="0.25">
      <c r="A184" t="s">
        <v>509</v>
      </c>
      <c r="B184" s="20">
        <f>10^(-Loop_Modeling!AD7/20)</f>
        <v>0.40206052640646711</v>
      </c>
    </row>
    <row r="185" spans="1:5" x14ac:dyDescent="0.25">
      <c r="A185" t="s">
        <v>507</v>
      </c>
      <c r="B185" s="20">
        <f>SQRT(1+((B179/fp_ea_est)^2))</f>
        <v>1.000642843651139</v>
      </c>
    </row>
    <row r="186" spans="1:5" x14ac:dyDescent="0.25">
      <c r="A186" t="s">
        <v>508</v>
      </c>
      <c r="B186" s="20">
        <f>SQRT(1+(fz_ea_est/B179)^2)</f>
        <v>1.0232869305147945</v>
      </c>
    </row>
    <row r="188" spans="1:5" x14ac:dyDescent="0.25">
      <c r="A188" t="s">
        <v>472</v>
      </c>
      <c r="B188" s="17">
        <f>(fp_ea_est*B184*Kfb)/((fp_ea_est-fz_ea_est)*gm_ea)*(B185/B186)</f>
        <v>23774.877105831758</v>
      </c>
      <c r="C188" s="2" t="s">
        <v>36</v>
      </c>
      <c r="E188" s="31" t="s">
        <v>506</v>
      </c>
    </row>
    <row r="189" spans="1:5" x14ac:dyDescent="0.25">
      <c r="A189" t="s">
        <v>473</v>
      </c>
      <c r="B189" s="155">
        <f>1/(2*PI()*fz_ea_est*Rcomp_calc_CCM)</f>
        <v>2.1799642925120188E-8</v>
      </c>
      <c r="C189" s="2" t="s">
        <v>162</v>
      </c>
    </row>
    <row r="190" spans="1:5" x14ac:dyDescent="0.25">
      <c r="A190" t="s">
        <v>474</v>
      </c>
      <c r="B190" s="155">
        <f>((gm_ea)/(2*PI()*fp_ea_est*B184*Kfb))*(B186/B185)</f>
        <v>1.7102737526954062E-10</v>
      </c>
      <c r="C190" t="s">
        <v>162</v>
      </c>
    </row>
    <row r="193" spans="1:5" x14ac:dyDescent="0.25">
      <c r="A193" s="22" t="s">
        <v>453</v>
      </c>
      <c r="E193" s="31"/>
    </row>
    <row r="195" spans="1:5" x14ac:dyDescent="0.25">
      <c r="A195" t="s">
        <v>459</v>
      </c>
      <c r="B195">
        <f>Fsw/((R_cs*Acs*(VIN_min/Lm))+((R_sl+Rsl_int)*Isl))</f>
        <v>21.999901000445494</v>
      </c>
      <c r="C195" t="s">
        <v>150</v>
      </c>
      <c r="E195" t="s">
        <v>479</v>
      </c>
    </row>
    <row r="196" spans="1:5" x14ac:dyDescent="0.25">
      <c r="A196" t="s">
        <v>458</v>
      </c>
      <c r="B196">
        <f>(B195*2*VOUT/Dc_VIN_min)*(((VOUT/VIN_min)-1)/((2*VOUT/VIN_min)-1))</f>
        <v>1222.2167222469716</v>
      </c>
      <c r="C196" t="s">
        <v>150</v>
      </c>
    </row>
    <row r="197" spans="1:5" x14ac:dyDescent="0.25">
      <c r="A197" t="s">
        <v>460</v>
      </c>
      <c r="B197">
        <f>(IOUT*((2*VOUT)-VIN_min))/(Cout*VOUT*(VOUT-VIN_min))</f>
        <v>430.85106382978728</v>
      </c>
      <c r="C197" t="s">
        <v>385</v>
      </c>
    </row>
    <row r="198" spans="1:5" x14ac:dyDescent="0.25">
      <c r="B198">
        <f>B197/(2*PI())</f>
        <v>68.572076544912363</v>
      </c>
      <c r="C198" t="s">
        <v>65</v>
      </c>
    </row>
    <row r="199" spans="1:5" x14ac:dyDescent="0.25">
      <c r="A199" t="s">
        <v>461</v>
      </c>
      <c r="B199">
        <f>1/(Cout*Resr)</f>
        <v>60790.273556231004</v>
      </c>
      <c r="C199" t="s">
        <v>385</v>
      </c>
    </row>
    <row r="200" spans="1:5" x14ac:dyDescent="0.25">
      <c r="B200">
        <f>B199/(2*PI())</f>
        <v>9675.072528382696</v>
      </c>
      <c r="C200" t="s">
        <v>65</v>
      </c>
    </row>
    <row r="201" spans="1:5" x14ac:dyDescent="0.25">
      <c r="A201" t="s">
        <v>462</v>
      </c>
      <c r="B201">
        <f>2*Fsw/(Dc_VIN_min)</f>
        <v>1100000</v>
      </c>
      <c r="C201" t="s">
        <v>385</v>
      </c>
      <c r="E201" t="s">
        <v>478</v>
      </c>
    </row>
    <row r="202" spans="1:5" x14ac:dyDescent="0.25">
      <c r="B202">
        <f>B201/(2*PI())</f>
        <v>175070.43740108487</v>
      </c>
      <c r="C202" t="s">
        <v>65</v>
      </c>
    </row>
    <row r="204" spans="1:5" x14ac:dyDescent="0.25">
      <c r="A204" t="s">
        <v>463</v>
      </c>
      <c r="B204">
        <f>IF(2*Fsw/(2*PI()*Dc_VIN_min*5)&lt;Fsw/10,2*Fsw/(2*PI()*Dc_VIN_min*5),Fsw/10)</f>
        <v>35014.087480216978</v>
      </c>
      <c r="C204" t="s">
        <v>65</v>
      </c>
      <c r="E204" t="s">
        <v>569</v>
      </c>
    </row>
    <row r="205" spans="1:5" x14ac:dyDescent="0.25">
      <c r="B205" s="29">
        <f>fcross</f>
        <v>1400</v>
      </c>
      <c r="C205" t="s">
        <v>539</v>
      </c>
      <c r="E205" t="s">
        <v>570</v>
      </c>
    </row>
    <row r="206" spans="1:5" x14ac:dyDescent="0.25">
      <c r="A206" t="s">
        <v>261</v>
      </c>
      <c r="B206" s="51">
        <f>SQRT(B198*fcross)</f>
        <v>309.84013162093333</v>
      </c>
      <c r="C206" t="s">
        <v>65</v>
      </c>
    </row>
    <row r="207" spans="1:5" x14ac:dyDescent="0.25">
      <c r="A207" t="s">
        <v>263</v>
      </c>
      <c r="B207" s="30">
        <f>Fsw/2</f>
        <v>220000</v>
      </c>
      <c r="C207" t="s">
        <v>65</v>
      </c>
    </row>
    <row r="209" spans="1:5" x14ac:dyDescent="0.25">
      <c r="A209" t="s">
        <v>509</v>
      </c>
      <c r="B209" s="20">
        <f>10^(-Loop_Modeling!AQ7/20)</f>
        <v>8.8336542256571227E-2</v>
      </c>
    </row>
    <row r="210" spans="1:5" x14ac:dyDescent="0.25">
      <c r="A210" t="s">
        <v>507</v>
      </c>
      <c r="B210" s="20">
        <f>SQRT(1+((fcross/B207)^2))</f>
        <v>1.0000202477288991</v>
      </c>
    </row>
    <row r="211" spans="1:5" x14ac:dyDescent="0.25">
      <c r="A211" t="s">
        <v>508</v>
      </c>
      <c r="B211" s="20">
        <f>SQRT(1+(B206/fcross)^2)</f>
        <v>1.0241972733194213</v>
      </c>
    </row>
    <row r="214" spans="1:5" x14ac:dyDescent="0.25">
      <c r="A214" t="s">
        <v>466</v>
      </c>
      <c r="B214">
        <f>(B207*B209*Kfb)/((B207-B206)*gm_ea)*(B210/B211)</f>
        <v>5182.3757699686812</v>
      </c>
      <c r="C214" t="s">
        <v>469</v>
      </c>
      <c r="E214" t="s">
        <v>260</v>
      </c>
    </row>
    <row r="215" spans="1:5" x14ac:dyDescent="0.25">
      <c r="A215" t="s">
        <v>470</v>
      </c>
      <c r="B215">
        <f>1/(2*PI()*B206*RCOMP_CALC_DCM)</f>
        <v>9.9118235704157157E-8</v>
      </c>
      <c r="C215" t="s">
        <v>162</v>
      </c>
      <c r="E215" t="s">
        <v>467</v>
      </c>
    </row>
    <row r="216" spans="1:5" x14ac:dyDescent="0.25">
      <c r="A216" t="s">
        <v>471</v>
      </c>
      <c r="B216">
        <f>((gm_ea)/(2*PI()*B207*Kfb))*(B211/B210)</f>
        <v>1.234869381169445E-11</v>
      </c>
      <c r="C216" t="s">
        <v>162</v>
      </c>
      <c r="E216" t="s">
        <v>468</v>
      </c>
    </row>
    <row r="217" spans="1:5" ht="16.5" customHeight="1" x14ac:dyDescent="0.25"/>
    <row r="218" spans="1:5" ht="16.5" customHeight="1" x14ac:dyDescent="0.25">
      <c r="A218" s="152" t="s">
        <v>465</v>
      </c>
    </row>
    <row r="219" spans="1:5" x14ac:dyDescent="0.25">
      <c r="B219">
        <f>IF(B54=0,B204,B179)</f>
        <v>1414.7106052612924</v>
      </c>
      <c r="C219" t="s">
        <v>65</v>
      </c>
      <c r="E219" t="s">
        <v>568</v>
      </c>
    </row>
    <row r="220" spans="1:5" x14ac:dyDescent="0.25">
      <c r="A220" t="s">
        <v>254</v>
      </c>
      <c r="B220" s="3">
        <f>'Design Converter'!H65*1000</f>
        <v>1400</v>
      </c>
      <c r="C220" t="s">
        <v>65</v>
      </c>
      <c r="E220" t="s">
        <v>255</v>
      </c>
    </row>
    <row r="222" spans="1:5" x14ac:dyDescent="0.25">
      <c r="A222" t="s">
        <v>259</v>
      </c>
      <c r="B222">
        <f>IF(B54=0,RCOMP_CALC_DCM,Rcomp_calc_CCM)</f>
        <v>23774.877105831758</v>
      </c>
    </row>
    <row r="223" spans="1:5" x14ac:dyDescent="0.25">
      <c r="A223" t="s">
        <v>180</v>
      </c>
      <c r="B223" s="3">
        <f>'Design Converter'!H68*1000</f>
        <v>35600</v>
      </c>
      <c r="C223" s="2" t="s">
        <v>36</v>
      </c>
      <c r="E223" t="s">
        <v>186</v>
      </c>
    </row>
    <row r="224" spans="1:5" x14ac:dyDescent="0.25">
      <c r="A224" t="s">
        <v>262</v>
      </c>
      <c r="B224">
        <f>IF(B54=0,CCOMP_CALC_DCM,CCOMP_calc_CCM)</f>
        <v>2.1799642925120188E-8</v>
      </c>
    </row>
    <row r="225" spans="1:5" x14ac:dyDescent="0.25">
      <c r="A225" t="s">
        <v>184</v>
      </c>
      <c r="B225" s="3">
        <f>'Design Converter'!H69*(10^-9)</f>
        <v>3.3000000000000002E-9</v>
      </c>
      <c r="C225" t="s">
        <v>162</v>
      </c>
      <c r="E225" t="s">
        <v>187</v>
      </c>
    </row>
    <row r="226" spans="1:5" x14ac:dyDescent="0.25">
      <c r="A226" t="s">
        <v>475</v>
      </c>
      <c r="B226">
        <f>IF(B54=0,CHF_CALC_DCM,CHF_CALC_CCM)</f>
        <v>1.7102737526954062E-10</v>
      </c>
    </row>
    <row r="227" spans="1:5" x14ac:dyDescent="0.25">
      <c r="A227" t="s">
        <v>185</v>
      </c>
      <c r="B227" s="3">
        <f>'Design Converter'!H70*(10^-12)</f>
        <v>1E-10</v>
      </c>
      <c r="C227" t="s">
        <v>162</v>
      </c>
      <c r="E227" t="s">
        <v>188</v>
      </c>
    </row>
    <row r="229" spans="1:5" x14ac:dyDescent="0.25">
      <c r="A229" s="28" t="s">
        <v>320</v>
      </c>
    </row>
    <row r="230" spans="1:5" x14ac:dyDescent="0.25">
      <c r="A230" s="28" t="s">
        <v>338</v>
      </c>
    </row>
    <row r="231" spans="1:5" x14ac:dyDescent="0.25">
      <c r="A231" s="86" t="s">
        <v>392</v>
      </c>
      <c r="E231" t="s">
        <v>393</v>
      </c>
    </row>
    <row r="236" spans="1:5" x14ac:dyDescent="0.25">
      <c r="A236" s="28" t="s">
        <v>575</v>
      </c>
    </row>
    <row r="237" spans="1:5" ht="15.75" x14ac:dyDescent="0.3">
      <c r="A237" t="s">
        <v>347</v>
      </c>
      <c r="B237" s="3">
        <f>'Design Converter'!H75*(10^-3)</f>
        <v>3.7200000000000004E-2</v>
      </c>
      <c r="C237" s="2" t="s">
        <v>36</v>
      </c>
      <c r="E237" s="78" t="s">
        <v>327</v>
      </c>
    </row>
    <row r="238" spans="1:5" ht="15.75" x14ac:dyDescent="0.3">
      <c r="A238" t="s">
        <v>339</v>
      </c>
      <c r="B238" s="3">
        <f>'Design Converter'!H76*(10^-9)</f>
        <v>1E-8</v>
      </c>
      <c r="C238" t="s">
        <v>162</v>
      </c>
      <c r="E238" s="78" t="s">
        <v>328</v>
      </c>
    </row>
    <row r="239" spans="1:5" ht="15.75" x14ac:dyDescent="0.3">
      <c r="A239" t="s">
        <v>341</v>
      </c>
      <c r="B239" s="3">
        <f>'Design Converter'!H77*(10^-9)</f>
        <v>2.4E-9</v>
      </c>
      <c r="C239" t="s">
        <v>162</v>
      </c>
      <c r="E239" s="78" t="s">
        <v>329</v>
      </c>
    </row>
    <row r="240" spans="1:5" ht="15.75" x14ac:dyDescent="0.3">
      <c r="A240" t="s">
        <v>340</v>
      </c>
      <c r="B240" s="3">
        <f>'Design Converter'!H78*(10^-9)</f>
        <v>4.5000000000000006E-9</v>
      </c>
      <c r="C240" t="s">
        <v>162</v>
      </c>
      <c r="E240" s="78" t="s">
        <v>330</v>
      </c>
    </row>
    <row r="241" spans="1:8" ht="15.75" x14ac:dyDescent="0.3">
      <c r="A241" t="s">
        <v>342</v>
      </c>
      <c r="B241" s="3">
        <f>'Design Converter'!H79</f>
        <v>0</v>
      </c>
      <c r="C241" s="2" t="s">
        <v>36</v>
      </c>
      <c r="E241" s="78" t="s">
        <v>331</v>
      </c>
    </row>
    <row r="242" spans="1:8" x14ac:dyDescent="0.25">
      <c r="A242" t="s">
        <v>348</v>
      </c>
      <c r="B242" s="12">
        <v>5</v>
      </c>
      <c r="C242" s="2"/>
      <c r="E242" s="78" t="s">
        <v>349</v>
      </c>
      <c r="H242" t="s">
        <v>358</v>
      </c>
    </row>
    <row r="243" spans="1:8" ht="15.75" x14ac:dyDescent="0.3">
      <c r="A243" t="s">
        <v>343</v>
      </c>
      <c r="B243" s="187">
        <v>50</v>
      </c>
      <c r="C243" s="2" t="s">
        <v>337</v>
      </c>
      <c r="E243" s="78" t="s">
        <v>332</v>
      </c>
    </row>
    <row r="244" spans="1:8" ht="15.75" x14ac:dyDescent="0.3">
      <c r="A244" t="s">
        <v>344</v>
      </c>
      <c r="B244" s="3">
        <f>'Design Converter'!H80</f>
        <v>1.7</v>
      </c>
      <c r="C244" s="2" t="s">
        <v>10</v>
      </c>
      <c r="E244" s="78" t="s">
        <v>333</v>
      </c>
    </row>
    <row r="245" spans="1:8" x14ac:dyDescent="0.25">
      <c r="A245" t="s">
        <v>354</v>
      </c>
      <c r="B245" s="12">
        <f>Vcc</f>
        <v>5</v>
      </c>
      <c r="C245" s="2" t="s">
        <v>10</v>
      </c>
      <c r="E245" s="78" t="s">
        <v>359</v>
      </c>
    </row>
    <row r="246" spans="1:8" x14ac:dyDescent="0.25">
      <c r="C246" s="2"/>
      <c r="E246" s="78"/>
    </row>
    <row r="247" spans="1:8" x14ac:dyDescent="0.25">
      <c r="C247" s="2"/>
      <c r="E247" s="78"/>
    </row>
    <row r="248" spans="1:8" x14ac:dyDescent="0.25">
      <c r="A248" t="s">
        <v>350</v>
      </c>
      <c r="B248" s="25">
        <f>Vth+(((VOUT*IOUT)/VIN_min)/gfs)</f>
        <v>2.15</v>
      </c>
      <c r="C248" s="2" t="s">
        <v>10</v>
      </c>
      <c r="E248" s="78" t="s">
        <v>351</v>
      </c>
    </row>
    <row r="249" spans="1:8" x14ac:dyDescent="0.25">
      <c r="A249" t="s">
        <v>360</v>
      </c>
      <c r="B249" s="1">
        <f>(Qgd+(Qgs/2))*((Rgate+B242)/(Vcc-B248))</f>
        <v>8.1578947368421055E-9</v>
      </c>
      <c r="C249" s="2" t="s">
        <v>51</v>
      </c>
      <c r="E249" s="78" t="s">
        <v>352</v>
      </c>
    </row>
    <row r="250" spans="1:8" ht="15.75" thickBot="1" x14ac:dyDescent="0.3">
      <c r="A250" t="s">
        <v>361</v>
      </c>
      <c r="B250" s="1">
        <f>(Qgd+(Qgs/2))*((B242+Rgate)/B248)</f>
        <v>1.0813953488372094E-8</v>
      </c>
      <c r="C250" t="s">
        <v>51</v>
      </c>
      <c r="E250" s="79" t="s">
        <v>353</v>
      </c>
    </row>
    <row r="253" spans="1:8" x14ac:dyDescent="0.25">
      <c r="A253" s="28" t="s">
        <v>576</v>
      </c>
    </row>
    <row r="254" spans="1:8" ht="15.75" x14ac:dyDescent="0.3">
      <c r="A254" t="s">
        <v>347</v>
      </c>
      <c r="B254" s="3">
        <f>'Design Converter'!H83*(10^-3)</f>
        <v>8.8000000000000005E-3</v>
      </c>
      <c r="C254" s="2" t="s">
        <v>36</v>
      </c>
      <c r="E254" s="78" t="s">
        <v>327</v>
      </c>
    </row>
    <row r="255" spans="1:8" ht="15.75" x14ac:dyDescent="0.3">
      <c r="A255" t="s">
        <v>339</v>
      </c>
      <c r="B255" s="3">
        <f>'Design Converter'!H84*(10^-9)</f>
        <v>1E-8</v>
      </c>
      <c r="C255" t="s">
        <v>162</v>
      </c>
      <c r="E255" s="78" t="s">
        <v>328</v>
      </c>
    </row>
    <row r="256" spans="1:8" ht="15.75" x14ac:dyDescent="0.3">
      <c r="A256" t="s">
        <v>341</v>
      </c>
      <c r="B256" s="3">
        <f>'Design Converter'!H85*(10^-9)</f>
        <v>2.4E-9</v>
      </c>
      <c r="C256" t="s">
        <v>162</v>
      </c>
      <c r="E256" s="78" t="s">
        <v>329</v>
      </c>
    </row>
    <row r="257" spans="1:5" ht="15.75" x14ac:dyDescent="0.3">
      <c r="A257" t="s">
        <v>340</v>
      </c>
      <c r="B257" s="3">
        <f>'Design Converter'!H86*(10^-9)</f>
        <v>4.5000000000000006E-9</v>
      </c>
      <c r="C257" t="s">
        <v>162</v>
      </c>
      <c r="E257" s="78" t="s">
        <v>330</v>
      </c>
    </row>
    <row r="258" spans="1:5" ht="15.75" x14ac:dyDescent="0.3">
      <c r="A258" t="s">
        <v>342</v>
      </c>
      <c r="B258" s="3">
        <f>'Design Converter'!H87</f>
        <v>0</v>
      </c>
      <c r="C258" s="2" t="s">
        <v>36</v>
      </c>
      <c r="E258" s="78" t="s">
        <v>331</v>
      </c>
    </row>
    <row r="259" spans="1:5" x14ac:dyDescent="0.25">
      <c r="A259" t="s">
        <v>348</v>
      </c>
      <c r="B259" s="12">
        <v>5</v>
      </c>
      <c r="C259" s="2"/>
      <c r="E259" s="78" t="s">
        <v>349</v>
      </c>
    </row>
    <row r="260" spans="1:5" ht="15.75" x14ac:dyDescent="0.3">
      <c r="A260" t="s">
        <v>343</v>
      </c>
      <c r="B260" s="187">
        <v>50</v>
      </c>
      <c r="C260" s="2" t="s">
        <v>337</v>
      </c>
      <c r="E260" s="78" t="s">
        <v>332</v>
      </c>
    </row>
    <row r="261" spans="1:5" ht="15.75" x14ac:dyDescent="0.3">
      <c r="A261" t="s">
        <v>344</v>
      </c>
      <c r="B261" s="3">
        <f>'Design Converter'!H88</f>
        <v>1.7</v>
      </c>
      <c r="C261" s="2" t="s">
        <v>10</v>
      </c>
      <c r="E261" s="78" t="s">
        <v>333</v>
      </c>
    </row>
    <row r="262" spans="1:5" x14ac:dyDescent="0.25">
      <c r="A262" t="s">
        <v>354</v>
      </c>
      <c r="B262" s="12">
        <f>Vcc</f>
        <v>5</v>
      </c>
      <c r="C262" s="2" t="s">
        <v>10</v>
      </c>
      <c r="E262" s="78" t="s">
        <v>359</v>
      </c>
    </row>
    <row r="263" spans="1:5" x14ac:dyDescent="0.25">
      <c r="A263" t="s">
        <v>346</v>
      </c>
      <c r="B263" s="3">
        <f>'Design Converter'!H89*10^-9</f>
        <v>3.3000000000000004E-8</v>
      </c>
      <c r="C263" t="s">
        <v>345</v>
      </c>
      <c r="E263" t="s">
        <v>577</v>
      </c>
    </row>
    <row r="264" spans="1:5" x14ac:dyDescent="0.25">
      <c r="A264" t="s">
        <v>321</v>
      </c>
      <c r="B264" s="3">
        <f>'Design Converter'!H90</f>
        <v>0.8</v>
      </c>
      <c r="C264" t="s">
        <v>10</v>
      </c>
      <c r="E264" t="s">
        <v>578</v>
      </c>
    </row>
    <row r="265" spans="1:5" x14ac:dyDescent="0.25">
      <c r="C265" s="2"/>
      <c r="E265" s="78"/>
    </row>
    <row r="266" spans="1:5" x14ac:dyDescent="0.25">
      <c r="A266" t="s">
        <v>350</v>
      </c>
      <c r="B266" s="25">
        <f>Vth+(((VOUT*IOUT)/VIN_min)/B260)</f>
        <v>2.15</v>
      </c>
      <c r="C266" s="2" t="s">
        <v>10</v>
      </c>
      <c r="E266" s="78" t="s">
        <v>351</v>
      </c>
    </row>
    <row r="267" spans="1:5" x14ac:dyDescent="0.25">
      <c r="A267" t="s">
        <v>360</v>
      </c>
      <c r="B267" s="1">
        <f>(B256+(B257/2))*((B258+B259)/(Vcc-B266))</f>
        <v>8.1578947368421055E-9</v>
      </c>
      <c r="C267" s="2" t="s">
        <v>51</v>
      </c>
      <c r="E267" s="78" t="s">
        <v>352</v>
      </c>
    </row>
    <row r="268" spans="1:5" ht="15.75" thickBot="1" x14ac:dyDescent="0.3">
      <c r="A268" t="s">
        <v>361</v>
      </c>
      <c r="B268" s="1">
        <f>(Qgd+(Qgs/2))*((B259+Rgate)/B266)</f>
        <v>1.0813953488372094E-8</v>
      </c>
      <c r="C268" t="s">
        <v>51</v>
      </c>
      <c r="E268" s="79" t="s">
        <v>353</v>
      </c>
    </row>
  </sheetData>
  <mergeCells count="2">
    <mergeCell ref="A1:J1"/>
    <mergeCell ref="E5:H5"/>
  </mergeCells>
  <pageMargins left="0.7" right="0.7" top="0.75" bottom="0.75" header="0.3" footer="0.3"/>
  <pageSetup orientation="portrait" r:id="rId1"/>
  <ignoredErrors>
    <ignoredError sqref="B199 B201" formula="1"/>
  </ignoredErrors>
  <drawing r:id="rId2"/>
  <legacyDrawing r:id="rId3"/>
  <oleObjects>
    <mc:AlternateContent xmlns:mc="http://schemas.openxmlformats.org/markup-compatibility/2006">
      <mc:Choice Requires="x14">
        <oleObject progId="Mathcad" shapeId="2053" r:id="rId4">
          <objectPr defaultSize="0" autoPict="0" r:id="rId5">
            <anchor moveWithCells="1">
              <from>
                <xdr:col>8</xdr:col>
                <xdr:colOff>57150</xdr:colOff>
                <xdr:row>110</xdr:row>
                <xdr:rowOff>0</xdr:rowOff>
              </from>
              <to>
                <xdr:col>13</xdr:col>
                <xdr:colOff>19050</xdr:colOff>
                <xdr:row>112</xdr:row>
                <xdr:rowOff>28575</xdr:rowOff>
              </to>
            </anchor>
          </objectPr>
        </oleObject>
      </mc:Choice>
      <mc:Fallback>
        <oleObject progId="Mathcad" shapeId="205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W157"/>
  <sheetViews>
    <sheetView topLeftCell="P1" zoomScaleNormal="100" workbookViewId="0">
      <pane ySplit="6" topLeftCell="A118" activePane="bottomLeft" state="frozen"/>
      <selection activeCell="R1" sqref="R1"/>
      <selection pane="bottomLeft" activeCell="AM101" sqref="AM101"/>
    </sheetView>
  </sheetViews>
  <sheetFormatPr defaultRowHeight="15" x14ac:dyDescent="0.25"/>
  <cols>
    <col min="10" max="10" width="10" bestFit="1" customWidth="1"/>
    <col min="18" max="18" width="8.85546875"/>
    <col min="21" max="21" width="8.85546875"/>
    <col min="24" max="24" width="8.85546875"/>
    <col min="25" max="25" width="12" bestFit="1" customWidth="1"/>
    <col min="28" max="28" width="8.85546875"/>
    <col min="30" max="30" width="8.85546875"/>
    <col min="35" max="35" width="8.85546875"/>
    <col min="39" max="39" width="11" bestFit="1" customWidth="1"/>
    <col min="40" max="40" width="11" customWidth="1"/>
    <col min="43" max="44" width="8.7109375"/>
    <col min="45" max="46" width="8.85546875"/>
  </cols>
  <sheetData>
    <row r="1" spans="1:49" ht="27.75" x14ac:dyDescent="0.4">
      <c r="A1" s="213" t="s">
        <v>15</v>
      </c>
      <c r="B1" s="213"/>
      <c r="C1" s="213"/>
      <c r="D1" s="213"/>
      <c r="E1" s="213"/>
      <c r="F1" s="213"/>
      <c r="G1" s="213"/>
      <c r="H1" s="213"/>
      <c r="I1" s="213"/>
      <c r="J1" s="213"/>
      <c r="K1" s="213"/>
      <c r="L1" s="213"/>
      <c r="M1" s="213"/>
    </row>
    <row r="4" spans="1:49" ht="15.75" thickBot="1" x14ac:dyDescent="0.3">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row>
    <row r="5" spans="1:49" ht="30" x14ac:dyDescent="0.25">
      <c r="R5" s="219" t="s">
        <v>314</v>
      </c>
      <c r="S5" s="220"/>
      <c r="T5" s="220"/>
      <c r="U5" s="221"/>
      <c r="V5" s="219" t="s">
        <v>315</v>
      </c>
      <c r="W5" s="220"/>
      <c r="X5" s="221"/>
      <c r="Y5" s="219" t="s">
        <v>379</v>
      </c>
      <c r="Z5" s="220"/>
      <c r="AA5" s="220"/>
      <c r="AB5" s="220"/>
      <c r="AC5" s="220"/>
      <c r="AD5" s="221"/>
      <c r="AE5" s="219" t="s">
        <v>573</v>
      </c>
      <c r="AF5" s="220"/>
      <c r="AG5" s="220"/>
      <c r="AH5" s="220"/>
      <c r="AI5" s="221"/>
      <c r="AJ5" s="219" t="s">
        <v>574</v>
      </c>
      <c r="AK5" s="220"/>
      <c r="AL5" s="220"/>
      <c r="AM5" s="220"/>
      <c r="AN5" s="222"/>
      <c r="AO5" s="221"/>
      <c r="AP5" s="215" t="s">
        <v>376</v>
      </c>
      <c r="AQ5" s="216"/>
      <c r="AR5" s="216"/>
      <c r="AS5" s="217"/>
      <c r="AT5" s="218"/>
      <c r="AU5" s="83" t="s">
        <v>369</v>
      </c>
      <c r="AV5" s="84"/>
      <c r="AW5" s="85"/>
    </row>
    <row r="6" spans="1:49" ht="18" x14ac:dyDescent="0.35">
      <c r="R6" s="73" t="s">
        <v>31</v>
      </c>
      <c r="S6" s="71" t="s">
        <v>33</v>
      </c>
      <c r="T6" s="71" t="s">
        <v>270</v>
      </c>
      <c r="U6" s="74" t="s">
        <v>273</v>
      </c>
      <c r="V6" s="73" t="s">
        <v>271</v>
      </c>
      <c r="W6" s="71" t="s">
        <v>272</v>
      </c>
      <c r="X6" s="74" t="s">
        <v>319</v>
      </c>
      <c r="Y6" s="73" t="s">
        <v>316</v>
      </c>
      <c r="Z6" s="71" t="s">
        <v>318</v>
      </c>
      <c r="AA6" s="71" t="s">
        <v>317</v>
      </c>
      <c r="AB6" s="80" t="s">
        <v>323</v>
      </c>
      <c r="AC6" s="80" t="s">
        <v>324</v>
      </c>
      <c r="AD6" s="82" t="s">
        <v>367</v>
      </c>
      <c r="AE6" s="73" t="s">
        <v>362</v>
      </c>
      <c r="AF6" s="71" t="s">
        <v>363</v>
      </c>
      <c r="AG6" s="80" t="s">
        <v>365</v>
      </c>
      <c r="AH6" s="80" t="s">
        <v>364</v>
      </c>
      <c r="AI6" s="82" t="s">
        <v>366</v>
      </c>
      <c r="AJ6" s="73" t="s">
        <v>322</v>
      </c>
      <c r="AK6" s="71" t="s">
        <v>587</v>
      </c>
      <c r="AL6" s="71" t="s">
        <v>325</v>
      </c>
      <c r="AM6" s="71" t="s">
        <v>326</v>
      </c>
      <c r="AN6" s="188" t="s">
        <v>588</v>
      </c>
      <c r="AO6" s="74" t="s">
        <v>591</v>
      </c>
      <c r="AP6" s="73" t="s">
        <v>368</v>
      </c>
      <c r="AQ6" s="206" t="s">
        <v>324</v>
      </c>
      <c r="AR6" s="206" t="s">
        <v>593</v>
      </c>
      <c r="AS6" s="71" t="s">
        <v>371</v>
      </c>
      <c r="AT6" s="74" t="s">
        <v>372</v>
      </c>
      <c r="AU6" s="73" t="s">
        <v>370</v>
      </c>
      <c r="AV6" s="71" t="s">
        <v>378</v>
      </c>
      <c r="AW6" s="74" t="s">
        <v>377</v>
      </c>
    </row>
    <row r="7" spans="1:49" x14ac:dyDescent="0.25">
      <c r="Q7">
        <v>0</v>
      </c>
      <c r="R7" s="73">
        <f t="shared" ref="R7:R70" si="0">VOUT</f>
        <v>50</v>
      </c>
      <c r="S7" s="71">
        <f t="shared" ref="S7:S38" si="1">Q7*$O$12</f>
        <v>0</v>
      </c>
      <c r="T7" s="71">
        <f t="shared" ref="T7:T70" si="2">VIN_var</f>
        <v>3</v>
      </c>
      <c r="U7" s="74">
        <f t="shared" ref="U7:U38" si="3">(R7*S7)/(T7*EFF_est)</f>
        <v>0</v>
      </c>
      <c r="V7" s="73">
        <f>IF(Variable_Management!$B$20=3,2,IF((S7*R7/T7)&lt;((T7*(1-(T7/R7)))/(2*Lm*Fsw)),1,2))</f>
        <v>1</v>
      </c>
      <c r="W7" s="71">
        <f>CHOOSE(V7,SQRT((2*S7*Lm*Fsw*(R7-T7))/((T7)^2)),1-(T7/R7))</f>
        <v>0</v>
      </c>
      <c r="X7" s="74">
        <f t="shared" ref="X7:X38" si="4">CHOOSE(V7,(Lm*Z7*Fsw)/(R7-T7),1-W7)</f>
        <v>0</v>
      </c>
      <c r="Y7" s="73">
        <f t="shared" ref="Y7:Y38" si="5">(T7*W7)/(Lm*Fsw)</f>
        <v>0</v>
      </c>
      <c r="Z7" s="71">
        <f>CHOOSE(V7,Y7,U7+(0.5*Y7))</f>
        <v>0</v>
      </c>
      <c r="AA7" s="71">
        <f>CHOOSE(V7,Z7*SQRT((W7+X7)/3),SQRT((U7^2)+((Y7^2)/12)))</f>
        <v>0</v>
      </c>
      <c r="AB7" s="71">
        <v>0</v>
      </c>
      <c r="AC7" s="71">
        <f t="shared" ref="AC7:AC38" si="6">(AA7^2)*Rdcr</f>
        <v>0</v>
      </c>
      <c r="AD7" s="74">
        <f>AB7+AC7</f>
        <v>0</v>
      </c>
      <c r="AE7" s="73">
        <f>U7*W7</f>
        <v>0</v>
      </c>
      <c r="AF7" s="71">
        <f>CHOOSE(V7,Z7*SQRT(W7/3),SQRT(W7*((Z7^2)+((Y7^2)/3)-(Z7*Y7))))</f>
        <v>0</v>
      </c>
      <c r="AG7" s="71">
        <f t="shared" ref="AG7:AG38" si="7">(AF7^2)*RDS_on</f>
        <v>0</v>
      </c>
      <c r="AH7" s="71">
        <f>((R7*U7)/2)*Fsw*(tr_sw+tf_sw)</f>
        <v>0</v>
      </c>
      <c r="AI7" s="74">
        <f>AG7+AH7</f>
        <v>0</v>
      </c>
      <c r="AJ7" s="73">
        <f>X7*U7</f>
        <v>0</v>
      </c>
      <c r="AK7" s="71">
        <f>CHOOSE(V7,Z7*SQRT(X7/3),SQRT(X7*((Z7^2)+((Y7^2)/3)-(Y7*Z7))))</f>
        <v>0</v>
      </c>
      <c r="AL7" s="71">
        <f t="shared" ref="AL7:AL38" si="8">(AK7^2)*RDS_on_HS</f>
        <v>0</v>
      </c>
      <c r="AM7" s="71">
        <f>CHOOSE(V7,0,(R7+Vd_rect)*Qrr*Fsw)</f>
        <v>0</v>
      </c>
      <c r="AN7" s="188">
        <f>Vd_rect*t_dead*Fsw*Z7</f>
        <v>0</v>
      </c>
      <c r="AO7" s="74">
        <f>AL7+AM7+AN7</f>
        <v>0</v>
      </c>
      <c r="AP7" s="73">
        <f>(AA7^2)*R_cs</f>
        <v>0</v>
      </c>
      <c r="AQ7" s="206">
        <f t="shared" ref="AQ7:AQ38" si="9">Rdcr*AA7^2</f>
        <v>0</v>
      </c>
      <c r="AR7" s="206">
        <f t="shared" ref="AR7:AR38" si="10">ABS(7.759*10^-3*Fsw^0.9458*(0.00787*Y7)^2.304)</f>
        <v>0</v>
      </c>
      <c r="AS7" s="71">
        <f t="shared" ref="AS7:AS38" si="11">(Qg_tot+Qg_tot_HS)*Vcc*Fsw</f>
        <v>4.3999999999999997E-2</v>
      </c>
      <c r="AT7" s="74">
        <f t="shared" ref="AT7:AT38" si="12">IQ*T7</f>
        <v>9.9000000000000001E-6</v>
      </c>
      <c r="AU7" s="73">
        <f>AP7+AO7+AI7+AD7+AS7+AT7+AQ7+AR7</f>
        <v>4.4009899999999998E-2</v>
      </c>
      <c r="AV7" s="71">
        <f>R7*S7</f>
        <v>0</v>
      </c>
      <c r="AW7" s="74">
        <f>(AV7/(AV7+AU7))*100</f>
        <v>0</v>
      </c>
    </row>
    <row r="8" spans="1:49" x14ac:dyDescent="0.25">
      <c r="M8">
        <f>Fsw</f>
        <v>440000</v>
      </c>
      <c r="Q8">
        <v>1</v>
      </c>
      <c r="R8" s="73">
        <f t="shared" si="0"/>
        <v>50</v>
      </c>
      <c r="S8" s="71">
        <f t="shared" si="1"/>
        <v>0.03</v>
      </c>
      <c r="T8" s="71">
        <f t="shared" si="2"/>
        <v>3</v>
      </c>
      <c r="U8" s="74">
        <f t="shared" si="3"/>
        <v>0.5</v>
      </c>
      <c r="V8" s="73">
        <f>IF(Variable_Management!$B$20=3,2,IF((S8*R8/T8)&lt;((T8*(1-(T8/R8)))/(2*Lm*Fsw)),1,2))</f>
        <v>2</v>
      </c>
      <c r="W8" s="71">
        <f t="shared" ref="W8:W38" si="13">CHOOSE(V8,SQRT((2*S8*Lm*Fsw*(R8-T8))/((T8)^2)),1-(T8/R8))</f>
        <v>0.94</v>
      </c>
      <c r="X8" s="74">
        <f t="shared" si="4"/>
        <v>6.0000000000000053E-2</v>
      </c>
      <c r="Y8" s="73">
        <f t="shared" si="5"/>
        <v>0.64090909090909098</v>
      </c>
      <c r="Z8" s="71">
        <f t="shared" ref="Z8:Z15" si="14">CHOOSE(V8,Y8,U8+(0.5*Y8))</f>
        <v>0.82045454545454555</v>
      </c>
      <c r="AA8" s="71">
        <f t="shared" ref="AA8:AA15" si="15">CHOOSE(V8,Z8*SQRT((W8+X8)/3),SQRT((U8^2)+((Y8^2)/12)))</f>
        <v>0.53313260254914674</v>
      </c>
      <c r="AB8" s="71">
        <v>0</v>
      </c>
      <c r="AC8" s="71">
        <f t="shared" si="6"/>
        <v>2.1317277892561981E-3</v>
      </c>
      <c r="AD8" s="74">
        <f t="shared" ref="AD8:AD71" si="16">AB8+AC8</f>
        <v>2.1317277892561981E-3</v>
      </c>
      <c r="AE8" s="73">
        <f>U8*W8</f>
        <v>0.47</v>
      </c>
      <c r="AF8" s="71">
        <f t="shared" ref="AF8:AF71" si="17">CHOOSE(V8,Z8*SQRT(W8/3),SQRT(W8*((Z8^2)+((Y8^2)/3)-(Z8*Y8))))</f>
        <v>0.51689123574188878</v>
      </c>
      <c r="AG8" s="71">
        <f t="shared" si="7"/>
        <v>9.9389676446280991E-3</v>
      </c>
      <c r="AH8" s="71">
        <f t="shared" ref="AH8:AH38" si="18">((R8*U8)/2)*Fsw*(tr_sw+tf_sw)</f>
        <v>0.10434516523867809</v>
      </c>
      <c r="AI8" s="74">
        <f t="shared" ref="AI8:AI71" si="19">AG8+AH8</f>
        <v>0.11428413288330619</v>
      </c>
      <c r="AJ8" s="73">
        <f t="shared" ref="AJ8:AJ71" si="20">X8*U8</f>
        <v>3.0000000000000027E-2</v>
      </c>
      <c r="AK8" s="71">
        <f t="shared" ref="AK8:AK38" si="21">CHOOSE(V8,Z8*SQRT(X8/3),SQRT(X8*((Z8^2)+((Y8^2)/3)-(Y8*Z8))))</f>
        <v>0.13059028414874363</v>
      </c>
      <c r="AL8" s="71">
        <f t="shared" si="8"/>
        <v>1.5007363636363651E-4</v>
      </c>
      <c r="AM8" s="71">
        <f t="shared" ref="AM8:AM39" si="22">CHOOSE(V8,(R8+Vd_rect)*Qrr*Fsw,(R8+Vd_rect)*Qrr*Fsw)</f>
        <v>0.73761600000000005</v>
      </c>
      <c r="AN8" s="188">
        <f t="shared" ref="AN8:AN38" si="23">Vd_rect*t_dead*Fsw*Z8</f>
        <v>5.7760000000000008E-3</v>
      </c>
      <c r="AO8" s="74">
        <f t="shared" ref="AO8:AO71" si="24">AL8+AM8+AN8</f>
        <v>0.74354207363636371</v>
      </c>
      <c r="AP8" s="73">
        <f t="shared" ref="AP8:AP38" si="25">(AA8^2)*R_cs</f>
        <v>5.6846074380165288E-4</v>
      </c>
      <c r="AQ8" s="206">
        <f t="shared" si="9"/>
        <v>2.1317277892561981E-3</v>
      </c>
      <c r="AR8" s="206">
        <f t="shared" si="10"/>
        <v>8.6013784318131857E-3</v>
      </c>
      <c r="AS8" s="71">
        <f t="shared" si="11"/>
        <v>4.3999999999999997E-2</v>
      </c>
      <c r="AT8" s="74">
        <f t="shared" si="12"/>
        <v>9.9000000000000001E-6</v>
      </c>
      <c r="AU8" s="73">
        <f t="shared" ref="AU8:AU71" si="26">AP8+AO8+AI8+AD8+AS8+AT8+AQ8+AR8</f>
        <v>0.91526940127379719</v>
      </c>
      <c r="AV8" s="71">
        <f t="shared" ref="AV8:AV71" si="27">R8*S8</f>
        <v>1.5</v>
      </c>
      <c r="AW8" s="74">
        <f t="shared" ref="AW8:AW71" si="28">(AV8/(AV8+AU8))*100</f>
        <v>62.104873237283996</v>
      </c>
    </row>
    <row r="9" spans="1:49" x14ac:dyDescent="0.25">
      <c r="N9" s="71" t="s">
        <v>198</v>
      </c>
      <c r="O9" s="71">
        <f>VIN_var</f>
        <v>3</v>
      </c>
      <c r="P9" t="s">
        <v>10</v>
      </c>
      <c r="Q9">
        <v>2</v>
      </c>
      <c r="R9" s="73">
        <f t="shared" si="0"/>
        <v>50</v>
      </c>
      <c r="S9" s="71">
        <f t="shared" si="1"/>
        <v>0.06</v>
      </c>
      <c r="T9" s="71">
        <f t="shared" si="2"/>
        <v>3</v>
      </c>
      <c r="U9" s="74">
        <f t="shared" si="3"/>
        <v>1</v>
      </c>
      <c r="V9" s="73">
        <f>IF(Variable_Management!$B$20=3,2,IF((S9*R9/T9)&lt;((T9*(1-(T9/R9)))/(2*Lm*Fsw)),1,2))</f>
        <v>2</v>
      </c>
      <c r="W9" s="71">
        <f t="shared" si="13"/>
        <v>0.94</v>
      </c>
      <c r="X9" s="74">
        <f t="shared" si="4"/>
        <v>6.0000000000000053E-2</v>
      </c>
      <c r="Y9" s="73">
        <f t="shared" si="5"/>
        <v>0.64090909090909098</v>
      </c>
      <c r="Z9" s="71">
        <f t="shared" si="14"/>
        <v>1.3204545454545455</v>
      </c>
      <c r="AA9" s="71">
        <f t="shared" si="15"/>
        <v>1.0169711755506281</v>
      </c>
      <c r="AB9" s="71">
        <v>0</v>
      </c>
      <c r="AC9" s="71">
        <f t="shared" si="6"/>
        <v>7.7567277892561974E-3</v>
      </c>
      <c r="AD9" s="74">
        <f t="shared" si="16"/>
        <v>7.7567277892561974E-3</v>
      </c>
      <c r="AE9" s="73">
        <f t="shared" ref="AE9:AE72" si="29">U9*W9</f>
        <v>0.94</v>
      </c>
      <c r="AF9" s="71">
        <f t="shared" si="17"/>
        <v>0.98599013665795709</v>
      </c>
      <c r="AG9" s="71">
        <f t="shared" si="7"/>
        <v>3.6164967644628107E-2</v>
      </c>
      <c r="AH9" s="71">
        <f t="shared" si="18"/>
        <v>0.20869033047735619</v>
      </c>
      <c r="AI9" s="74">
        <f t="shared" si="19"/>
        <v>0.24485529812198431</v>
      </c>
      <c r="AJ9" s="73">
        <f t="shared" si="20"/>
        <v>6.0000000000000053E-2</v>
      </c>
      <c r="AK9" s="71">
        <f t="shared" si="21"/>
        <v>0.24910604632174155</v>
      </c>
      <c r="AL9" s="71">
        <f t="shared" si="8"/>
        <v>5.4607363636363692E-4</v>
      </c>
      <c r="AM9" s="71">
        <f t="shared" si="22"/>
        <v>0.73761600000000005</v>
      </c>
      <c r="AN9" s="188">
        <f t="shared" si="23"/>
        <v>9.2960000000000004E-3</v>
      </c>
      <c r="AO9" s="74">
        <f t="shared" si="24"/>
        <v>0.74745807363636363</v>
      </c>
      <c r="AP9" s="73">
        <f t="shared" si="25"/>
        <v>2.0684607438016529E-3</v>
      </c>
      <c r="AQ9" s="206">
        <f t="shared" si="9"/>
        <v>7.7567277892561974E-3</v>
      </c>
      <c r="AR9" s="206">
        <f t="shared" si="10"/>
        <v>8.6013784318131857E-3</v>
      </c>
      <c r="AS9" s="71">
        <f t="shared" si="11"/>
        <v>4.3999999999999997E-2</v>
      </c>
      <c r="AT9" s="74">
        <f t="shared" si="12"/>
        <v>9.9000000000000001E-6</v>
      </c>
      <c r="AU9" s="73">
        <f t="shared" si="26"/>
        <v>1.0625065665124753</v>
      </c>
      <c r="AV9" s="71">
        <f t="shared" si="27"/>
        <v>3</v>
      </c>
      <c r="AW9" s="74">
        <f t="shared" si="28"/>
        <v>73.846034483469126</v>
      </c>
    </row>
    <row r="10" spans="1:49" x14ac:dyDescent="0.25">
      <c r="N10" s="71"/>
      <c r="O10" s="71"/>
      <c r="Q10">
        <v>3</v>
      </c>
      <c r="R10" s="73">
        <f t="shared" si="0"/>
        <v>50</v>
      </c>
      <c r="S10" s="71">
        <f t="shared" si="1"/>
        <v>0.09</v>
      </c>
      <c r="T10" s="71">
        <f t="shared" si="2"/>
        <v>3</v>
      </c>
      <c r="U10" s="74">
        <f t="shared" si="3"/>
        <v>1.5</v>
      </c>
      <c r="V10" s="73">
        <f>IF(Variable_Management!$B$20=3,2,IF((S10*R10/T10)&lt;((T10*(1-(T10/R10)))/(2*Lm*Fsw)),1,2))</f>
        <v>2</v>
      </c>
      <c r="W10" s="71">
        <f t="shared" si="13"/>
        <v>0.94</v>
      </c>
      <c r="X10" s="74">
        <f t="shared" si="4"/>
        <v>6.0000000000000053E-2</v>
      </c>
      <c r="Y10" s="73">
        <f t="shared" si="5"/>
        <v>0.64090909090909098</v>
      </c>
      <c r="Z10" s="71">
        <f t="shared" si="14"/>
        <v>1.8204545454545455</v>
      </c>
      <c r="AA10" s="71">
        <f t="shared" si="15"/>
        <v>1.5113670539947688</v>
      </c>
      <c r="AB10" s="71">
        <v>0</v>
      </c>
      <c r="AC10" s="71">
        <f t="shared" si="6"/>
        <v>1.7131727789256194E-2</v>
      </c>
      <c r="AD10" s="74">
        <f t="shared" si="16"/>
        <v>1.7131727789256194E-2</v>
      </c>
      <c r="AE10" s="73">
        <f t="shared" si="29"/>
        <v>1.41</v>
      </c>
      <c r="AF10" s="71">
        <f t="shared" si="17"/>
        <v>1.4653247249626196</v>
      </c>
      <c r="AG10" s="71">
        <f t="shared" si="7"/>
        <v>7.9874967644628092E-2</v>
      </c>
      <c r="AH10" s="71">
        <f t="shared" si="18"/>
        <v>0.31303549571603428</v>
      </c>
      <c r="AI10" s="74">
        <f t="shared" si="19"/>
        <v>0.39291046336066238</v>
      </c>
      <c r="AJ10" s="73">
        <f t="shared" si="20"/>
        <v>9.000000000000008E-2</v>
      </c>
      <c r="AK10" s="71">
        <f t="shared" si="21"/>
        <v>0.3702078096340618</v>
      </c>
      <c r="AL10" s="71">
        <f t="shared" si="8"/>
        <v>1.2060736363636378E-3</v>
      </c>
      <c r="AM10" s="71">
        <f t="shared" si="22"/>
        <v>0.73761600000000005</v>
      </c>
      <c r="AN10" s="188">
        <f t="shared" si="23"/>
        <v>1.2816000000000001E-2</v>
      </c>
      <c r="AO10" s="74">
        <f t="shared" si="24"/>
        <v>0.7516380736363637</v>
      </c>
      <c r="AP10" s="73">
        <f t="shared" si="25"/>
        <v>4.5684607438016521E-3</v>
      </c>
      <c r="AQ10" s="206">
        <f t="shared" si="9"/>
        <v>1.7131727789256194E-2</v>
      </c>
      <c r="AR10" s="206">
        <f t="shared" si="10"/>
        <v>8.6013784318131857E-3</v>
      </c>
      <c r="AS10" s="71">
        <f t="shared" si="11"/>
        <v>4.3999999999999997E-2</v>
      </c>
      <c r="AT10" s="74">
        <f t="shared" si="12"/>
        <v>9.9000000000000001E-6</v>
      </c>
      <c r="AU10" s="73">
        <f t="shared" si="26"/>
        <v>1.2359917317511533</v>
      </c>
      <c r="AV10" s="71">
        <f t="shared" si="27"/>
        <v>4.5</v>
      </c>
      <c r="AW10" s="74">
        <f t="shared" si="28"/>
        <v>78.451995931071281</v>
      </c>
    </row>
    <row r="11" spans="1:49" x14ac:dyDescent="0.25">
      <c r="N11" s="71" t="s">
        <v>268</v>
      </c>
      <c r="O11" s="71">
        <v>150</v>
      </c>
      <c r="Q11">
        <v>4</v>
      </c>
      <c r="R11" s="73">
        <f t="shared" si="0"/>
        <v>50</v>
      </c>
      <c r="S11" s="71">
        <f t="shared" si="1"/>
        <v>0.12</v>
      </c>
      <c r="T11" s="71">
        <f t="shared" si="2"/>
        <v>3</v>
      </c>
      <c r="U11" s="74">
        <f t="shared" si="3"/>
        <v>2</v>
      </c>
      <c r="V11" s="73">
        <f>IF(Variable_Management!$B$20=3,2,IF((S11*R11/T11)&lt;((T11*(1-(T11/R11)))/(2*Lm*Fsw)),1,2))</f>
        <v>2</v>
      </c>
      <c r="W11" s="71">
        <f t="shared" si="13"/>
        <v>0.94</v>
      </c>
      <c r="X11" s="74">
        <f t="shared" si="4"/>
        <v>6.0000000000000053E-2</v>
      </c>
      <c r="Y11" s="73">
        <f t="shared" si="5"/>
        <v>0.64090909090909098</v>
      </c>
      <c r="Z11" s="71">
        <f t="shared" si="14"/>
        <v>2.3204545454545453</v>
      </c>
      <c r="AA11" s="71">
        <f t="shared" si="15"/>
        <v>2.0085393627959665</v>
      </c>
      <c r="AB11" s="71">
        <v>0</v>
      </c>
      <c r="AC11" s="71">
        <f t="shared" si="6"/>
        <v>3.0256727789256199E-2</v>
      </c>
      <c r="AD11" s="74">
        <f t="shared" si="16"/>
        <v>3.0256727789256199E-2</v>
      </c>
      <c r="AE11" s="73">
        <f t="shared" si="29"/>
        <v>1.88</v>
      </c>
      <c r="AF11" s="71">
        <f t="shared" si="17"/>
        <v>1.9473511623707669</v>
      </c>
      <c r="AG11" s="71">
        <f t="shared" si="7"/>
        <v>0.14106896764462812</v>
      </c>
      <c r="AH11" s="71">
        <f t="shared" si="18"/>
        <v>0.41738066095471238</v>
      </c>
      <c r="AI11" s="74">
        <f t="shared" si="19"/>
        <v>0.55844962859934055</v>
      </c>
      <c r="AJ11" s="73">
        <f t="shared" si="20"/>
        <v>0.12000000000000011</v>
      </c>
      <c r="AK11" s="71">
        <f t="shared" si="21"/>
        <v>0.49198965671449824</v>
      </c>
      <c r="AL11" s="71">
        <f t="shared" si="8"/>
        <v>2.1300736363636386E-3</v>
      </c>
      <c r="AM11" s="71">
        <f t="shared" si="22"/>
        <v>0.73761600000000005</v>
      </c>
      <c r="AN11" s="188">
        <f t="shared" si="23"/>
        <v>1.6336E-2</v>
      </c>
      <c r="AO11" s="74">
        <f t="shared" si="24"/>
        <v>0.75608207363636371</v>
      </c>
      <c r="AP11" s="73">
        <f t="shared" si="25"/>
        <v>8.0684607438016535E-3</v>
      </c>
      <c r="AQ11" s="206">
        <f t="shared" si="9"/>
        <v>3.0256727789256199E-2</v>
      </c>
      <c r="AR11" s="206">
        <f t="shared" si="10"/>
        <v>8.6013784318131857E-3</v>
      </c>
      <c r="AS11" s="71">
        <f t="shared" si="11"/>
        <v>4.3999999999999997E-2</v>
      </c>
      <c r="AT11" s="74">
        <f t="shared" si="12"/>
        <v>9.9000000000000001E-6</v>
      </c>
      <c r="AU11" s="73">
        <f t="shared" si="26"/>
        <v>1.4357248969898315</v>
      </c>
      <c r="AV11" s="71">
        <f t="shared" si="27"/>
        <v>6</v>
      </c>
      <c r="AW11" s="74">
        <f t="shared" si="28"/>
        <v>80.691527498938953</v>
      </c>
    </row>
    <row r="12" spans="1:49" x14ac:dyDescent="0.25">
      <c r="N12" s="71" t="s">
        <v>269</v>
      </c>
      <c r="O12" s="71">
        <f>IOUT/(O11)</f>
        <v>0.03</v>
      </c>
      <c r="Q12">
        <v>5</v>
      </c>
      <c r="R12" s="73">
        <f t="shared" si="0"/>
        <v>50</v>
      </c>
      <c r="S12" s="71">
        <f t="shared" si="1"/>
        <v>0.15</v>
      </c>
      <c r="T12" s="71">
        <f t="shared" si="2"/>
        <v>3</v>
      </c>
      <c r="U12" s="74">
        <f t="shared" si="3"/>
        <v>2.5</v>
      </c>
      <c r="V12" s="73">
        <f>IF(Variable_Management!$B$20=3,2,IF((S12*R12/T12)&lt;((T12*(1-(T12/R12)))/(2*Lm*Fsw)),1,2))</f>
        <v>2</v>
      </c>
      <c r="W12" s="71">
        <f t="shared" si="13"/>
        <v>0.94</v>
      </c>
      <c r="X12" s="74">
        <f t="shared" si="4"/>
        <v>6.0000000000000053E-2</v>
      </c>
      <c r="Y12" s="73">
        <f t="shared" si="5"/>
        <v>0.64090909090909098</v>
      </c>
      <c r="Z12" s="71">
        <f t="shared" si="14"/>
        <v>2.8204545454545453</v>
      </c>
      <c r="AA12" s="71">
        <f t="shared" si="15"/>
        <v>2.5068367262150972</v>
      </c>
      <c r="AB12" s="71">
        <v>0</v>
      </c>
      <c r="AC12" s="71">
        <f t="shared" si="6"/>
        <v>4.71317277892562E-2</v>
      </c>
      <c r="AD12" s="74">
        <f t="shared" si="16"/>
        <v>4.71317277892562E-2</v>
      </c>
      <c r="AE12" s="73">
        <f t="shared" si="29"/>
        <v>2.3499999999999996</v>
      </c>
      <c r="AF12" s="71">
        <f t="shared" si="17"/>
        <v>2.4304683807008836</v>
      </c>
      <c r="AG12" s="71">
        <f t="shared" si="7"/>
        <v>0.21974696764462806</v>
      </c>
      <c r="AH12" s="71">
        <f t="shared" si="18"/>
        <v>0.52172582619339047</v>
      </c>
      <c r="AI12" s="74">
        <f t="shared" si="19"/>
        <v>0.74147279383801856</v>
      </c>
      <c r="AJ12" s="73">
        <f t="shared" si="20"/>
        <v>0.15000000000000013</v>
      </c>
      <c r="AK12" s="71">
        <f t="shared" si="21"/>
        <v>0.61404708476960457</v>
      </c>
      <c r="AL12" s="71">
        <f t="shared" si="8"/>
        <v>3.3180736363636397E-3</v>
      </c>
      <c r="AM12" s="71">
        <f t="shared" si="22"/>
        <v>0.73761600000000005</v>
      </c>
      <c r="AN12" s="188">
        <f t="shared" si="23"/>
        <v>1.9855999999999999E-2</v>
      </c>
      <c r="AO12" s="74">
        <f t="shared" si="24"/>
        <v>0.76079007363636364</v>
      </c>
      <c r="AP12" s="73">
        <f t="shared" si="25"/>
        <v>1.2568460743801654E-2</v>
      </c>
      <c r="AQ12" s="206">
        <f t="shared" si="9"/>
        <v>4.71317277892562E-2</v>
      </c>
      <c r="AR12" s="206">
        <f t="shared" si="10"/>
        <v>8.6013784318131857E-3</v>
      </c>
      <c r="AS12" s="71">
        <f t="shared" si="11"/>
        <v>4.3999999999999997E-2</v>
      </c>
      <c r="AT12" s="74">
        <f t="shared" si="12"/>
        <v>9.9000000000000001E-6</v>
      </c>
      <c r="AU12" s="73">
        <f t="shared" si="26"/>
        <v>1.6617060622285094</v>
      </c>
      <c r="AV12" s="71">
        <f t="shared" si="27"/>
        <v>7.5</v>
      </c>
      <c r="AW12" s="74">
        <f t="shared" si="28"/>
        <v>81.862482261035197</v>
      </c>
    </row>
    <row r="13" spans="1:49" x14ac:dyDescent="0.25">
      <c r="Q13">
        <v>6</v>
      </c>
      <c r="R13" s="73">
        <f t="shared" si="0"/>
        <v>50</v>
      </c>
      <c r="S13" s="71">
        <f t="shared" si="1"/>
        <v>0.18</v>
      </c>
      <c r="T13" s="71">
        <f t="shared" si="2"/>
        <v>3</v>
      </c>
      <c r="U13" s="74">
        <f t="shared" si="3"/>
        <v>3</v>
      </c>
      <c r="V13" s="73">
        <f>IF(Variable_Management!$B$20=3,2,IF((S13*R13/T13)&lt;((T13*(1-(T13/R13)))/(2*Lm*Fsw)),1,2))</f>
        <v>2</v>
      </c>
      <c r="W13" s="71">
        <f t="shared" si="13"/>
        <v>0.94</v>
      </c>
      <c r="X13" s="74">
        <f t="shared" si="4"/>
        <v>6.0000000000000053E-2</v>
      </c>
      <c r="Y13" s="73">
        <f t="shared" si="5"/>
        <v>0.64090909090909098</v>
      </c>
      <c r="Z13" s="71">
        <f t="shared" si="14"/>
        <v>3.3204545454545453</v>
      </c>
      <c r="AA13" s="71">
        <f t="shared" si="15"/>
        <v>3.0056996476529099</v>
      </c>
      <c r="AB13" s="71">
        <v>0</v>
      </c>
      <c r="AC13" s="71">
        <f t="shared" si="6"/>
        <v>6.7756727789256191E-2</v>
      </c>
      <c r="AD13" s="74">
        <f t="shared" si="16"/>
        <v>6.7756727789256191E-2</v>
      </c>
      <c r="AE13" s="73">
        <f t="shared" si="29"/>
        <v>2.82</v>
      </c>
      <c r="AF13" s="71">
        <f t="shared" si="17"/>
        <v>2.9141339278740732</v>
      </c>
      <c r="AG13" s="71">
        <f t="shared" si="7"/>
        <v>0.31590896764462806</v>
      </c>
      <c r="AH13" s="71">
        <f t="shared" si="18"/>
        <v>0.62607099143206857</v>
      </c>
      <c r="AI13" s="74">
        <f t="shared" si="19"/>
        <v>0.94197995907669663</v>
      </c>
      <c r="AJ13" s="73">
        <f t="shared" si="20"/>
        <v>0.18000000000000016</v>
      </c>
      <c r="AK13" s="71">
        <f t="shared" si="21"/>
        <v>0.73624304568128174</v>
      </c>
      <c r="AL13" s="71">
        <f t="shared" si="8"/>
        <v>4.7700736363636394E-3</v>
      </c>
      <c r="AM13" s="71">
        <f t="shared" si="22"/>
        <v>0.73761600000000005</v>
      </c>
      <c r="AN13" s="188">
        <f t="shared" si="23"/>
        <v>2.3376000000000001E-2</v>
      </c>
      <c r="AO13" s="74">
        <f t="shared" si="24"/>
        <v>0.76576207363636362</v>
      </c>
      <c r="AP13" s="73">
        <f t="shared" si="25"/>
        <v>1.806846074380165E-2</v>
      </c>
      <c r="AQ13" s="206">
        <f t="shared" si="9"/>
        <v>6.7756727789256191E-2</v>
      </c>
      <c r="AR13" s="206">
        <f t="shared" si="10"/>
        <v>8.6013784318131857E-3</v>
      </c>
      <c r="AS13" s="71">
        <f t="shared" si="11"/>
        <v>4.3999999999999997E-2</v>
      </c>
      <c r="AT13" s="74">
        <f t="shared" si="12"/>
        <v>9.9000000000000001E-6</v>
      </c>
      <c r="AU13" s="73">
        <f t="shared" si="26"/>
        <v>1.9139352274671873</v>
      </c>
      <c r="AV13" s="71">
        <f t="shared" si="27"/>
        <v>9</v>
      </c>
      <c r="AW13" s="74">
        <f t="shared" si="28"/>
        <v>82.463381103358842</v>
      </c>
    </row>
    <row r="14" spans="1:49" x14ac:dyDescent="0.25">
      <c r="Q14">
        <v>7</v>
      </c>
      <c r="R14" s="73">
        <f t="shared" si="0"/>
        <v>50</v>
      </c>
      <c r="S14" s="71">
        <f t="shared" si="1"/>
        <v>0.21</v>
      </c>
      <c r="T14" s="71">
        <f t="shared" si="2"/>
        <v>3</v>
      </c>
      <c r="U14" s="74">
        <f t="shared" si="3"/>
        <v>3.5</v>
      </c>
      <c r="V14" s="73">
        <f>IF(Variable_Management!$B$20=3,2,IF((S14*R14/T14)&lt;((T14*(1-(T14/R14)))/(2*Lm*Fsw)),1,2))</f>
        <v>2</v>
      </c>
      <c r="W14" s="71">
        <f t="shared" si="13"/>
        <v>0.94</v>
      </c>
      <c r="X14" s="74">
        <f t="shared" si="4"/>
        <v>6.0000000000000053E-2</v>
      </c>
      <c r="Y14" s="73">
        <f t="shared" si="5"/>
        <v>0.64090909090909098</v>
      </c>
      <c r="Z14" s="71">
        <f t="shared" si="14"/>
        <v>3.8204545454545453</v>
      </c>
      <c r="AA14" s="71">
        <f t="shared" si="15"/>
        <v>3.5048866418046711</v>
      </c>
      <c r="AB14" s="71">
        <v>0</v>
      </c>
      <c r="AC14" s="71">
        <f t="shared" si="6"/>
        <v>9.2131727789256185E-2</v>
      </c>
      <c r="AD14" s="74">
        <f t="shared" si="16"/>
        <v>9.2131727789256185E-2</v>
      </c>
      <c r="AE14" s="73">
        <f t="shared" si="29"/>
        <v>3.29</v>
      </c>
      <c r="AF14" s="71">
        <f t="shared" si="17"/>
        <v>3.3981136752008125</v>
      </c>
      <c r="AG14" s="71">
        <f t="shared" si="7"/>
        <v>0.42955496764462797</v>
      </c>
      <c r="AH14" s="71">
        <f t="shared" si="18"/>
        <v>0.73041615667074666</v>
      </c>
      <c r="AI14" s="74">
        <f t="shared" si="19"/>
        <v>1.1599711243153745</v>
      </c>
      <c r="AJ14" s="73">
        <f t="shared" si="20"/>
        <v>0.21000000000000019</v>
      </c>
      <c r="AK14" s="71">
        <f t="shared" si="21"/>
        <v>0.85851838787183243</v>
      </c>
      <c r="AL14" s="71">
        <f t="shared" si="8"/>
        <v>6.4860736363636417E-3</v>
      </c>
      <c r="AM14" s="71">
        <f t="shared" si="22"/>
        <v>0.73761600000000005</v>
      </c>
      <c r="AN14" s="188">
        <f t="shared" si="23"/>
        <v>2.6896E-2</v>
      </c>
      <c r="AO14" s="74">
        <f t="shared" si="24"/>
        <v>0.77099807363636375</v>
      </c>
      <c r="AP14" s="73">
        <f t="shared" si="25"/>
        <v>2.4568460743801653E-2</v>
      </c>
      <c r="AQ14" s="206">
        <f t="shared" si="9"/>
        <v>9.2131727789256185E-2</v>
      </c>
      <c r="AR14" s="206">
        <f t="shared" si="10"/>
        <v>8.6013784318131857E-3</v>
      </c>
      <c r="AS14" s="71">
        <f t="shared" si="11"/>
        <v>4.3999999999999997E-2</v>
      </c>
      <c r="AT14" s="74">
        <f t="shared" si="12"/>
        <v>9.9000000000000001E-6</v>
      </c>
      <c r="AU14" s="73">
        <f t="shared" si="26"/>
        <v>2.1924123927058652</v>
      </c>
      <c r="AV14" s="71">
        <f t="shared" si="27"/>
        <v>10.5</v>
      </c>
      <c r="AW14" s="74">
        <f t="shared" si="28"/>
        <v>82.726590305513469</v>
      </c>
    </row>
    <row r="15" spans="1:49" x14ac:dyDescent="0.25">
      <c r="O15">
        <f>0.205*2.5/(Lm*Fsw)</f>
        <v>0.11647727272727273</v>
      </c>
      <c r="Q15">
        <v>8</v>
      </c>
      <c r="R15" s="73">
        <f t="shared" si="0"/>
        <v>50</v>
      </c>
      <c r="S15" s="71">
        <f t="shared" si="1"/>
        <v>0.24</v>
      </c>
      <c r="T15" s="71">
        <f t="shared" si="2"/>
        <v>3</v>
      </c>
      <c r="U15" s="74">
        <f t="shared" si="3"/>
        <v>4</v>
      </c>
      <c r="V15" s="73">
        <f>IF(Variable_Management!$B$20=3,2,IF((S15*R15/T15)&lt;((T15*(1-(T15/R15)))/(2*Lm*Fsw)),1,2))</f>
        <v>2</v>
      </c>
      <c r="W15" s="71">
        <f t="shared" si="13"/>
        <v>0.94</v>
      </c>
      <c r="X15" s="74">
        <f t="shared" si="4"/>
        <v>6.0000000000000053E-2</v>
      </c>
      <c r="Y15" s="73">
        <f t="shared" si="5"/>
        <v>0.64090909090909098</v>
      </c>
      <c r="Z15" s="71">
        <f t="shared" si="14"/>
        <v>4.3204545454545453</v>
      </c>
      <c r="AA15" s="71">
        <f t="shared" si="15"/>
        <v>4.004276510419932</v>
      </c>
      <c r="AB15" s="71">
        <v>0</v>
      </c>
      <c r="AC15" s="71">
        <f t="shared" si="6"/>
        <v>0.12025672778925621</v>
      </c>
      <c r="AD15" s="74">
        <f t="shared" si="16"/>
        <v>0.12025672778925621</v>
      </c>
      <c r="AE15" s="73">
        <f t="shared" si="29"/>
        <v>3.76</v>
      </c>
      <c r="AF15" s="71">
        <f t="shared" si="17"/>
        <v>3.88229011661761</v>
      </c>
      <c r="AG15" s="71">
        <f t="shared" si="7"/>
        <v>0.56068496764462816</v>
      </c>
      <c r="AH15" s="71">
        <f t="shared" si="18"/>
        <v>0.83476132190942476</v>
      </c>
      <c r="AI15" s="74">
        <f t="shared" si="19"/>
        <v>1.3954462895540529</v>
      </c>
      <c r="AJ15" s="73">
        <f t="shared" si="20"/>
        <v>0.24000000000000021</v>
      </c>
      <c r="AK15" s="71">
        <f t="shared" si="21"/>
        <v>0.98084342395412449</v>
      </c>
      <c r="AL15" s="71">
        <f t="shared" si="8"/>
        <v>8.4660736363636434E-3</v>
      </c>
      <c r="AM15" s="71">
        <f t="shared" si="22"/>
        <v>0.73761600000000005</v>
      </c>
      <c r="AN15" s="188">
        <f t="shared" si="23"/>
        <v>3.0415999999999999E-2</v>
      </c>
      <c r="AO15" s="74">
        <f t="shared" si="24"/>
        <v>0.77649807363636369</v>
      </c>
      <c r="AP15" s="73">
        <f t="shared" si="25"/>
        <v>3.2068460743801659E-2</v>
      </c>
      <c r="AQ15" s="206">
        <f t="shared" si="9"/>
        <v>0.12025672778925621</v>
      </c>
      <c r="AR15" s="206">
        <f t="shared" si="10"/>
        <v>8.6013784318131857E-3</v>
      </c>
      <c r="AS15" s="71">
        <f t="shared" si="11"/>
        <v>4.3999999999999997E-2</v>
      </c>
      <c r="AT15" s="74">
        <f t="shared" si="12"/>
        <v>9.9000000000000001E-6</v>
      </c>
      <c r="AU15" s="73">
        <f t="shared" si="26"/>
        <v>2.4971375579445438</v>
      </c>
      <c r="AV15" s="71">
        <f t="shared" si="27"/>
        <v>12</v>
      </c>
      <c r="AW15" s="74">
        <f t="shared" si="28"/>
        <v>82.774961277951775</v>
      </c>
    </row>
    <row r="16" spans="1:49" x14ac:dyDescent="0.25">
      <c r="Q16">
        <v>9</v>
      </c>
      <c r="R16" s="73">
        <f t="shared" si="0"/>
        <v>50</v>
      </c>
      <c r="S16" s="71">
        <f t="shared" si="1"/>
        <v>0.27</v>
      </c>
      <c r="T16" s="71">
        <f t="shared" si="2"/>
        <v>3</v>
      </c>
      <c r="U16" s="74">
        <f t="shared" si="3"/>
        <v>4.5</v>
      </c>
      <c r="V16" s="73">
        <f>IF(Variable_Management!$B$20=3,2,IF((S16*R16/T16)&lt;((T16*(1-(T16/R16)))/(2*Lm*Fsw)),1,2))</f>
        <v>2</v>
      </c>
      <c r="W16" s="71">
        <f t="shared" si="13"/>
        <v>0.94</v>
      </c>
      <c r="X16" s="74">
        <f t="shared" si="4"/>
        <v>6.0000000000000053E-2</v>
      </c>
      <c r="Y16" s="73">
        <f t="shared" si="5"/>
        <v>0.64090909090909098</v>
      </c>
      <c r="Z16" s="71">
        <f t="shared" ref="Z16:Z79" si="30">CHOOSE(V16,Y16,U16+(0.5*Y16))</f>
        <v>4.8204545454545453</v>
      </c>
      <c r="AA16" s="71">
        <f t="shared" ref="AA16:AA79" si="31">CHOOSE(V16,Z16*SQRT((W16+X16)/3),SQRT((U16^2)+((Y16^2)/12)))</f>
        <v>4.5038017687172722</v>
      </c>
      <c r="AB16" s="71">
        <v>0</v>
      </c>
      <c r="AC16" s="71">
        <f t="shared" si="6"/>
        <v>0.15213172778925621</v>
      </c>
      <c r="AD16" s="74">
        <f t="shared" si="16"/>
        <v>0.15213172778925621</v>
      </c>
      <c r="AE16" s="73">
        <f t="shared" si="29"/>
        <v>4.2299999999999995</v>
      </c>
      <c r="AF16" s="71">
        <f t="shared" si="17"/>
        <v>4.3665978232013511</v>
      </c>
      <c r="AG16" s="71">
        <f t="shared" si="7"/>
        <v>0.7092989676446283</v>
      </c>
      <c r="AH16" s="71">
        <f t="shared" si="18"/>
        <v>0.93910648714810285</v>
      </c>
      <c r="AI16" s="74">
        <f t="shared" si="19"/>
        <v>1.6484054547927312</v>
      </c>
      <c r="AJ16" s="73">
        <f t="shared" si="20"/>
        <v>0.27000000000000024</v>
      </c>
      <c r="AK16" s="71">
        <f t="shared" si="21"/>
        <v>1.1032016236001698</v>
      </c>
      <c r="AL16" s="71">
        <f t="shared" si="8"/>
        <v>1.0710073636363648E-2</v>
      </c>
      <c r="AM16" s="71">
        <f t="shared" si="22"/>
        <v>0.73761600000000005</v>
      </c>
      <c r="AN16" s="188">
        <f t="shared" si="23"/>
        <v>3.3936000000000001E-2</v>
      </c>
      <c r="AO16" s="74">
        <f t="shared" si="24"/>
        <v>0.78226207363636369</v>
      </c>
      <c r="AP16" s="73">
        <f t="shared" si="25"/>
        <v>4.056846074380166E-2</v>
      </c>
      <c r="AQ16" s="206">
        <f t="shared" si="9"/>
        <v>0.15213172778925621</v>
      </c>
      <c r="AR16" s="206">
        <f t="shared" si="10"/>
        <v>8.6013784318131857E-3</v>
      </c>
      <c r="AS16" s="71">
        <f t="shared" si="11"/>
        <v>4.3999999999999997E-2</v>
      </c>
      <c r="AT16" s="74">
        <f t="shared" si="12"/>
        <v>9.9000000000000001E-6</v>
      </c>
      <c r="AU16" s="73">
        <f t="shared" si="26"/>
        <v>2.8281107231832219</v>
      </c>
      <c r="AV16" s="71">
        <f t="shared" si="27"/>
        <v>13.5</v>
      </c>
      <c r="AW16" s="74">
        <f t="shared" si="28"/>
        <v>82.679498129763587</v>
      </c>
    </row>
    <row r="17" spans="17:49" x14ac:dyDescent="0.25">
      <c r="Q17">
        <v>10</v>
      </c>
      <c r="R17" s="73">
        <f t="shared" si="0"/>
        <v>50</v>
      </c>
      <c r="S17" s="71">
        <f t="shared" si="1"/>
        <v>0.3</v>
      </c>
      <c r="T17" s="71">
        <f t="shared" si="2"/>
        <v>3</v>
      </c>
      <c r="U17" s="74">
        <f t="shared" si="3"/>
        <v>5</v>
      </c>
      <c r="V17" s="73">
        <f>IF(Variable_Management!$B$20=3,2,IF((S17*R17/T17)&lt;((T17*(1-(T17/R17)))/(2*Lm*Fsw)),1,2))</f>
        <v>2</v>
      </c>
      <c r="W17" s="71">
        <f t="shared" si="13"/>
        <v>0.94</v>
      </c>
      <c r="X17" s="74">
        <f t="shared" si="4"/>
        <v>6.0000000000000053E-2</v>
      </c>
      <c r="Y17" s="73">
        <f t="shared" si="5"/>
        <v>0.64090909090909098</v>
      </c>
      <c r="Z17" s="71">
        <f t="shared" si="30"/>
        <v>5.3204545454545453</v>
      </c>
      <c r="AA17" s="71">
        <f t="shared" si="31"/>
        <v>5.0034218662732037</v>
      </c>
      <c r="AB17" s="71">
        <v>0</v>
      </c>
      <c r="AC17" s="71">
        <f t="shared" si="6"/>
        <v>0.1877567277892562</v>
      </c>
      <c r="AD17" s="74">
        <f t="shared" si="16"/>
        <v>0.1877567277892562</v>
      </c>
      <c r="AE17" s="73">
        <f t="shared" si="29"/>
        <v>4.6999999999999993</v>
      </c>
      <c r="AF17" s="71">
        <f t="shared" si="17"/>
        <v>4.8509974798578055</v>
      </c>
      <c r="AG17" s="71">
        <f t="shared" si="7"/>
        <v>0.87539696764462827</v>
      </c>
      <c r="AH17" s="71">
        <f t="shared" si="18"/>
        <v>1.0434516523867809</v>
      </c>
      <c r="AI17" s="74">
        <f t="shared" si="19"/>
        <v>1.9188486200314092</v>
      </c>
      <c r="AJ17" s="73">
        <f t="shared" si="20"/>
        <v>0.30000000000000027</v>
      </c>
      <c r="AK17" s="71">
        <f t="shared" si="21"/>
        <v>1.2255830540253283</v>
      </c>
      <c r="AL17" s="71">
        <f t="shared" si="8"/>
        <v>1.3218073636363648E-2</v>
      </c>
      <c r="AM17" s="71">
        <f t="shared" si="22"/>
        <v>0.73761600000000005</v>
      </c>
      <c r="AN17" s="188">
        <f t="shared" si="23"/>
        <v>3.7456000000000003E-2</v>
      </c>
      <c r="AO17" s="74">
        <f t="shared" si="24"/>
        <v>0.78829007363636372</v>
      </c>
      <c r="AP17" s="73">
        <f t="shared" si="25"/>
        <v>5.0068460743801661E-2</v>
      </c>
      <c r="AQ17" s="206">
        <f t="shared" si="9"/>
        <v>0.1877567277892562</v>
      </c>
      <c r="AR17" s="206">
        <f t="shared" si="10"/>
        <v>8.6013784318131857E-3</v>
      </c>
      <c r="AS17" s="71">
        <f t="shared" si="11"/>
        <v>4.3999999999999997E-2</v>
      </c>
      <c r="AT17" s="74">
        <f t="shared" si="12"/>
        <v>9.9000000000000001E-6</v>
      </c>
      <c r="AU17" s="73">
        <f t="shared" si="26"/>
        <v>3.1853318884218997</v>
      </c>
      <c r="AV17" s="71">
        <f t="shared" si="27"/>
        <v>15</v>
      </c>
      <c r="AW17" s="74">
        <f t="shared" si="28"/>
        <v>82.484059636822394</v>
      </c>
    </row>
    <row r="18" spans="17:49" x14ac:dyDescent="0.25">
      <c r="Q18">
        <v>11</v>
      </c>
      <c r="R18" s="73">
        <f t="shared" si="0"/>
        <v>50</v>
      </c>
      <c r="S18" s="71">
        <f t="shared" si="1"/>
        <v>0.32999999999999996</v>
      </c>
      <c r="T18" s="71">
        <f t="shared" si="2"/>
        <v>3</v>
      </c>
      <c r="U18" s="74">
        <f t="shared" si="3"/>
        <v>5.4999999999999991</v>
      </c>
      <c r="V18" s="73">
        <f>IF(Variable_Management!$B$20=3,2,IF((S18*R18/T18)&lt;((T18*(1-(T18/R18)))/(2*Lm*Fsw)),1,2))</f>
        <v>2</v>
      </c>
      <c r="W18" s="71">
        <f t="shared" si="13"/>
        <v>0.94</v>
      </c>
      <c r="X18" s="74">
        <f t="shared" si="4"/>
        <v>6.0000000000000053E-2</v>
      </c>
      <c r="Y18" s="73">
        <f t="shared" si="5"/>
        <v>0.64090909090909098</v>
      </c>
      <c r="Z18" s="71">
        <f t="shared" si="30"/>
        <v>5.8204545454545444</v>
      </c>
      <c r="AA18" s="71">
        <f t="shared" si="31"/>
        <v>5.5031109721593667</v>
      </c>
      <c r="AB18" s="71">
        <v>0</v>
      </c>
      <c r="AC18" s="71">
        <f t="shared" si="6"/>
        <v>0.22713172778925608</v>
      </c>
      <c r="AD18" s="74">
        <f t="shared" si="16"/>
        <v>0.22713172778925608</v>
      </c>
      <c r="AE18" s="73">
        <f t="shared" si="29"/>
        <v>5.169999999999999</v>
      </c>
      <c r="AF18" s="71">
        <f t="shared" si="17"/>
        <v>5.3354640425727506</v>
      </c>
      <c r="AG18" s="71">
        <f t="shared" si="7"/>
        <v>1.0589789676446275</v>
      </c>
      <c r="AH18" s="71">
        <f t="shared" si="18"/>
        <v>1.1477968176254587</v>
      </c>
      <c r="AI18" s="74">
        <f t="shared" si="19"/>
        <v>2.2067757852700862</v>
      </c>
      <c r="AJ18" s="73">
        <f t="shared" si="20"/>
        <v>0.33000000000000024</v>
      </c>
      <c r="AK18" s="71">
        <f t="shared" si="21"/>
        <v>1.3479813879701938</v>
      </c>
      <c r="AL18" s="71">
        <f t="shared" si="8"/>
        <v>1.5990073636363643E-2</v>
      </c>
      <c r="AM18" s="71">
        <f t="shared" si="22"/>
        <v>0.73761600000000005</v>
      </c>
      <c r="AN18" s="188">
        <f t="shared" si="23"/>
        <v>4.0975999999999992E-2</v>
      </c>
      <c r="AO18" s="74">
        <f t="shared" si="24"/>
        <v>0.79458207363636368</v>
      </c>
      <c r="AP18" s="73">
        <f t="shared" si="25"/>
        <v>6.0568460743801622E-2</v>
      </c>
      <c r="AQ18" s="206">
        <f t="shared" si="9"/>
        <v>0.22713172778925608</v>
      </c>
      <c r="AR18" s="206">
        <f t="shared" si="10"/>
        <v>8.6013784318131857E-3</v>
      </c>
      <c r="AS18" s="71">
        <f t="shared" si="11"/>
        <v>4.3999999999999997E-2</v>
      </c>
      <c r="AT18" s="74">
        <f t="shared" si="12"/>
        <v>9.9000000000000001E-6</v>
      </c>
      <c r="AU18" s="73">
        <f t="shared" si="26"/>
        <v>3.5688010536605765</v>
      </c>
      <c r="AV18" s="71">
        <f t="shared" si="27"/>
        <v>16.499999999999996</v>
      </c>
      <c r="AW18" s="74">
        <f t="shared" si="28"/>
        <v>82.217168608537179</v>
      </c>
    </row>
    <row r="19" spans="17:49" x14ac:dyDescent="0.25">
      <c r="Q19">
        <v>12</v>
      </c>
      <c r="R19" s="73">
        <f t="shared" si="0"/>
        <v>50</v>
      </c>
      <c r="S19" s="71">
        <f t="shared" si="1"/>
        <v>0.36</v>
      </c>
      <c r="T19" s="71">
        <f t="shared" si="2"/>
        <v>3</v>
      </c>
      <c r="U19" s="74">
        <f t="shared" si="3"/>
        <v>6</v>
      </c>
      <c r="V19" s="73">
        <f>IF(Variable_Management!$B$20=3,2,IF((S19*R19/T19)&lt;((T19*(1-(T19/R19)))/(2*Lm*Fsw)),1,2))</f>
        <v>2</v>
      </c>
      <c r="W19" s="71">
        <f t="shared" si="13"/>
        <v>0.94</v>
      </c>
      <c r="X19" s="74">
        <f t="shared" si="4"/>
        <v>6.0000000000000053E-2</v>
      </c>
      <c r="Y19" s="73">
        <f t="shared" si="5"/>
        <v>0.64090909090909098</v>
      </c>
      <c r="Z19" s="71">
        <f t="shared" si="30"/>
        <v>6.3204545454545453</v>
      </c>
      <c r="AA19" s="71">
        <f t="shared" si="31"/>
        <v>6.0028518532361623</v>
      </c>
      <c r="AB19" s="71">
        <v>0</v>
      </c>
      <c r="AC19" s="71">
        <f t="shared" si="6"/>
        <v>0.27025672778925619</v>
      </c>
      <c r="AD19" s="74">
        <f t="shared" si="16"/>
        <v>0.27025672778925619</v>
      </c>
      <c r="AE19" s="73">
        <f t="shared" si="29"/>
        <v>5.64</v>
      </c>
      <c r="AF19" s="71">
        <f t="shared" si="17"/>
        <v>5.8199808031974447</v>
      </c>
      <c r="AG19" s="71">
        <f t="shared" si="7"/>
        <v>1.2600449676446281</v>
      </c>
      <c r="AH19" s="71">
        <f t="shared" si="18"/>
        <v>1.2521419828641371</v>
      </c>
      <c r="AI19" s="74">
        <f t="shared" si="19"/>
        <v>2.5121869505087653</v>
      </c>
      <c r="AJ19" s="73">
        <f t="shared" si="20"/>
        <v>0.36000000000000032</v>
      </c>
      <c r="AK19" s="71">
        <f t="shared" si="21"/>
        <v>1.4703924041948975</v>
      </c>
      <c r="AL19" s="71">
        <f t="shared" si="8"/>
        <v>1.902607363636365E-2</v>
      </c>
      <c r="AM19" s="71">
        <f t="shared" si="22"/>
        <v>0.73761600000000005</v>
      </c>
      <c r="AN19" s="188">
        <f t="shared" si="23"/>
        <v>4.4496000000000001E-2</v>
      </c>
      <c r="AO19" s="74">
        <f t="shared" si="24"/>
        <v>0.80113807363636369</v>
      </c>
      <c r="AP19" s="73">
        <f t="shared" si="25"/>
        <v>7.2068460743801646E-2</v>
      </c>
      <c r="AQ19" s="206">
        <f t="shared" si="9"/>
        <v>0.27025672778925619</v>
      </c>
      <c r="AR19" s="206">
        <f t="shared" si="10"/>
        <v>8.6013784318131857E-3</v>
      </c>
      <c r="AS19" s="71">
        <f t="shared" si="11"/>
        <v>4.3999999999999997E-2</v>
      </c>
      <c r="AT19" s="74">
        <f t="shared" si="12"/>
        <v>9.9000000000000001E-6</v>
      </c>
      <c r="AU19" s="73">
        <f t="shared" si="26"/>
        <v>3.9785182188992558</v>
      </c>
      <c r="AV19" s="71">
        <f t="shared" si="27"/>
        <v>18</v>
      </c>
      <c r="AW19" s="74">
        <f t="shared" si="28"/>
        <v>81.898150824935314</v>
      </c>
    </row>
    <row r="20" spans="17:49" x14ac:dyDescent="0.25">
      <c r="Q20">
        <v>13</v>
      </c>
      <c r="R20" s="73">
        <f t="shared" si="0"/>
        <v>50</v>
      </c>
      <c r="S20" s="71">
        <f t="shared" si="1"/>
        <v>0.39</v>
      </c>
      <c r="T20" s="71">
        <f t="shared" si="2"/>
        <v>3</v>
      </c>
      <c r="U20" s="74">
        <f t="shared" si="3"/>
        <v>6.5</v>
      </c>
      <c r="V20" s="73">
        <f>IF(Variable_Management!$B$20=3,2,IF((S20*R20/T20)&lt;((T20*(1-(T20/R20)))/(2*Lm*Fsw)),1,2))</f>
        <v>2</v>
      </c>
      <c r="W20" s="71">
        <f t="shared" si="13"/>
        <v>0.94</v>
      </c>
      <c r="X20" s="74">
        <f t="shared" si="4"/>
        <v>6.0000000000000053E-2</v>
      </c>
      <c r="Y20" s="73">
        <f t="shared" si="5"/>
        <v>0.64090909090909098</v>
      </c>
      <c r="Z20" s="71">
        <f t="shared" si="30"/>
        <v>6.8204545454545453</v>
      </c>
      <c r="AA20" s="71">
        <f t="shared" si="31"/>
        <v>6.5026325724202518</v>
      </c>
      <c r="AB20" s="71">
        <v>0</v>
      </c>
      <c r="AC20" s="71">
        <f t="shared" si="6"/>
        <v>0.31713172778925613</v>
      </c>
      <c r="AD20" s="74">
        <f t="shared" si="16"/>
        <v>0.31713172778925613</v>
      </c>
      <c r="AE20" s="73">
        <f t="shared" si="29"/>
        <v>6.1099999999999994</v>
      </c>
      <c r="AF20" s="71">
        <f t="shared" si="17"/>
        <v>6.3045361883001965</v>
      </c>
      <c r="AG20" s="71">
        <f t="shared" si="7"/>
        <v>1.4785949676446279</v>
      </c>
      <c r="AH20" s="71">
        <f t="shared" si="18"/>
        <v>1.3564871481028153</v>
      </c>
      <c r="AI20" s="74">
        <f t="shared" si="19"/>
        <v>2.8350821157474435</v>
      </c>
      <c r="AJ20" s="73">
        <f t="shared" si="20"/>
        <v>0.39000000000000035</v>
      </c>
      <c r="AK20" s="71">
        <f t="shared" si="21"/>
        <v>1.5928131787231206</v>
      </c>
      <c r="AL20" s="71">
        <f t="shared" si="8"/>
        <v>2.2326073636363658E-2</v>
      </c>
      <c r="AM20" s="71">
        <f t="shared" si="22"/>
        <v>0.73761600000000005</v>
      </c>
      <c r="AN20" s="188">
        <f t="shared" si="23"/>
        <v>4.8016000000000003E-2</v>
      </c>
      <c r="AO20" s="74">
        <f t="shared" si="24"/>
        <v>0.80795807363636363</v>
      </c>
      <c r="AP20" s="73">
        <f t="shared" si="25"/>
        <v>8.4568460743801643E-2</v>
      </c>
      <c r="AQ20" s="206">
        <f t="shared" si="9"/>
        <v>0.31713172778925613</v>
      </c>
      <c r="AR20" s="206">
        <f t="shared" si="10"/>
        <v>8.6013784318131857E-3</v>
      </c>
      <c r="AS20" s="71">
        <f t="shared" si="11"/>
        <v>4.3999999999999997E-2</v>
      </c>
      <c r="AT20" s="74">
        <f t="shared" si="12"/>
        <v>9.9000000000000001E-6</v>
      </c>
      <c r="AU20" s="73">
        <f t="shared" si="26"/>
        <v>4.4144833841379345</v>
      </c>
      <c r="AV20" s="71">
        <f t="shared" si="27"/>
        <v>19.5</v>
      </c>
      <c r="AW20" s="74">
        <f t="shared" si="28"/>
        <v>81.540544643059349</v>
      </c>
    </row>
    <row r="21" spans="17:49" x14ac:dyDescent="0.25">
      <c r="Q21">
        <v>14</v>
      </c>
      <c r="R21" s="73">
        <f t="shared" si="0"/>
        <v>50</v>
      </c>
      <c r="S21" s="71">
        <f t="shared" si="1"/>
        <v>0.42</v>
      </c>
      <c r="T21" s="71">
        <f t="shared" si="2"/>
        <v>3</v>
      </c>
      <c r="U21" s="74">
        <f t="shared" si="3"/>
        <v>7</v>
      </c>
      <c r="V21" s="73">
        <f>IF(Variable_Management!$B$20=3,2,IF((S21*R21/T21)&lt;((T21*(1-(T21/R21)))/(2*Lm*Fsw)),1,2))</f>
        <v>2</v>
      </c>
      <c r="W21" s="71">
        <f t="shared" si="13"/>
        <v>0.94</v>
      </c>
      <c r="X21" s="74">
        <f t="shared" si="4"/>
        <v>6.0000000000000053E-2</v>
      </c>
      <c r="Y21" s="73">
        <f t="shared" si="5"/>
        <v>0.64090909090909098</v>
      </c>
      <c r="Z21" s="71">
        <f t="shared" si="30"/>
        <v>7.3204545454545453</v>
      </c>
      <c r="AA21" s="71">
        <f t="shared" si="31"/>
        <v>7.0024445997023657</v>
      </c>
      <c r="AB21" s="71">
        <v>0</v>
      </c>
      <c r="AC21" s="71">
        <f t="shared" si="6"/>
        <v>0.36775672778925617</v>
      </c>
      <c r="AD21" s="74">
        <f t="shared" si="16"/>
        <v>0.36775672778925617</v>
      </c>
      <c r="AE21" s="73">
        <f t="shared" si="29"/>
        <v>6.58</v>
      </c>
      <c r="AF21" s="71">
        <f t="shared" si="17"/>
        <v>6.7891219277301813</v>
      </c>
      <c r="AG21" s="71">
        <f t="shared" si="7"/>
        <v>1.7146289676446282</v>
      </c>
      <c r="AH21" s="71">
        <f t="shared" si="18"/>
        <v>1.4608323133414933</v>
      </c>
      <c r="AI21" s="74">
        <f t="shared" si="19"/>
        <v>3.1754612809861218</v>
      </c>
      <c r="AJ21" s="73">
        <f t="shared" si="20"/>
        <v>0.42000000000000037</v>
      </c>
      <c r="AK21" s="71">
        <f t="shared" si="21"/>
        <v>1.7152416221378408</v>
      </c>
      <c r="AL21" s="71">
        <f t="shared" si="8"/>
        <v>2.5890073636363656E-2</v>
      </c>
      <c r="AM21" s="71">
        <f t="shared" si="22"/>
        <v>0.73761600000000005</v>
      </c>
      <c r="AN21" s="188">
        <f t="shared" si="23"/>
        <v>5.1535999999999998E-2</v>
      </c>
      <c r="AO21" s="74">
        <f t="shared" si="24"/>
        <v>0.81504207363636372</v>
      </c>
      <c r="AP21" s="73">
        <f t="shared" si="25"/>
        <v>9.8068460743801655E-2</v>
      </c>
      <c r="AQ21" s="206">
        <f t="shared" si="9"/>
        <v>0.36775672778925617</v>
      </c>
      <c r="AR21" s="206">
        <f t="shared" si="10"/>
        <v>8.6013784318131857E-3</v>
      </c>
      <c r="AS21" s="71">
        <f t="shared" si="11"/>
        <v>4.3999999999999997E-2</v>
      </c>
      <c r="AT21" s="74">
        <f t="shared" si="12"/>
        <v>9.9000000000000001E-6</v>
      </c>
      <c r="AU21" s="73">
        <f t="shared" si="26"/>
        <v>4.8766965493766135</v>
      </c>
      <c r="AV21" s="71">
        <f t="shared" si="27"/>
        <v>21</v>
      </c>
      <c r="AW21" s="74">
        <f t="shared" si="28"/>
        <v>81.154099248831287</v>
      </c>
    </row>
    <row r="22" spans="17:49" x14ac:dyDescent="0.25">
      <c r="Q22">
        <v>15</v>
      </c>
      <c r="R22" s="73">
        <f t="shared" si="0"/>
        <v>50</v>
      </c>
      <c r="S22" s="71">
        <f t="shared" si="1"/>
        <v>0.44999999999999996</v>
      </c>
      <c r="T22" s="71">
        <f t="shared" si="2"/>
        <v>3</v>
      </c>
      <c r="U22" s="74">
        <f t="shared" si="3"/>
        <v>7.4999999999999991</v>
      </c>
      <c r="V22" s="73">
        <f>IF(Variable_Management!$B$20=3,2,IF((S22*R22/T22)&lt;((T22*(1-(T22/R22)))/(2*Lm*Fsw)),1,2))</f>
        <v>2</v>
      </c>
      <c r="W22" s="71">
        <f t="shared" si="13"/>
        <v>0.94</v>
      </c>
      <c r="X22" s="74">
        <f t="shared" si="4"/>
        <v>6.0000000000000053E-2</v>
      </c>
      <c r="Y22" s="73">
        <f t="shared" si="5"/>
        <v>0.64090909090909098</v>
      </c>
      <c r="Z22" s="71">
        <f t="shared" si="30"/>
        <v>7.8204545454545444</v>
      </c>
      <c r="AA22" s="71">
        <f t="shared" si="31"/>
        <v>7.5022816777231718</v>
      </c>
      <c r="AB22" s="71">
        <v>0</v>
      </c>
      <c r="AC22" s="71">
        <f t="shared" si="6"/>
        <v>0.42213172778925606</v>
      </c>
      <c r="AD22" s="74">
        <f t="shared" si="16"/>
        <v>0.42213172778925606</v>
      </c>
      <c r="AE22" s="73">
        <f t="shared" si="29"/>
        <v>7.0499999999999989</v>
      </c>
      <c r="AF22" s="71">
        <f t="shared" si="17"/>
        <v>7.2737319547524395</v>
      </c>
      <c r="AG22" s="71">
        <f t="shared" si="7"/>
        <v>1.968146967644627</v>
      </c>
      <c r="AH22" s="71">
        <f t="shared" si="18"/>
        <v>1.5651774785801711</v>
      </c>
      <c r="AI22" s="74">
        <f t="shared" si="19"/>
        <v>3.5333244462247979</v>
      </c>
      <c r="AJ22" s="73">
        <f t="shared" si="20"/>
        <v>0.45000000000000034</v>
      </c>
      <c r="AK22" s="71">
        <f t="shared" si="21"/>
        <v>1.837676201705309</v>
      </c>
      <c r="AL22" s="71">
        <f t="shared" si="8"/>
        <v>2.9718073636363657E-2</v>
      </c>
      <c r="AM22" s="71">
        <f t="shared" si="22"/>
        <v>0.73761600000000005</v>
      </c>
      <c r="AN22" s="188">
        <f t="shared" si="23"/>
        <v>5.5055999999999994E-2</v>
      </c>
      <c r="AO22" s="74">
        <f t="shared" si="24"/>
        <v>0.82239007363636374</v>
      </c>
      <c r="AP22" s="73">
        <f t="shared" si="25"/>
        <v>0.11256846074380163</v>
      </c>
      <c r="AQ22" s="206">
        <f t="shared" si="9"/>
        <v>0.42213172778925606</v>
      </c>
      <c r="AR22" s="206">
        <f t="shared" si="10"/>
        <v>8.6013784318131857E-3</v>
      </c>
      <c r="AS22" s="71">
        <f t="shared" si="11"/>
        <v>4.3999999999999997E-2</v>
      </c>
      <c r="AT22" s="74">
        <f t="shared" si="12"/>
        <v>9.9000000000000001E-6</v>
      </c>
      <c r="AU22" s="73">
        <f t="shared" si="26"/>
        <v>5.3651577146152878</v>
      </c>
      <c r="AV22" s="71">
        <f t="shared" si="27"/>
        <v>22.499999999999996</v>
      </c>
      <c r="AW22" s="74">
        <f t="shared" si="28"/>
        <v>80.745999109126657</v>
      </c>
    </row>
    <row r="23" spans="17:49" x14ac:dyDescent="0.25">
      <c r="Q23">
        <v>16</v>
      </c>
      <c r="R23" s="73">
        <f t="shared" si="0"/>
        <v>50</v>
      </c>
      <c r="S23" s="71">
        <f t="shared" si="1"/>
        <v>0.48</v>
      </c>
      <c r="T23" s="71">
        <f t="shared" si="2"/>
        <v>3</v>
      </c>
      <c r="U23" s="74">
        <f t="shared" si="3"/>
        <v>8</v>
      </c>
      <c r="V23" s="73">
        <f>IF(Variable_Management!$B$20=3,2,IF((S23*R23/T23)&lt;((T23*(1-(T23/R23)))/(2*Lm*Fsw)),1,2))</f>
        <v>2</v>
      </c>
      <c r="W23" s="71">
        <f t="shared" si="13"/>
        <v>0.94</v>
      </c>
      <c r="X23" s="74">
        <f t="shared" si="4"/>
        <v>6.0000000000000053E-2</v>
      </c>
      <c r="Y23" s="73">
        <f t="shared" si="5"/>
        <v>0.64090909090909098</v>
      </c>
      <c r="Z23" s="71">
        <f t="shared" si="30"/>
        <v>8.3204545454545453</v>
      </c>
      <c r="AA23" s="71">
        <f t="shared" si="31"/>
        <v>8.0021391122562235</v>
      </c>
      <c r="AB23" s="71">
        <v>0</v>
      </c>
      <c r="AC23" s="71">
        <f t="shared" si="6"/>
        <v>0.4802567277892561</v>
      </c>
      <c r="AD23" s="74">
        <f t="shared" si="16"/>
        <v>0.4802567277892561</v>
      </c>
      <c r="AE23" s="73">
        <f t="shared" si="29"/>
        <v>7.52</v>
      </c>
      <c r="AF23" s="71">
        <f t="shared" si="17"/>
        <v>7.7583617181455757</v>
      </c>
      <c r="AG23" s="71">
        <f t="shared" si="7"/>
        <v>2.2391489676446281</v>
      </c>
      <c r="AH23" s="71">
        <f t="shared" si="18"/>
        <v>1.6695226438188495</v>
      </c>
      <c r="AI23" s="74">
        <f t="shared" si="19"/>
        <v>3.9086716114634776</v>
      </c>
      <c r="AJ23" s="73">
        <f t="shared" si="20"/>
        <v>0.48000000000000043</v>
      </c>
      <c r="AK23" s="71">
        <f t="shared" si="21"/>
        <v>1.9601157675795715</v>
      </c>
      <c r="AL23" s="71">
        <f t="shared" si="8"/>
        <v>3.3810073636363666E-2</v>
      </c>
      <c r="AM23" s="71">
        <f t="shared" si="22"/>
        <v>0.73761600000000005</v>
      </c>
      <c r="AN23" s="188">
        <f t="shared" si="23"/>
        <v>5.8576000000000003E-2</v>
      </c>
      <c r="AO23" s="74">
        <f t="shared" si="24"/>
        <v>0.83000207363636369</v>
      </c>
      <c r="AP23" s="73">
        <f t="shared" si="25"/>
        <v>0.12806846074380163</v>
      </c>
      <c r="AQ23" s="206">
        <f t="shared" si="9"/>
        <v>0.4802567277892561</v>
      </c>
      <c r="AR23" s="206">
        <f t="shared" si="10"/>
        <v>8.6013784318131857E-3</v>
      </c>
      <c r="AS23" s="71">
        <f t="shared" si="11"/>
        <v>4.3999999999999997E-2</v>
      </c>
      <c r="AT23" s="74">
        <f t="shared" si="12"/>
        <v>9.9000000000000001E-6</v>
      </c>
      <c r="AU23" s="73">
        <f t="shared" si="26"/>
        <v>5.8798668798539691</v>
      </c>
      <c r="AV23" s="71">
        <f t="shared" si="27"/>
        <v>24</v>
      </c>
      <c r="AW23" s="74">
        <f t="shared" si="28"/>
        <v>80.321642986239752</v>
      </c>
    </row>
    <row r="24" spans="17:49" x14ac:dyDescent="0.25">
      <c r="Q24">
        <v>17</v>
      </c>
      <c r="R24" s="73">
        <f t="shared" si="0"/>
        <v>50</v>
      </c>
      <c r="S24" s="71">
        <f t="shared" si="1"/>
        <v>0.51</v>
      </c>
      <c r="T24" s="71">
        <f t="shared" si="2"/>
        <v>3</v>
      </c>
      <c r="U24" s="74">
        <f t="shared" si="3"/>
        <v>8.5</v>
      </c>
      <c r="V24" s="73">
        <f>IF(Variable_Management!$B$20=3,2,IF((S24*R24/T24)&lt;((T24*(1-(T24/R24)))/(2*Lm*Fsw)),1,2))</f>
        <v>2</v>
      </c>
      <c r="W24" s="71">
        <f t="shared" si="13"/>
        <v>0.94</v>
      </c>
      <c r="X24" s="74">
        <f t="shared" si="4"/>
        <v>6.0000000000000053E-2</v>
      </c>
      <c r="Y24" s="73">
        <f t="shared" si="5"/>
        <v>0.64090909090909098</v>
      </c>
      <c r="Z24" s="71">
        <f t="shared" si="30"/>
        <v>8.8204545454545453</v>
      </c>
      <c r="AA24" s="71">
        <f t="shared" si="31"/>
        <v>8.5020133128513056</v>
      </c>
      <c r="AB24" s="71">
        <v>0</v>
      </c>
      <c r="AC24" s="71">
        <f t="shared" si="6"/>
        <v>0.54213172778925622</v>
      </c>
      <c r="AD24" s="74">
        <f t="shared" si="16"/>
        <v>0.54213172778925622</v>
      </c>
      <c r="AE24" s="73">
        <f t="shared" si="29"/>
        <v>7.9899999999999993</v>
      </c>
      <c r="AF24" s="71">
        <f t="shared" si="17"/>
        <v>8.2430077368389494</v>
      </c>
      <c r="AG24" s="71">
        <f t="shared" si="7"/>
        <v>2.5276349676446284</v>
      </c>
      <c r="AH24" s="71">
        <f t="shared" si="18"/>
        <v>1.7738678090575277</v>
      </c>
      <c r="AI24" s="74">
        <f t="shared" si="19"/>
        <v>4.3015027767021561</v>
      </c>
      <c r="AJ24" s="73">
        <f t="shared" si="20"/>
        <v>0.51000000000000045</v>
      </c>
      <c r="AK24" s="71">
        <f t="shared" si="21"/>
        <v>2.0825594402835308</v>
      </c>
      <c r="AL24" s="71">
        <f t="shared" si="8"/>
        <v>3.8166073636363672E-2</v>
      </c>
      <c r="AM24" s="71">
        <f t="shared" si="22"/>
        <v>0.73761600000000005</v>
      </c>
      <c r="AN24" s="188">
        <f t="shared" si="23"/>
        <v>6.2095999999999998E-2</v>
      </c>
      <c r="AO24" s="74">
        <f t="shared" si="24"/>
        <v>0.8378780736363638</v>
      </c>
      <c r="AP24" s="73">
        <f t="shared" si="25"/>
        <v>0.14456846074380167</v>
      </c>
      <c r="AQ24" s="206">
        <f t="shared" si="9"/>
        <v>0.54213172778925622</v>
      </c>
      <c r="AR24" s="206">
        <f t="shared" si="10"/>
        <v>8.6013784318131857E-3</v>
      </c>
      <c r="AS24" s="71">
        <f t="shared" si="11"/>
        <v>4.3999999999999997E-2</v>
      </c>
      <c r="AT24" s="74">
        <f t="shared" si="12"/>
        <v>9.9000000000000001E-6</v>
      </c>
      <c r="AU24" s="73">
        <f t="shared" si="26"/>
        <v>6.4208240450926466</v>
      </c>
      <c r="AV24" s="71">
        <f t="shared" si="27"/>
        <v>25.5</v>
      </c>
      <c r="AW24" s="74">
        <f t="shared" si="28"/>
        <v>79.885155734005082</v>
      </c>
    </row>
    <row r="25" spans="17:49" x14ac:dyDescent="0.25">
      <c r="Q25">
        <v>18</v>
      </c>
      <c r="R25" s="73">
        <f t="shared" si="0"/>
        <v>50</v>
      </c>
      <c r="S25" s="71">
        <f t="shared" si="1"/>
        <v>0.54</v>
      </c>
      <c r="T25" s="71">
        <f t="shared" si="2"/>
        <v>3</v>
      </c>
      <c r="U25" s="74">
        <f t="shared" si="3"/>
        <v>9</v>
      </c>
      <c r="V25" s="73">
        <f>IF(Variable_Management!$B$20=3,2,IF((S25*R25/T25)&lt;((T25*(1-(T25/R25)))/(2*Lm*Fsw)),1,2))</f>
        <v>2</v>
      </c>
      <c r="W25" s="71">
        <f t="shared" si="13"/>
        <v>0.94</v>
      </c>
      <c r="X25" s="74">
        <f t="shared" si="4"/>
        <v>6.0000000000000053E-2</v>
      </c>
      <c r="Y25" s="73">
        <f t="shared" si="5"/>
        <v>0.64090909090909098</v>
      </c>
      <c r="Z25" s="71">
        <f t="shared" si="30"/>
        <v>9.3204545454545453</v>
      </c>
      <c r="AA25" s="71">
        <f t="shared" si="31"/>
        <v>9.0019014864583387</v>
      </c>
      <c r="AB25" s="71">
        <v>0</v>
      </c>
      <c r="AC25" s="71">
        <f t="shared" si="6"/>
        <v>0.60775672778925638</v>
      </c>
      <c r="AD25" s="74">
        <f t="shared" si="16"/>
        <v>0.60775672778925638</v>
      </c>
      <c r="AE25" s="73">
        <f t="shared" si="29"/>
        <v>8.4599999999999991</v>
      </c>
      <c r="AF25" s="71">
        <f t="shared" si="17"/>
        <v>8.7276673028700387</v>
      </c>
      <c r="AG25" s="71">
        <f t="shared" si="7"/>
        <v>2.8336049676446287</v>
      </c>
      <c r="AH25" s="71">
        <f t="shared" si="18"/>
        <v>1.8782129742962057</v>
      </c>
      <c r="AI25" s="74">
        <f t="shared" si="19"/>
        <v>4.7118179419408346</v>
      </c>
      <c r="AJ25" s="73">
        <f t="shared" si="20"/>
        <v>0.54000000000000048</v>
      </c>
      <c r="AK25" s="71">
        <f t="shared" si="21"/>
        <v>2.2050065356624353</v>
      </c>
      <c r="AL25" s="71">
        <f t="shared" si="8"/>
        <v>4.2786073636363685E-2</v>
      </c>
      <c r="AM25" s="71">
        <f t="shared" si="22"/>
        <v>0.73761600000000005</v>
      </c>
      <c r="AN25" s="188">
        <f t="shared" si="23"/>
        <v>6.5616000000000008E-2</v>
      </c>
      <c r="AO25" s="74">
        <f t="shared" si="24"/>
        <v>0.84601807363636372</v>
      </c>
      <c r="AP25" s="73">
        <f t="shared" si="25"/>
        <v>0.16206846074380168</v>
      </c>
      <c r="AQ25" s="206">
        <f t="shared" si="9"/>
        <v>0.60775672778925638</v>
      </c>
      <c r="AR25" s="206">
        <f t="shared" si="10"/>
        <v>8.6013784318131857E-3</v>
      </c>
      <c r="AS25" s="71">
        <f t="shared" si="11"/>
        <v>4.3999999999999997E-2</v>
      </c>
      <c r="AT25" s="74">
        <f t="shared" si="12"/>
        <v>9.9000000000000001E-6</v>
      </c>
      <c r="AU25" s="73">
        <f t="shared" si="26"/>
        <v>6.9880292103313266</v>
      </c>
      <c r="AV25" s="71">
        <f t="shared" si="27"/>
        <v>27</v>
      </c>
      <c r="AW25" s="74">
        <f t="shared" si="28"/>
        <v>79.439734010210927</v>
      </c>
    </row>
    <row r="26" spans="17:49" x14ac:dyDescent="0.25">
      <c r="Q26">
        <v>19</v>
      </c>
      <c r="R26" s="73">
        <f t="shared" si="0"/>
        <v>50</v>
      </c>
      <c r="S26" s="71">
        <f t="shared" si="1"/>
        <v>0.56999999999999995</v>
      </c>
      <c r="T26" s="71">
        <f t="shared" si="2"/>
        <v>3</v>
      </c>
      <c r="U26" s="74">
        <f t="shared" si="3"/>
        <v>9.4999999999999982</v>
      </c>
      <c r="V26" s="73">
        <f>IF(Variable_Management!$B$20=3,2,IF((S26*R26/T26)&lt;((T26*(1-(T26/R26)))/(2*Lm*Fsw)),1,2))</f>
        <v>2</v>
      </c>
      <c r="W26" s="71">
        <f t="shared" si="13"/>
        <v>0.94</v>
      </c>
      <c r="X26" s="74">
        <f t="shared" si="4"/>
        <v>6.0000000000000053E-2</v>
      </c>
      <c r="Y26" s="73">
        <f t="shared" si="5"/>
        <v>0.64090909090909098</v>
      </c>
      <c r="Z26" s="71">
        <f t="shared" si="30"/>
        <v>9.8204545454545435</v>
      </c>
      <c r="AA26" s="71">
        <f t="shared" si="31"/>
        <v>9.5018014277241551</v>
      </c>
      <c r="AB26" s="71">
        <v>0</v>
      </c>
      <c r="AC26" s="71">
        <f t="shared" si="6"/>
        <v>0.6771317277892559</v>
      </c>
      <c r="AD26" s="74">
        <f t="shared" si="16"/>
        <v>0.6771317277892559</v>
      </c>
      <c r="AE26" s="73">
        <f t="shared" si="29"/>
        <v>8.9299999999999979</v>
      </c>
      <c r="AF26" s="71">
        <f t="shared" si="17"/>
        <v>9.2123382780696215</v>
      </c>
      <c r="AG26" s="71">
        <f t="shared" si="7"/>
        <v>3.1570589676446277</v>
      </c>
      <c r="AH26" s="71">
        <f t="shared" si="18"/>
        <v>1.9825581395348832</v>
      </c>
      <c r="AI26" s="74">
        <f t="shared" si="19"/>
        <v>5.1396171071795109</v>
      </c>
      <c r="AJ26" s="73">
        <f t="shared" si="20"/>
        <v>0.5700000000000004</v>
      </c>
      <c r="AK26" s="71">
        <f t="shared" si="21"/>
        <v>2.3274565135172884</v>
      </c>
      <c r="AL26" s="71">
        <f t="shared" si="8"/>
        <v>4.7670073636363657E-2</v>
      </c>
      <c r="AM26" s="71">
        <f t="shared" si="22"/>
        <v>0.73761600000000005</v>
      </c>
      <c r="AN26" s="188">
        <f t="shared" si="23"/>
        <v>6.9135999999999989E-2</v>
      </c>
      <c r="AO26" s="74">
        <f t="shared" si="24"/>
        <v>0.85442207363636369</v>
      </c>
      <c r="AP26" s="73">
        <f t="shared" si="25"/>
        <v>0.18056846074380159</v>
      </c>
      <c r="AQ26" s="206">
        <f t="shared" si="9"/>
        <v>0.6771317277892559</v>
      </c>
      <c r="AR26" s="206">
        <f t="shared" si="10"/>
        <v>8.6013784318131857E-3</v>
      </c>
      <c r="AS26" s="71">
        <f t="shared" si="11"/>
        <v>4.3999999999999997E-2</v>
      </c>
      <c r="AT26" s="74">
        <f t="shared" si="12"/>
        <v>9.9000000000000001E-6</v>
      </c>
      <c r="AU26" s="73">
        <f t="shared" si="26"/>
        <v>7.5814823755700012</v>
      </c>
      <c r="AV26" s="71">
        <f t="shared" si="27"/>
        <v>28.499999999999996</v>
      </c>
      <c r="AW26" s="74">
        <f t="shared" si="28"/>
        <v>78.987885540137171</v>
      </c>
    </row>
    <row r="27" spans="17:49" x14ac:dyDescent="0.25">
      <c r="Q27">
        <v>20</v>
      </c>
      <c r="R27" s="73">
        <f t="shared" si="0"/>
        <v>50</v>
      </c>
      <c r="S27" s="71">
        <f t="shared" si="1"/>
        <v>0.6</v>
      </c>
      <c r="T27" s="71">
        <f t="shared" si="2"/>
        <v>3</v>
      </c>
      <c r="U27" s="74">
        <f t="shared" si="3"/>
        <v>10</v>
      </c>
      <c r="V27" s="73">
        <f>IF(Variable_Management!$B$20=3,2,IF((S27*R27/T27)&lt;((T27*(1-(T27/R27)))/(2*Lm*Fsw)),1,2))</f>
        <v>2</v>
      </c>
      <c r="W27" s="71">
        <f t="shared" si="13"/>
        <v>0.94</v>
      </c>
      <c r="X27" s="74">
        <f t="shared" si="4"/>
        <v>6.0000000000000053E-2</v>
      </c>
      <c r="Y27" s="73">
        <f t="shared" si="5"/>
        <v>0.64090909090909098</v>
      </c>
      <c r="Z27" s="71">
        <f t="shared" si="30"/>
        <v>10.320454545454545</v>
      </c>
      <c r="AA27" s="71">
        <f t="shared" si="31"/>
        <v>10.001711372155309</v>
      </c>
      <c r="AB27" s="71">
        <v>0</v>
      </c>
      <c r="AC27" s="71">
        <f t="shared" si="6"/>
        <v>0.75025672778925634</v>
      </c>
      <c r="AD27" s="74">
        <f t="shared" si="16"/>
        <v>0.75025672778925634</v>
      </c>
      <c r="AE27" s="73">
        <f t="shared" si="29"/>
        <v>9.3999999999999986</v>
      </c>
      <c r="AF27" s="71">
        <f t="shared" si="17"/>
        <v>9.6970189516978245</v>
      </c>
      <c r="AG27" s="71">
        <f t="shared" si="7"/>
        <v>3.4979969676446285</v>
      </c>
      <c r="AH27" s="71">
        <f t="shared" si="18"/>
        <v>2.0869033047735619</v>
      </c>
      <c r="AI27" s="74">
        <f t="shared" si="19"/>
        <v>5.5849002724181904</v>
      </c>
      <c r="AJ27" s="73">
        <f t="shared" si="20"/>
        <v>0.60000000000000053</v>
      </c>
      <c r="AK27" s="71">
        <f t="shared" si="21"/>
        <v>2.4499089416372302</v>
      </c>
      <c r="AL27" s="71">
        <f t="shared" si="8"/>
        <v>5.281807363636367E-2</v>
      </c>
      <c r="AM27" s="71">
        <f t="shared" si="22"/>
        <v>0.73761600000000005</v>
      </c>
      <c r="AN27" s="188">
        <f t="shared" si="23"/>
        <v>7.2655999999999998E-2</v>
      </c>
      <c r="AO27" s="74">
        <f t="shared" si="24"/>
        <v>0.86309007363636381</v>
      </c>
      <c r="AP27" s="73">
        <f t="shared" si="25"/>
        <v>0.20006846074380169</v>
      </c>
      <c r="AQ27" s="206">
        <f t="shared" si="9"/>
        <v>0.75025672778925634</v>
      </c>
      <c r="AR27" s="206">
        <f t="shared" si="10"/>
        <v>8.6013784318131857E-3</v>
      </c>
      <c r="AS27" s="71">
        <f t="shared" si="11"/>
        <v>4.3999999999999997E-2</v>
      </c>
      <c r="AT27" s="74">
        <f t="shared" si="12"/>
        <v>9.9000000000000001E-6</v>
      </c>
      <c r="AU27" s="73">
        <f t="shared" si="26"/>
        <v>8.2011835408086817</v>
      </c>
      <c r="AV27" s="71">
        <f t="shared" si="27"/>
        <v>30</v>
      </c>
      <c r="AW27" s="74">
        <f t="shared" si="28"/>
        <v>78.531598289231766</v>
      </c>
    </row>
    <row r="28" spans="17:49" x14ac:dyDescent="0.25">
      <c r="Q28">
        <v>21</v>
      </c>
      <c r="R28" s="73">
        <f t="shared" si="0"/>
        <v>50</v>
      </c>
      <c r="S28" s="71">
        <f t="shared" si="1"/>
        <v>0.63</v>
      </c>
      <c r="T28" s="71">
        <f t="shared" si="2"/>
        <v>3</v>
      </c>
      <c r="U28" s="74">
        <f t="shared" si="3"/>
        <v>10.5</v>
      </c>
      <c r="V28" s="73">
        <f>IF(Variable_Management!$B$20=3,2,IF((S28*R28/T28)&lt;((T28*(1-(T28/R28)))/(2*Lm*Fsw)),1,2))</f>
        <v>2</v>
      </c>
      <c r="W28" s="71">
        <f t="shared" si="13"/>
        <v>0.94</v>
      </c>
      <c r="X28" s="74">
        <f t="shared" si="4"/>
        <v>6.0000000000000053E-2</v>
      </c>
      <c r="Y28" s="73">
        <f t="shared" si="5"/>
        <v>0.64090909090909098</v>
      </c>
      <c r="Z28" s="71">
        <f t="shared" si="30"/>
        <v>10.820454545454545</v>
      </c>
      <c r="AA28" s="71">
        <f t="shared" si="31"/>
        <v>10.501629891207404</v>
      </c>
      <c r="AB28" s="71">
        <v>0</v>
      </c>
      <c r="AC28" s="71">
        <f t="shared" si="6"/>
        <v>0.82713172778925625</v>
      </c>
      <c r="AD28" s="74">
        <f t="shared" si="16"/>
        <v>0.82713172778925625</v>
      </c>
      <c r="AE28" s="73">
        <f t="shared" si="29"/>
        <v>9.8699999999999992</v>
      </c>
      <c r="AF28" s="71">
        <f t="shared" si="17"/>
        <v>10.181707938729472</v>
      </c>
      <c r="AG28" s="71">
        <f t="shared" si="7"/>
        <v>3.8564189676446277</v>
      </c>
      <c r="AH28" s="71">
        <f t="shared" si="18"/>
        <v>2.1912484700122401</v>
      </c>
      <c r="AI28" s="74">
        <f t="shared" si="19"/>
        <v>6.0476674376568678</v>
      </c>
      <c r="AJ28" s="73">
        <f t="shared" si="20"/>
        <v>0.63000000000000056</v>
      </c>
      <c r="AK28" s="71">
        <f t="shared" si="21"/>
        <v>2.5723634701017768</v>
      </c>
      <c r="AL28" s="71">
        <f t="shared" si="8"/>
        <v>5.8230073636363684E-2</v>
      </c>
      <c r="AM28" s="71">
        <f t="shared" si="22"/>
        <v>0.73761600000000005</v>
      </c>
      <c r="AN28" s="188">
        <f t="shared" si="23"/>
        <v>7.6176000000000008E-2</v>
      </c>
      <c r="AO28" s="74">
        <f t="shared" si="24"/>
        <v>0.87202207363636375</v>
      </c>
      <c r="AP28" s="73">
        <f t="shared" si="25"/>
        <v>0.22056846074380168</v>
      </c>
      <c r="AQ28" s="206">
        <f t="shared" si="9"/>
        <v>0.82713172778925625</v>
      </c>
      <c r="AR28" s="206">
        <f t="shared" si="10"/>
        <v>8.6013784318131857E-3</v>
      </c>
      <c r="AS28" s="71">
        <f t="shared" si="11"/>
        <v>4.3999999999999997E-2</v>
      </c>
      <c r="AT28" s="74">
        <f t="shared" si="12"/>
        <v>9.9000000000000001E-6</v>
      </c>
      <c r="AU28" s="73">
        <f t="shared" si="26"/>
        <v>8.8471327060473577</v>
      </c>
      <c r="AV28" s="71">
        <f t="shared" si="27"/>
        <v>31.5</v>
      </c>
      <c r="AW28" s="74">
        <f t="shared" si="28"/>
        <v>78.072462371728037</v>
      </c>
    </row>
    <row r="29" spans="17:49" x14ac:dyDescent="0.25">
      <c r="Q29">
        <v>22</v>
      </c>
      <c r="R29" s="73">
        <f t="shared" si="0"/>
        <v>50</v>
      </c>
      <c r="S29" s="71">
        <f t="shared" si="1"/>
        <v>0.65999999999999992</v>
      </c>
      <c r="T29" s="71">
        <f t="shared" si="2"/>
        <v>3</v>
      </c>
      <c r="U29" s="74">
        <f t="shared" si="3"/>
        <v>10.999999999999998</v>
      </c>
      <c r="V29" s="73">
        <f>IF(Variable_Management!$B$20=3,2,IF((S29*R29/T29)&lt;((T29*(1-(T29/R29)))/(2*Lm*Fsw)),1,2))</f>
        <v>2</v>
      </c>
      <c r="W29" s="71">
        <f t="shared" si="13"/>
        <v>0.94</v>
      </c>
      <c r="X29" s="74">
        <f t="shared" si="4"/>
        <v>6.0000000000000053E-2</v>
      </c>
      <c r="Y29" s="73">
        <f t="shared" si="5"/>
        <v>0.64090909090909098</v>
      </c>
      <c r="Z29" s="71">
        <f t="shared" si="30"/>
        <v>11.320454545454544</v>
      </c>
      <c r="AA29" s="71">
        <f t="shared" si="31"/>
        <v>11.001555815969885</v>
      </c>
      <c r="AB29" s="71">
        <v>0</v>
      </c>
      <c r="AC29" s="71">
        <f t="shared" si="6"/>
        <v>0.90775672778925598</v>
      </c>
      <c r="AD29" s="74">
        <f t="shared" si="16"/>
        <v>0.90775672778925598</v>
      </c>
      <c r="AE29" s="73">
        <f t="shared" si="29"/>
        <v>10.339999999999998</v>
      </c>
      <c r="AF29" s="71">
        <f t="shared" si="17"/>
        <v>10.666404105863734</v>
      </c>
      <c r="AG29" s="71">
        <f t="shared" si="7"/>
        <v>4.232324967644626</v>
      </c>
      <c r="AH29" s="71">
        <f t="shared" si="18"/>
        <v>2.2955936352509174</v>
      </c>
      <c r="AI29" s="74">
        <f t="shared" si="19"/>
        <v>6.5279186028955429</v>
      </c>
      <c r="AJ29" s="73">
        <f t="shared" si="20"/>
        <v>0.66000000000000048</v>
      </c>
      <c r="AK29" s="71">
        <f t="shared" si="21"/>
        <v>2.694819812587486</v>
      </c>
      <c r="AL29" s="71">
        <f t="shared" si="8"/>
        <v>6.3906073636363678E-2</v>
      </c>
      <c r="AM29" s="71">
        <f t="shared" si="22"/>
        <v>0.73761600000000005</v>
      </c>
      <c r="AN29" s="188">
        <f t="shared" si="23"/>
        <v>7.9695999999999989E-2</v>
      </c>
      <c r="AO29" s="74">
        <f t="shared" si="24"/>
        <v>0.88121807363636373</v>
      </c>
      <c r="AP29" s="73">
        <f t="shared" si="25"/>
        <v>0.24206846074380162</v>
      </c>
      <c r="AQ29" s="206">
        <f t="shared" si="9"/>
        <v>0.90775672778925598</v>
      </c>
      <c r="AR29" s="206">
        <f t="shared" si="10"/>
        <v>8.6013784318131857E-3</v>
      </c>
      <c r="AS29" s="71">
        <f t="shared" si="11"/>
        <v>4.3999999999999997E-2</v>
      </c>
      <c r="AT29" s="74">
        <f t="shared" si="12"/>
        <v>9.9000000000000001E-6</v>
      </c>
      <c r="AU29" s="73">
        <f t="shared" si="26"/>
        <v>9.5193298712860326</v>
      </c>
      <c r="AV29" s="71">
        <f t="shared" si="27"/>
        <v>32.999999999999993</v>
      </c>
      <c r="AW29" s="74">
        <f t="shared" si="28"/>
        <v>77.61175940424549</v>
      </c>
    </row>
    <row r="30" spans="17:49" x14ac:dyDescent="0.25">
      <c r="Q30">
        <v>23</v>
      </c>
      <c r="R30" s="73">
        <f t="shared" si="0"/>
        <v>50</v>
      </c>
      <c r="S30" s="71">
        <f t="shared" si="1"/>
        <v>0.69</v>
      </c>
      <c r="T30" s="71">
        <f t="shared" si="2"/>
        <v>3</v>
      </c>
      <c r="U30" s="74">
        <f t="shared" si="3"/>
        <v>11.5</v>
      </c>
      <c r="V30" s="73">
        <f>IF(Variable_Management!$B$20=3,2,IF((S30*R30/T30)&lt;((T30*(1-(T30/R30)))/(2*Lm*Fsw)),1,2))</f>
        <v>2</v>
      </c>
      <c r="W30" s="71">
        <f t="shared" si="13"/>
        <v>0.94</v>
      </c>
      <c r="X30" s="74">
        <f t="shared" si="4"/>
        <v>6.0000000000000053E-2</v>
      </c>
      <c r="Y30" s="73">
        <f t="shared" si="5"/>
        <v>0.64090909090909098</v>
      </c>
      <c r="Z30" s="71">
        <f t="shared" si="30"/>
        <v>11.820454545454545</v>
      </c>
      <c r="AA30" s="71">
        <f t="shared" si="31"/>
        <v>11.501488180748648</v>
      </c>
      <c r="AB30" s="71">
        <v>0</v>
      </c>
      <c r="AC30" s="71">
        <f t="shared" si="6"/>
        <v>0.9921317277892564</v>
      </c>
      <c r="AD30" s="74">
        <f t="shared" si="16"/>
        <v>0.9921317277892564</v>
      </c>
      <c r="AE30" s="73">
        <f t="shared" si="29"/>
        <v>10.809999999999999</v>
      </c>
      <c r="AF30" s="71">
        <f t="shared" si="17"/>
        <v>11.151106516825438</v>
      </c>
      <c r="AG30" s="71">
        <f t="shared" si="7"/>
        <v>4.6257149676446279</v>
      </c>
      <c r="AH30" s="71">
        <f t="shared" si="18"/>
        <v>2.3999388004895961</v>
      </c>
      <c r="AI30" s="74">
        <f t="shared" si="19"/>
        <v>7.0256537681342239</v>
      </c>
      <c r="AJ30" s="73">
        <f t="shared" si="20"/>
        <v>0.69000000000000061</v>
      </c>
      <c r="AK30" s="71">
        <f t="shared" si="21"/>
        <v>2.8172777325485776</v>
      </c>
      <c r="AL30" s="71">
        <f t="shared" si="8"/>
        <v>6.9846073636363692E-2</v>
      </c>
      <c r="AM30" s="71">
        <f t="shared" si="22"/>
        <v>0.73761600000000005</v>
      </c>
      <c r="AN30" s="188">
        <f t="shared" si="23"/>
        <v>8.3215999999999998E-2</v>
      </c>
      <c r="AO30" s="74">
        <f t="shared" si="24"/>
        <v>0.89067807363636375</v>
      </c>
      <c r="AP30" s="73">
        <f t="shared" si="25"/>
        <v>0.26456846074380175</v>
      </c>
      <c r="AQ30" s="206">
        <f t="shared" si="9"/>
        <v>0.9921317277892564</v>
      </c>
      <c r="AR30" s="206">
        <f t="shared" si="10"/>
        <v>8.6013784318131857E-3</v>
      </c>
      <c r="AS30" s="71">
        <f t="shared" si="11"/>
        <v>4.3999999999999997E-2</v>
      </c>
      <c r="AT30" s="74">
        <f t="shared" si="12"/>
        <v>9.9000000000000001E-6</v>
      </c>
      <c r="AU30" s="73">
        <f t="shared" si="26"/>
        <v>10.217775036524717</v>
      </c>
      <c r="AV30" s="71">
        <f t="shared" si="27"/>
        <v>34.5</v>
      </c>
      <c r="AW30" s="74">
        <f t="shared" si="28"/>
        <v>77.150529005123786</v>
      </c>
    </row>
    <row r="31" spans="17:49" x14ac:dyDescent="0.25">
      <c r="Q31">
        <v>24</v>
      </c>
      <c r="R31" s="73">
        <f t="shared" si="0"/>
        <v>50</v>
      </c>
      <c r="S31" s="71">
        <f t="shared" si="1"/>
        <v>0.72</v>
      </c>
      <c r="T31" s="71">
        <f t="shared" si="2"/>
        <v>3</v>
      </c>
      <c r="U31" s="74">
        <f t="shared" si="3"/>
        <v>12</v>
      </c>
      <c r="V31" s="73">
        <f>IF(Variable_Management!$B$20=3,2,IF((S31*R31/T31)&lt;((T31*(1-(T31/R31)))/(2*Lm*Fsw)),1,2))</f>
        <v>2</v>
      </c>
      <c r="W31" s="71">
        <f t="shared" si="13"/>
        <v>0.94</v>
      </c>
      <c r="X31" s="74">
        <f t="shared" si="4"/>
        <v>6.0000000000000053E-2</v>
      </c>
      <c r="Y31" s="73">
        <f t="shared" si="5"/>
        <v>0.64090909090909098</v>
      </c>
      <c r="Z31" s="71">
        <f t="shared" si="30"/>
        <v>12.320454545454545</v>
      </c>
      <c r="AA31" s="71">
        <f t="shared" si="31"/>
        <v>12.001426180746222</v>
      </c>
      <c r="AB31" s="71">
        <v>0</v>
      </c>
      <c r="AC31" s="71">
        <f t="shared" si="6"/>
        <v>1.0802567277892563</v>
      </c>
      <c r="AD31" s="74">
        <f t="shared" si="16"/>
        <v>1.0802567277892563</v>
      </c>
      <c r="AE31" s="73">
        <f t="shared" si="29"/>
        <v>11.28</v>
      </c>
      <c r="AF31" s="71">
        <f t="shared" si="17"/>
        <v>11.635814391334486</v>
      </c>
      <c r="AG31" s="71">
        <f t="shared" si="7"/>
        <v>5.0365889676446267</v>
      </c>
      <c r="AH31" s="71">
        <f t="shared" si="18"/>
        <v>2.5042839657282743</v>
      </c>
      <c r="AI31" s="74">
        <f t="shared" si="19"/>
        <v>7.540872933372901</v>
      </c>
      <c r="AJ31" s="73">
        <f t="shared" si="20"/>
        <v>0.72000000000000064</v>
      </c>
      <c r="AK31" s="71">
        <f t="shared" si="21"/>
        <v>2.9397370328507373</v>
      </c>
      <c r="AL31" s="71">
        <f t="shared" si="8"/>
        <v>7.6050073636363708E-2</v>
      </c>
      <c r="AM31" s="71">
        <f t="shared" si="22"/>
        <v>0.73761600000000005</v>
      </c>
      <c r="AN31" s="188">
        <f t="shared" si="23"/>
        <v>8.6736000000000008E-2</v>
      </c>
      <c r="AO31" s="74">
        <f t="shared" si="24"/>
        <v>0.90040207363636382</v>
      </c>
      <c r="AP31" s="73">
        <f t="shared" si="25"/>
        <v>0.28806846074380166</v>
      </c>
      <c r="AQ31" s="206">
        <f t="shared" si="9"/>
        <v>1.0802567277892563</v>
      </c>
      <c r="AR31" s="206">
        <f t="shared" si="10"/>
        <v>8.6013784318131857E-3</v>
      </c>
      <c r="AS31" s="71">
        <f t="shared" si="11"/>
        <v>4.3999999999999997E-2</v>
      </c>
      <c r="AT31" s="74">
        <f t="shared" si="12"/>
        <v>9.9000000000000001E-6</v>
      </c>
      <c r="AU31" s="73">
        <f t="shared" si="26"/>
        <v>10.942468201763393</v>
      </c>
      <c r="AV31" s="71">
        <f t="shared" si="27"/>
        <v>36</v>
      </c>
      <c r="AW31" s="74">
        <f t="shared" si="28"/>
        <v>76.689618972032804</v>
      </c>
    </row>
    <row r="32" spans="17:49" x14ac:dyDescent="0.25">
      <c r="Q32">
        <v>25</v>
      </c>
      <c r="R32" s="73">
        <f t="shared" si="0"/>
        <v>50</v>
      </c>
      <c r="S32" s="71">
        <f t="shared" si="1"/>
        <v>0.75</v>
      </c>
      <c r="T32" s="71">
        <f t="shared" si="2"/>
        <v>3</v>
      </c>
      <c r="U32" s="74">
        <f t="shared" si="3"/>
        <v>12.5</v>
      </c>
      <c r="V32" s="73">
        <f>IF(Variable_Management!$B$20=3,2,IF((S32*R32/T32)&lt;((T32*(1-(T32/R32)))/(2*Lm*Fsw)),1,2))</f>
        <v>2</v>
      </c>
      <c r="W32" s="71">
        <f t="shared" si="13"/>
        <v>0.94</v>
      </c>
      <c r="X32" s="74">
        <f t="shared" si="4"/>
        <v>6.0000000000000053E-2</v>
      </c>
      <c r="Y32" s="73">
        <f t="shared" si="5"/>
        <v>0.64090909090909098</v>
      </c>
      <c r="Z32" s="71">
        <f t="shared" si="30"/>
        <v>12.820454545454545</v>
      </c>
      <c r="AA32" s="71">
        <f t="shared" si="31"/>
        <v>12.501369139894271</v>
      </c>
      <c r="AB32" s="71">
        <v>0</v>
      </c>
      <c r="AC32" s="71">
        <f t="shared" si="6"/>
        <v>1.1721317277892562</v>
      </c>
      <c r="AD32" s="74">
        <f t="shared" si="16"/>
        <v>1.1721317277892562</v>
      </c>
      <c r="AE32" s="73">
        <f t="shared" si="29"/>
        <v>11.75</v>
      </c>
      <c r="AF32" s="71">
        <f t="shared" si="17"/>
        <v>12.120527073918311</v>
      </c>
      <c r="AG32" s="71">
        <f t="shared" si="7"/>
        <v>5.4649469676446278</v>
      </c>
      <c r="AH32" s="71">
        <f t="shared" si="18"/>
        <v>2.6086291309669525</v>
      </c>
      <c r="AI32" s="74">
        <f t="shared" si="19"/>
        <v>8.0735760986115803</v>
      </c>
      <c r="AJ32" s="73">
        <f t="shared" si="20"/>
        <v>0.75000000000000067</v>
      </c>
      <c r="AK32" s="71">
        <f t="shared" si="21"/>
        <v>3.0621975478917194</v>
      </c>
      <c r="AL32" s="71">
        <f t="shared" si="8"/>
        <v>8.2518073636363723E-2</v>
      </c>
      <c r="AM32" s="71">
        <f t="shared" si="22"/>
        <v>0.73761600000000005</v>
      </c>
      <c r="AN32" s="188">
        <f t="shared" si="23"/>
        <v>9.0256000000000003E-2</v>
      </c>
      <c r="AO32" s="74">
        <f t="shared" si="24"/>
        <v>0.91039007363636382</v>
      </c>
      <c r="AP32" s="73">
        <f t="shared" si="25"/>
        <v>0.31256846074380168</v>
      </c>
      <c r="AQ32" s="206">
        <f t="shared" si="9"/>
        <v>1.1721317277892562</v>
      </c>
      <c r="AR32" s="206">
        <f t="shared" si="10"/>
        <v>8.6013784318131857E-3</v>
      </c>
      <c r="AS32" s="71">
        <f t="shared" si="11"/>
        <v>4.3999999999999997E-2</v>
      </c>
      <c r="AT32" s="74">
        <f t="shared" si="12"/>
        <v>9.9000000000000001E-6</v>
      </c>
      <c r="AU32" s="73">
        <f t="shared" si="26"/>
        <v>11.693409367002072</v>
      </c>
      <c r="AV32" s="71">
        <f t="shared" si="27"/>
        <v>37.5</v>
      </c>
      <c r="AW32" s="74">
        <f t="shared" si="28"/>
        <v>76.229723620567398</v>
      </c>
    </row>
    <row r="33" spans="17:49" x14ac:dyDescent="0.25">
      <c r="Q33">
        <v>26</v>
      </c>
      <c r="R33" s="73">
        <f t="shared" si="0"/>
        <v>50</v>
      </c>
      <c r="S33" s="71">
        <f t="shared" si="1"/>
        <v>0.78</v>
      </c>
      <c r="T33" s="71">
        <f t="shared" si="2"/>
        <v>3</v>
      </c>
      <c r="U33" s="74">
        <f t="shared" si="3"/>
        <v>13</v>
      </c>
      <c r="V33" s="73">
        <f>IF(Variable_Management!$B$20=3,2,IF((S33*R33/T33)&lt;((T33*(1-(T33/R33)))/(2*Lm*Fsw)),1,2))</f>
        <v>2</v>
      </c>
      <c r="W33" s="71">
        <f t="shared" si="13"/>
        <v>0.94</v>
      </c>
      <c r="X33" s="74">
        <f t="shared" si="4"/>
        <v>6.0000000000000053E-2</v>
      </c>
      <c r="Y33" s="73">
        <f t="shared" si="5"/>
        <v>0.64090909090909098</v>
      </c>
      <c r="Z33" s="71">
        <f t="shared" si="30"/>
        <v>13.320454545454545</v>
      </c>
      <c r="AA33" s="71">
        <f t="shared" si="31"/>
        <v>13.001316486106353</v>
      </c>
      <c r="AB33" s="71">
        <v>0</v>
      </c>
      <c r="AC33" s="71">
        <f t="shared" si="6"/>
        <v>1.2677567277892563</v>
      </c>
      <c r="AD33" s="74">
        <f t="shared" si="16"/>
        <v>1.2677567277892563</v>
      </c>
      <c r="AE33" s="73">
        <f t="shared" si="29"/>
        <v>12.219999999999999</v>
      </c>
      <c r="AF33" s="71">
        <f t="shared" si="17"/>
        <v>12.605244009918522</v>
      </c>
      <c r="AG33" s="71">
        <f t="shared" si="7"/>
        <v>5.9107889676446286</v>
      </c>
      <c r="AH33" s="71">
        <f t="shared" si="18"/>
        <v>2.7129742962056307</v>
      </c>
      <c r="AI33" s="74">
        <f t="shared" si="19"/>
        <v>8.6237632638502593</v>
      </c>
      <c r="AJ33" s="73">
        <f t="shared" si="20"/>
        <v>0.78000000000000069</v>
      </c>
      <c r="AK33" s="71">
        <f t="shared" si="21"/>
        <v>3.1846591375395357</v>
      </c>
      <c r="AL33" s="71">
        <f t="shared" si="8"/>
        <v>8.9250073636363725E-2</v>
      </c>
      <c r="AM33" s="71">
        <f t="shared" si="22"/>
        <v>0.73761600000000005</v>
      </c>
      <c r="AN33" s="188">
        <f t="shared" si="23"/>
        <v>9.3775999999999998E-2</v>
      </c>
      <c r="AO33" s="74">
        <f t="shared" si="24"/>
        <v>0.92064207363636374</v>
      </c>
      <c r="AP33" s="73">
        <f t="shared" si="25"/>
        <v>0.33806846074380165</v>
      </c>
      <c r="AQ33" s="206">
        <f t="shared" si="9"/>
        <v>1.2677567277892563</v>
      </c>
      <c r="AR33" s="206">
        <f t="shared" si="10"/>
        <v>8.6013784318131857E-3</v>
      </c>
      <c r="AS33" s="71">
        <f t="shared" si="11"/>
        <v>4.3999999999999997E-2</v>
      </c>
      <c r="AT33" s="74">
        <f t="shared" si="12"/>
        <v>9.9000000000000001E-6</v>
      </c>
      <c r="AU33" s="73">
        <f t="shared" si="26"/>
        <v>12.470598532240752</v>
      </c>
      <c r="AV33" s="71">
        <f t="shared" si="27"/>
        <v>39</v>
      </c>
      <c r="AW33" s="74">
        <f t="shared" si="28"/>
        <v>75.771413412981261</v>
      </c>
    </row>
    <row r="34" spans="17:49" x14ac:dyDescent="0.25">
      <c r="Q34">
        <v>27</v>
      </c>
      <c r="R34" s="73">
        <f t="shared" si="0"/>
        <v>50</v>
      </c>
      <c r="S34" s="71">
        <f t="shared" si="1"/>
        <v>0.80999999999999994</v>
      </c>
      <c r="T34" s="71">
        <f t="shared" si="2"/>
        <v>3</v>
      </c>
      <c r="U34" s="74">
        <f t="shared" si="3"/>
        <v>13.5</v>
      </c>
      <c r="V34" s="73">
        <f>IF(Variable_Management!$B$20=3,2,IF((S34*R34/T34)&lt;((T34*(1-(T34/R34)))/(2*Lm*Fsw)),1,2))</f>
        <v>2</v>
      </c>
      <c r="W34" s="71">
        <f t="shared" si="13"/>
        <v>0.94</v>
      </c>
      <c r="X34" s="74">
        <f t="shared" si="4"/>
        <v>6.0000000000000053E-2</v>
      </c>
      <c r="Y34" s="73">
        <f t="shared" si="5"/>
        <v>0.64090909090909098</v>
      </c>
      <c r="Z34" s="71">
        <f t="shared" si="30"/>
        <v>13.820454545454545</v>
      </c>
      <c r="AA34" s="71">
        <f t="shared" si="31"/>
        <v>13.501267732028012</v>
      </c>
      <c r="AB34" s="71">
        <v>0</v>
      </c>
      <c r="AC34" s="71">
        <f t="shared" si="6"/>
        <v>1.3671317277892561</v>
      </c>
      <c r="AD34" s="74">
        <f t="shared" si="16"/>
        <v>1.3671317277892561</v>
      </c>
      <c r="AE34" s="73">
        <f t="shared" si="29"/>
        <v>12.69</v>
      </c>
      <c r="AF34" s="71">
        <f t="shared" si="17"/>
        <v>13.089964726827446</v>
      </c>
      <c r="AG34" s="71">
        <f t="shared" si="7"/>
        <v>6.374114967644628</v>
      </c>
      <c r="AH34" s="71">
        <f t="shared" si="18"/>
        <v>2.8173194614443084</v>
      </c>
      <c r="AI34" s="74">
        <f t="shared" si="19"/>
        <v>9.191434429088936</v>
      </c>
      <c r="AJ34" s="73">
        <f t="shared" si="20"/>
        <v>0.81000000000000072</v>
      </c>
      <c r="AK34" s="71">
        <f t="shared" si="21"/>
        <v>3.3071216824172129</v>
      </c>
      <c r="AL34" s="71">
        <f t="shared" si="8"/>
        <v>9.6246073636363713E-2</v>
      </c>
      <c r="AM34" s="71">
        <f t="shared" si="22"/>
        <v>0.73761600000000005</v>
      </c>
      <c r="AN34" s="188">
        <f t="shared" si="23"/>
        <v>9.7296000000000007E-2</v>
      </c>
      <c r="AO34" s="74">
        <f t="shared" si="24"/>
        <v>0.93115807363636383</v>
      </c>
      <c r="AP34" s="73">
        <f t="shared" si="25"/>
        <v>0.36456846074380161</v>
      </c>
      <c r="AQ34" s="206">
        <f t="shared" si="9"/>
        <v>1.3671317277892561</v>
      </c>
      <c r="AR34" s="206">
        <f t="shared" si="10"/>
        <v>8.6013784318131857E-3</v>
      </c>
      <c r="AS34" s="71">
        <f t="shared" si="11"/>
        <v>4.3999999999999997E-2</v>
      </c>
      <c r="AT34" s="74">
        <f t="shared" si="12"/>
        <v>9.9000000000000001E-6</v>
      </c>
      <c r="AU34" s="73">
        <f t="shared" si="26"/>
        <v>13.274035697479427</v>
      </c>
      <c r="AV34" s="71">
        <f t="shared" si="27"/>
        <v>40.5</v>
      </c>
      <c r="AW34" s="74">
        <f t="shared" si="28"/>
        <v>75.315158095709705</v>
      </c>
    </row>
    <row r="35" spans="17:49" x14ac:dyDescent="0.25">
      <c r="Q35">
        <v>28</v>
      </c>
      <c r="R35" s="73">
        <f t="shared" si="0"/>
        <v>50</v>
      </c>
      <c r="S35" s="71">
        <f t="shared" si="1"/>
        <v>0.84</v>
      </c>
      <c r="T35" s="71">
        <f t="shared" si="2"/>
        <v>3</v>
      </c>
      <c r="U35" s="74">
        <f t="shared" si="3"/>
        <v>14</v>
      </c>
      <c r="V35" s="73">
        <f>IF(Variable_Management!$B$20=3,2,IF((S35*R35/T35)&lt;((T35*(1-(T35/R35)))/(2*Lm*Fsw)),1,2))</f>
        <v>2</v>
      </c>
      <c r="W35" s="71">
        <f t="shared" si="13"/>
        <v>0.94</v>
      </c>
      <c r="X35" s="74">
        <f t="shared" si="4"/>
        <v>6.0000000000000053E-2</v>
      </c>
      <c r="Y35" s="73">
        <f t="shared" si="5"/>
        <v>0.64090909090909098</v>
      </c>
      <c r="Z35" s="71">
        <f t="shared" si="30"/>
        <v>14.320454545454545</v>
      </c>
      <c r="AA35" s="71">
        <f t="shared" si="31"/>
        <v>14.00122245991045</v>
      </c>
      <c r="AB35" s="71">
        <v>0</v>
      </c>
      <c r="AC35" s="71">
        <f t="shared" si="6"/>
        <v>1.4702567277892562</v>
      </c>
      <c r="AD35" s="74">
        <f t="shared" si="16"/>
        <v>1.4702567277892562</v>
      </c>
      <c r="AE35" s="73">
        <f t="shared" si="29"/>
        <v>13.16</v>
      </c>
      <c r="AF35" s="71">
        <f t="shared" si="17"/>
        <v>13.574688819622597</v>
      </c>
      <c r="AG35" s="71">
        <f t="shared" si="7"/>
        <v>6.854924967644628</v>
      </c>
      <c r="AH35" s="71">
        <f t="shared" si="18"/>
        <v>2.9216646266829867</v>
      </c>
      <c r="AI35" s="74">
        <f t="shared" si="19"/>
        <v>9.7765895943276142</v>
      </c>
      <c r="AJ35" s="73">
        <f t="shared" si="20"/>
        <v>0.84000000000000075</v>
      </c>
      <c r="AK35" s="71">
        <f t="shared" si="21"/>
        <v>3.4295850801976115</v>
      </c>
      <c r="AL35" s="71">
        <f t="shared" si="8"/>
        <v>0.10350607363636372</v>
      </c>
      <c r="AM35" s="71">
        <f t="shared" si="22"/>
        <v>0.73761600000000005</v>
      </c>
      <c r="AN35" s="188">
        <f t="shared" si="23"/>
        <v>0.100816</v>
      </c>
      <c r="AO35" s="74">
        <f t="shared" si="24"/>
        <v>0.94193807363636384</v>
      </c>
      <c r="AP35" s="73">
        <f t="shared" si="25"/>
        <v>0.39206846074380169</v>
      </c>
      <c r="AQ35" s="206">
        <f t="shared" si="9"/>
        <v>1.4702567277892562</v>
      </c>
      <c r="AR35" s="206">
        <f t="shared" si="10"/>
        <v>8.6013784318131857E-3</v>
      </c>
      <c r="AS35" s="71">
        <f t="shared" si="11"/>
        <v>4.3999999999999997E-2</v>
      </c>
      <c r="AT35" s="74">
        <f t="shared" si="12"/>
        <v>9.9000000000000001E-6</v>
      </c>
      <c r="AU35" s="73">
        <f t="shared" si="26"/>
        <v>14.103720862718104</v>
      </c>
      <c r="AV35" s="71">
        <f t="shared" si="27"/>
        <v>42</v>
      </c>
      <c r="AW35" s="74">
        <f t="shared" si="28"/>
        <v>74.861344941400716</v>
      </c>
    </row>
    <row r="36" spans="17:49" x14ac:dyDescent="0.25">
      <c r="Q36">
        <v>29</v>
      </c>
      <c r="R36" s="73">
        <f t="shared" si="0"/>
        <v>50</v>
      </c>
      <c r="S36" s="71">
        <f t="shared" si="1"/>
        <v>0.87</v>
      </c>
      <c r="T36" s="71">
        <f t="shared" si="2"/>
        <v>3</v>
      </c>
      <c r="U36" s="74">
        <f t="shared" si="3"/>
        <v>14.5</v>
      </c>
      <c r="V36" s="73">
        <f>IF(Variable_Management!$B$20=3,2,IF((S36*R36/T36)&lt;((T36*(1-(T36/R36)))/(2*Lm*Fsw)),1,2))</f>
        <v>2</v>
      </c>
      <c r="W36" s="71">
        <f t="shared" si="13"/>
        <v>0.94</v>
      </c>
      <c r="X36" s="74">
        <f t="shared" si="4"/>
        <v>6.0000000000000053E-2</v>
      </c>
      <c r="Y36" s="73">
        <f t="shared" si="5"/>
        <v>0.64090909090909098</v>
      </c>
      <c r="Z36" s="71">
        <f t="shared" si="30"/>
        <v>14.820454545454545</v>
      </c>
      <c r="AA36" s="71">
        <f t="shared" si="31"/>
        <v>14.50118030961276</v>
      </c>
      <c r="AB36" s="71">
        <v>0</v>
      </c>
      <c r="AC36" s="71">
        <f t="shared" si="6"/>
        <v>1.5771317277892563</v>
      </c>
      <c r="AD36" s="74">
        <f t="shared" si="16"/>
        <v>1.5771317277892563</v>
      </c>
      <c r="AE36" s="73">
        <f t="shared" si="29"/>
        <v>13.629999999999999</v>
      </c>
      <c r="AF36" s="71">
        <f t="shared" si="17"/>
        <v>14.059415939134412</v>
      </c>
      <c r="AG36" s="71">
        <f t="shared" si="7"/>
        <v>7.3532189676446285</v>
      </c>
      <c r="AH36" s="71">
        <f t="shared" si="18"/>
        <v>3.0260097919216649</v>
      </c>
      <c r="AI36" s="74">
        <f t="shared" si="19"/>
        <v>10.379228759566294</v>
      </c>
      <c r="AJ36" s="73">
        <f t="shared" si="20"/>
        <v>0.87000000000000077</v>
      </c>
      <c r="AK36" s="71">
        <f t="shared" si="21"/>
        <v>3.5520492426645864</v>
      </c>
      <c r="AL36" s="71">
        <f t="shared" si="8"/>
        <v>0.11103007363636376</v>
      </c>
      <c r="AM36" s="71">
        <f t="shared" si="22"/>
        <v>0.73761600000000005</v>
      </c>
      <c r="AN36" s="188">
        <f t="shared" si="23"/>
        <v>0.104336</v>
      </c>
      <c r="AO36" s="74">
        <f t="shared" si="24"/>
        <v>0.95298207363636378</v>
      </c>
      <c r="AP36" s="73">
        <f t="shared" si="25"/>
        <v>0.42056846074380166</v>
      </c>
      <c r="AQ36" s="206">
        <f t="shared" si="9"/>
        <v>1.5771317277892563</v>
      </c>
      <c r="AR36" s="206">
        <f t="shared" si="10"/>
        <v>8.6013784318131857E-3</v>
      </c>
      <c r="AS36" s="71">
        <f t="shared" si="11"/>
        <v>4.3999999999999997E-2</v>
      </c>
      <c r="AT36" s="74">
        <f t="shared" si="12"/>
        <v>9.9000000000000001E-6</v>
      </c>
      <c r="AU36" s="73">
        <f t="shared" si="26"/>
        <v>14.959654027956784</v>
      </c>
      <c r="AV36" s="71">
        <f t="shared" si="27"/>
        <v>43.5</v>
      </c>
      <c r="AW36" s="74">
        <f t="shared" si="28"/>
        <v>74.410293258316713</v>
      </c>
    </row>
    <row r="37" spans="17:49" x14ac:dyDescent="0.25">
      <c r="Q37">
        <v>30</v>
      </c>
      <c r="R37" s="73">
        <f t="shared" si="0"/>
        <v>50</v>
      </c>
      <c r="S37" s="71">
        <f t="shared" si="1"/>
        <v>0.89999999999999991</v>
      </c>
      <c r="T37" s="71">
        <f t="shared" si="2"/>
        <v>3</v>
      </c>
      <c r="U37" s="74">
        <f t="shared" si="3"/>
        <v>14.999999999999998</v>
      </c>
      <c r="V37" s="73">
        <f>IF(Variable_Management!$B$20=3,2,IF((S37*R37/T37)&lt;((T37*(1-(T37/R37)))/(2*Lm*Fsw)),1,2))</f>
        <v>2</v>
      </c>
      <c r="W37" s="71">
        <f t="shared" si="13"/>
        <v>0.94</v>
      </c>
      <c r="X37" s="74">
        <f t="shared" si="4"/>
        <v>6.0000000000000053E-2</v>
      </c>
      <c r="Y37" s="73">
        <f t="shared" si="5"/>
        <v>0.64090909090909098</v>
      </c>
      <c r="Z37" s="71">
        <f t="shared" si="30"/>
        <v>15.320454545454544</v>
      </c>
      <c r="AA37" s="71">
        <f t="shared" si="31"/>
        <v>15.001140969003018</v>
      </c>
      <c r="AB37" s="71">
        <v>0</v>
      </c>
      <c r="AC37" s="71">
        <f t="shared" si="6"/>
        <v>1.687756727789256</v>
      </c>
      <c r="AD37" s="74">
        <f t="shared" si="16"/>
        <v>1.687756727789256</v>
      </c>
      <c r="AE37" s="73">
        <f t="shared" si="29"/>
        <v>14.099999999999998</v>
      </c>
      <c r="AF37" s="71">
        <f t="shared" si="17"/>
        <v>14.54414578273976</v>
      </c>
      <c r="AG37" s="71">
        <f t="shared" si="7"/>
        <v>7.8689969676446267</v>
      </c>
      <c r="AH37" s="71">
        <f t="shared" si="18"/>
        <v>3.1303549571603422</v>
      </c>
      <c r="AI37" s="74">
        <f t="shared" si="19"/>
        <v>10.999351924804969</v>
      </c>
      <c r="AJ37" s="73">
        <f t="shared" si="20"/>
        <v>0.90000000000000069</v>
      </c>
      <c r="AK37" s="71">
        <f t="shared" si="21"/>
        <v>3.6745140933617413</v>
      </c>
      <c r="AL37" s="71">
        <f t="shared" si="8"/>
        <v>0.11881807363636372</v>
      </c>
      <c r="AM37" s="71">
        <f t="shared" si="22"/>
        <v>0.73761600000000005</v>
      </c>
      <c r="AN37" s="188">
        <f t="shared" si="23"/>
        <v>0.10785599999999999</v>
      </c>
      <c r="AO37" s="74">
        <f t="shared" si="24"/>
        <v>0.96429007363636376</v>
      </c>
      <c r="AP37" s="73">
        <f t="shared" si="25"/>
        <v>0.45006846074380163</v>
      </c>
      <c r="AQ37" s="206">
        <f t="shared" si="9"/>
        <v>1.687756727789256</v>
      </c>
      <c r="AR37" s="206">
        <f t="shared" si="10"/>
        <v>8.6013784318131857E-3</v>
      </c>
      <c r="AS37" s="71">
        <f t="shared" si="11"/>
        <v>4.3999999999999997E-2</v>
      </c>
      <c r="AT37" s="74">
        <f t="shared" si="12"/>
        <v>9.9000000000000001E-6</v>
      </c>
      <c r="AU37" s="73">
        <f t="shared" si="26"/>
        <v>15.841835193195461</v>
      </c>
      <c r="AV37" s="71">
        <f t="shared" si="27"/>
        <v>44.999999999999993</v>
      </c>
      <c r="AW37" s="74">
        <f t="shared" si="28"/>
        <v>73.962266024863084</v>
      </c>
    </row>
    <row r="38" spans="17:49" x14ac:dyDescent="0.25">
      <c r="Q38">
        <v>31</v>
      </c>
      <c r="R38" s="73">
        <f t="shared" si="0"/>
        <v>50</v>
      </c>
      <c r="S38" s="71">
        <f t="shared" si="1"/>
        <v>0.92999999999999994</v>
      </c>
      <c r="T38" s="71">
        <f t="shared" si="2"/>
        <v>3</v>
      </c>
      <c r="U38" s="74">
        <f t="shared" si="3"/>
        <v>15.5</v>
      </c>
      <c r="V38" s="73">
        <f>IF(Variable_Management!$B$20=3,2,IF((S38*R38/T38)&lt;((T38*(1-(T38/R38)))/(2*Lm*Fsw)),1,2))</f>
        <v>2</v>
      </c>
      <c r="W38" s="71">
        <f t="shared" si="13"/>
        <v>0.94</v>
      </c>
      <c r="X38" s="74">
        <f t="shared" si="4"/>
        <v>6.0000000000000053E-2</v>
      </c>
      <c r="Y38" s="73">
        <f t="shared" si="5"/>
        <v>0.64090909090909098</v>
      </c>
      <c r="Z38" s="71">
        <f t="shared" si="30"/>
        <v>15.820454545454545</v>
      </c>
      <c r="AA38" s="71">
        <f t="shared" si="31"/>
        <v>15.501104166216702</v>
      </c>
      <c r="AB38" s="71">
        <v>0</v>
      </c>
      <c r="AC38" s="71">
        <f t="shared" si="6"/>
        <v>1.8021317277892559</v>
      </c>
      <c r="AD38" s="74">
        <f t="shared" si="16"/>
        <v>1.8021317277892559</v>
      </c>
      <c r="AE38" s="73">
        <f t="shared" si="29"/>
        <v>14.569999999999999</v>
      </c>
      <c r="AF38" s="71">
        <f t="shared" si="17"/>
        <v>15.028878086856208</v>
      </c>
      <c r="AG38" s="71">
        <f t="shared" si="7"/>
        <v>8.4022589676446273</v>
      </c>
      <c r="AH38" s="71">
        <f t="shared" si="18"/>
        <v>3.2347001223990208</v>
      </c>
      <c r="AI38" s="74">
        <f t="shared" si="19"/>
        <v>11.636959090043648</v>
      </c>
      <c r="AJ38" s="73">
        <f t="shared" si="20"/>
        <v>0.93000000000000083</v>
      </c>
      <c r="AK38" s="71">
        <f t="shared" si="21"/>
        <v>3.7969795656961418</v>
      </c>
      <c r="AL38" s="71">
        <f t="shared" si="8"/>
        <v>0.12687007363636374</v>
      </c>
      <c r="AM38" s="71">
        <f t="shared" si="22"/>
        <v>0.73761600000000005</v>
      </c>
      <c r="AN38" s="188">
        <f t="shared" si="23"/>
        <v>0.111376</v>
      </c>
      <c r="AO38" s="74">
        <f t="shared" si="24"/>
        <v>0.97586207363636379</v>
      </c>
      <c r="AP38" s="73">
        <f t="shared" si="25"/>
        <v>0.48056846074380161</v>
      </c>
      <c r="AQ38" s="206">
        <f t="shared" si="9"/>
        <v>1.8021317277892559</v>
      </c>
      <c r="AR38" s="206">
        <f t="shared" si="10"/>
        <v>8.6013784318131857E-3</v>
      </c>
      <c r="AS38" s="71">
        <f t="shared" si="11"/>
        <v>4.3999999999999997E-2</v>
      </c>
      <c r="AT38" s="74">
        <f t="shared" si="12"/>
        <v>9.9000000000000001E-6</v>
      </c>
      <c r="AU38" s="73">
        <f t="shared" si="26"/>
        <v>16.750264358434141</v>
      </c>
      <c r="AV38" s="71">
        <f t="shared" si="27"/>
        <v>46.5</v>
      </c>
      <c r="AW38" s="74">
        <f t="shared" si="28"/>
        <v>73.517479289079731</v>
      </c>
    </row>
    <row r="39" spans="17:49" x14ac:dyDescent="0.25">
      <c r="Q39">
        <v>32</v>
      </c>
      <c r="R39" s="73">
        <f t="shared" si="0"/>
        <v>50</v>
      </c>
      <c r="S39" s="71">
        <f t="shared" ref="S39:S70" si="32">Q39*$O$12</f>
        <v>0.96</v>
      </c>
      <c r="T39" s="71">
        <f t="shared" si="2"/>
        <v>3</v>
      </c>
      <c r="U39" s="74">
        <f t="shared" ref="U39:U70" si="33">(R39*S39)/(T39*EFF_est)</f>
        <v>16</v>
      </c>
      <c r="V39" s="73">
        <f>IF(Variable_Management!$B$20=3,2,IF((S39*R39/T39)&lt;((T39*(1-(T39/R39)))/(2*Lm*Fsw)),1,2))</f>
        <v>2</v>
      </c>
      <c r="W39" s="71">
        <f t="shared" ref="W39:W70" si="34">CHOOSE(V39,SQRT((2*S39*Lm*Fsw*(R39-T39))/((T39)^2)),1-(T39/R39))</f>
        <v>0.94</v>
      </c>
      <c r="X39" s="74">
        <f t="shared" ref="X39:X70" si="35">CHOOSE(V39,(Lm*Z39*Fsw)/(R39-T39),1-W39)</f>
        <v>6.0000000000000053E-2</v>
      </c>
      <c r="Y39" s="73">
        <f t="shared" ref="Y39:Y70" si="36">(T39*W39)/(Lm*Fsw)</f>
        <v>0.64090909090909098</v>
      </c>
      <c r="Z39" s="71">
        <f t="shared" si="30"/>
        <v>16.320454545454545</v>
      </c>
      <c r="AA39" s="71">
        <f t="shared" si="31"/>
        <v>16.001069663366284</v>
      </c>
      <c r="AB39" s="71">
        <v>0</v>
      </c>
      <c r="AC39" s="71">
        <f t="shared" ref="AC39:AC70" si="37">(AA39^2)*Rdcr</f>
        <v>1.9202567277892557</v>
      </c>
      <c r="AD39" s="74">
        <f t="shared" si="16"/>
        <v>1.9202567277892557</v>
      </c>
      <c r="AE39" s="73">
        <f t="shared" si="29"/>
        <v>15.04</v>
      </c>
      <c r="AF39" s="71">
        <f t="shared" si="17"/>
        <v>15.513612620843245</v>
      </c>
      <c r="AG39" s="71">
        <f t="shared" ref="AG39:AG70" si="38">(AF39^2)*RDS_on</f>
        <v>8.9530049676446311</v>
      </c>
      <c r="AH39" s="71">
        <f t="shared" ref="AH39:AH70" si="39">((R39*U39)/2)*Fsw*(tr_sw+tf_sw)</f>
        <v>3.339045287637699</v>
      </c>
      <c r="AI39" s="74">
        <f t="shared" si="19"/>
        <v>12.29205025528233</v>
      </c>
      <c r="AJ39" s="73">
        <f t="shared" si="20"/>
        <v>0.96000000000000085</v>
      </c>
      <c r="AK39" s="71">
        <f t="shared" ref="AK39:AK70" si="40">CHOOSE(V39,Z39*SQRT(X39/3),SQRT(X39*((Z39^2)+((Y39^2)/3)-(Y39*Z39))))</f>
        <v>3.9194456013974817</v>
      </c>
      <c r="AL39" s="71">
        <f t="shared" ref="AL39:AL70" si="41">(AK39^2)*RDS_on_HS</f>
        <v>0.13518607363636378</v>
      </c>
      <c r="AM39" s="71">
        <f t="shared" si="22"/>
        <v>0.73761600000000005</v>
      </c>
      <c r="AN39" s="188">
        <f t="shared" ref="AN39:AN70" si="42">Vd_rect*t_dead*Fsw*Z39</f>
        <v>0.114896</v>
      </c>
      <c r="AO39" s="74">
        <f t="shared" si="24"/>
        <v>0.98769807363636386</v>
      </c>
      <c r="AP39" s="73">
        <f t="shared" ref="AP39:AP70" si="43">(AA39^2)*R_cs</f>
        <v>0.51206846074380152</v>
      </c>
      <c r="AQ39" s="206">
        <f t="shared" ref="AQ39:AQ70" si="44">Rdcr*AA39^2</f>
        <v>1.9202567277892557</v>
      </c>
      <c r="AR39" s="206">
        <f t="shared" ref="AR39:AR70" si="45">ABS(7.759*10^-3*Fsw^0.9458*(0.00787*Y39)^2.304)</f>
        <v>8.6013784318131857E-3</v>
      </c>
      <c r="AS39" s="71">
        <f t="shared" ref="AS39:AS70" si="46">(Qg_tot+Qg_tot_HS)*Vcc*Fsw</f>
        <v>4.3999999999999997E-2</v>
      </c>
      <c r="AT39" s="74">
        <f t="shared" ref="AT39:AT70" si="47">IQ*T39</f>
        <v>9.9000000000000001E-6</v>
      </c>
      <c r="AU39" s="73">
        <f t="shared" si="26"/>
        <v>17.684941523672823</v>
      </c>
      <c r="AV39" s="71">
        <f t="shared" si="27"/>
        <v>48</v>
      </c>
      <c r="AW39" s="74">
        <f t="shared" si="28"/>
        <v>73.076109815368909</v>
      </c>
    </row>
    <row r="40" spans="17:49" x14ac:dyDescent="0.25">
      <c r="Q40">
        <v>33</v>
      </c>
      <c r="R40" s="73">
        <f t="shared" si="0"/>
        <v>50</v>
      </c>
      <c r="S40" s="71">
        <f t="shared" si="32"/>
        <v>0.99</v>
      </c>
      <c r="T40" s="71">
        <f t="shared" si="2"/>
        <v>3</v>
      </c>
      <c r="U40" s="74">
        <f t="shared" si="33"/>
        <v>16.5</v>
      </c>
      <c r="V40" s="73">
        <f>IF(Variable_Management!$B$20=3,2,IF((S40*R40/T40)&lt;((T40*(1-(T40/R40)))/(2*Lm*Fsw)),1,2))</f>
        <v>2</v>
      </c>
      <c r="W40" s="71">
        <f t="shared" si="34"/>
        <v>0.94</v>
      </c>
      <c r="X40" s="74">
        <f t="shared" si="35"/>
        <v>6.0000000000000053E-2</v>
      </c>
      <c r="Y40" s="73">
        <f t="shared" si="36"/>
        <v>0.64090909090909098</v>
      </c>
      <c r="Z40" s="71">
        <f t="shared" si="30"/>
        <v>16.820454545454545</v>
      </c>
      <c r="AA40" s="71">
        <f t="shared" si="31"/>
        <v>16.501037251394255</v>
      </c>
      <c r="AB40" s="71">
        <v>0</v>
      </c>
      <c r="AC40" s="71">
        <f t="shared" si="37"/>
        <v>2.0421317277892568</v>
      </c>
      <c r="AD40" s="74">
        <f t="shared" si="16"/>
        <v>2.0421317277892568</v>
      </c>
      <c r="AE40" s="73">
        <f t="shared" si="29"/>
        <v>15.51</v>
      </c>
      <c r="AF40" s="71">
        <f t="shared" si="17"/>
        <v>15.998349182012086</v>
      </c>
      <c r="AG40" s="71">
        <f t="shared" si="38"/>
        <v>9.5212349676446291</v>
      </c>
      <c r="AH40" s="71">
        <f t="shared" si="39"/>
        <v>3.4433904528763772</v>
      </c>
      <c r="AI40" s="74">
        <f t="shared" si="19"/>
        <v>12.964625420521006</v>
      </c>
      <c r="AJ40" s="73">
        <f t="shared" si="20"/>
        <v>0.99000000000000088</v>
      </c>
      <c r="AK40" s="71">
        <f t="shared" si="40"/>
        <v>4.0419121492573371</v>
      </c>
      <c r="AL40" s="71">
        <f t="shared" si="41"/>
        <v>0.14376607363636379</v>
      </c>
      <c r="AM40" s="71">
        <f t="shared" ref="AM40:AM71" si="48">CHOOSE(V40,(R40+Vd_rect)*Qrr*Fsw,(R40+Vd_rect)*Qrr*Fsw)</f>
        <v>0.73761600000000005</v>
      </c>
      <c r="AN40" s="188">
        <f t="shared" si="42"/>
        <v>0.11841600000000001</v>
      </c>
      <c r="AO40" s="74">
        <f t="shared" si="24"/>
        <v>0.99979807363636375</v>
      </c>
      <c r="AP40" s="73">
        <f t="shared" si="43"/>
        <v>0.54456846074380183</v>
      </c>
      <c r="AQ40" s="206">
        <f t="shared" si="44"/>
        <v>2.0421317277892568</v>
      </c>
      <c r="AR40" s="206">
        <f t="shared" si="45"/>
        <v>8.6013784318131857E-3</v>
      </c>
      <c r="AS40" s="71">
        <f t="shared" si="46"/>
        <v>4.3999999999999997E-2</v>
      </c>
      <c r="AT40" s="74">
        <f t="shared" si="47"/>
        <v>9.9000000000000001E-6</v>
      </c>
      <c r="AU40" s="73">
        <f t="shared" si="26"/>
        <v>18.645866688911497</v>
      </c>
      <c r="AV40" s="71">
        <f t="shared" si="27"/>
        <v>49.5</v>
      </c>
      <c r="AW40" s="74">
        <f t="shared" si="28"/>
        <v>72.638301345508467</v>
      </c>
    </row>
    <row r="41" spans="17:49" x14ac:dyDescent="0.25">
      <c r="Q41">
        <v>34</v>
      </c>
      <c r="R41" s="73">
        <f t="shared" si="0"/>
        <v>50</v>
      </c>
      <c r="S41" s="71">
        <f t="shared" si="32"/>
        <v>1.02</v>
      </c>
      <c r="T41" s="71">
        <f t="shared" si="2"/>
        <v>3</v>
      </c>
      <c r="U41" s="74">
        <f t="shared" si="33"/>
        <v>17</v>
      </c>
      <c r="V41" s="73">
        <f>IF(Variable_Management!$B$20=3,2,IF((S41*R41/T41)&lt;((T41*(1-(T41/R41)))/(2*Lm*Fsw)),1,2))</f>
        <v>2</v>
      </c>
      <c r="W41" s="71">
        <f t="shared" si="34"/>
        <v>0.94</v>
      </c>
      <c r="X41" s="74">
        <f t="shared" si="35"/>
        <v>6.0000000000000053E-2</v>
      </c>
      <c r="Y41" s="73">
        <f t="shared" si="36"/>
        <v>0.64090909090909098</v>
      </c>
      <c r="Z41" s="71">
        <f t="shared" si="30"/>
        <v>17.320454545454545</v>
      </c>
      <c r="AA41" s="71">
        <f t="shared" si="31"/>
        <v>17.001006745834225</v>
      </c>
      <c r="AB41" s="71">
        <v>0</v>
      </c>
      <c r="AC41" s="71">
        <f t="shared" si="37"/>
        <v>2.1677567277892562</v>
      </c>
      <c r="AD41" s="74">
        <f t="shared" si="16"/>
        <v>2.1677567277892562</v>
      </c>
      <c r="AE41" s="73">
        <f t="shared" si="29"/>
        <v>15.979999999999999</v>
      </c>
      <c r="AF41" s="71">
        <f t="shared" si="17"/>
        <v>16.48308759151594</v>
      </c>
      <c r="AG41" s="71">
        <f t="shared" si="38"/>
        <v>10.106948967644628</v>
      </c>
      <c r="AH41" s="71">
        <f t="shared" si="39"/>
        <v>3.5477356181150554</v>
      </c>
      <c r="AI41" s="74">
        <f t="shared" si="19"/>
        <v>13.654684585759684</v>
      </c>
      <c r="AJ41" s="73">
        <f t="shared" si="20"/>
        <v>1.0200000000000009</v>
      </c>
      <c r="AK41" s="71">
        <f t="shared" si="40"/>
        <v>4.1643791640908567</v>
      </c>
      <c r="AL41" s="71">
        <f t="shared" si="41"/>
        <v>0.15261007363636378</v>
      </c>
      <c r="AM41" s="71">
        <f t="shared" si="48"/>
        <v>0.73761600000000005</v>
      </c>
      <c r="AN41" s="188">
        <f t="shared" si="42"/>
        <v>0.121936</v>
      </c>
      <c r="AO41" s="74">
        <f t="shared" si="24"/>
        <v>1.0121620736363639</v>
      </c>
      <c r="AP41" s="73">
        <f t="shared" si="43"/>
        <v>0.57806846074380169</v>
      </c>
      <c r="AQ41" s="206">
        <f t="shared" si="44"/>
        <v>2.1677567277892562</v>
      </c>
      <c r="AR41" s="206">
        <f t="shared" si="45"/>
        <v>8.6013784318131857E-3</v>
      </c>
      <c r="AS41" s="71">
        <f t="shared" si="46"/>
        <v>4.3999999999999997E-2</v>
      </c>
      <c r="AT41" s="74">
        <f t="shared" si="47"/>
        <v>9.9000000000000001E-6</v>
      </c>
      <c r="AU41" s="73">
        <f t="shared" si="26"/>
        <v>19.633039854150173</v>
      </c>
      <c r="AV41" s="71">
        <f t="shared" si="27"/>
        <v>51</v>
      </c>
      <c r="AW41" s="74">
        <f t="shared" si="28"/>
        <v>72.204169755839004</v>
      </c>
    </row>
    <row r="42" spans="17:49" x14ac:dyDescent="0.25">
      <c r="Q42">
        <v>35</v>
      </c>
      <c r="R42" s="73">
        <f t="shared" si="0"/>
        <v>50</v>
      </c>
      <c r="S42" s="71">
        <f t="shared" si="32"/>
        <v>1.05</v>
      </c>
      <c r="T42" s="71">
        <f t="shared" si="2"/>
        <v>3</v>
      </c>
      <c r="U42" s="74">
        <f t="shared" si="33"/>
        <v>17.5</v>
      </c>
      <c r="V42" s="73">
        <f>IF(Variable_Management!$B$20=3,2,IF((S42*R42/T42)&lt;((T42*(1-(T42/R42)))/(2*Lm*Fsw)),1,2))</f>
        <v>2</v>
      </c>
      <c r="W42" s="71">
        <f t="shared" si="34"/>
        <v>0.94</v>
      </c>
      <c r="X42" s="74">
        <f t="shared" si="35"/>
        <v>6.0000000000000053E-2</v>
      </c>
      <c r="Y42" s="73">
        <f t="shared" si="36"/>
        <v>0.64090909090909098</v>
      </c>
      <c r="Z42" s="71">
        <f t="shared" si="30"/>
        <v>17.820454545454545</v>
      </c>
      <c r="AA42" s="71">
        <f t="shared" si="31"/>
        <v>17.500977983298558</v>
      </c>
      <c r="AB42" s="71">
        <v>0</v>
      </c>
      <c r="AC42" s="71">
        <f t="shared" si="37"/>
        <v>2.2971317277892562</v>
      </c>
      <c r="AD42" s="74">
        <f t="shared" si="16"/>
        <v>2.2971317277892562</v>
      </c>
      <c r="AE42" s="73">
        <f t="shared" si="29"/>
        <v>16.45</v>
      </c>
      <c r="AF42" s="71">
        <f t="shared" si="17"/>
        <v>16.967827690944613</v>
      </c>
      <c r="AG42" s="71">
        <f t="shared" si="38"/>
        <v>10.710146967644629</v>
      </c>
      <c r="AH42" s="71">
        <f t="shared" si="39"/>
        <v>3.6520807833537332</v>
      </c>
      <c r="AI42" s="74">
        <f t="shared" si="19"/>
        <v>14.362227750998363</v>
      </c>
      <c r="AJ42" s="73">
        <f t="shared" si="20"/>
        <v>1.0500000000000009</v>
      </c>
      <c r="AK42" s="71">
        <f t="shared" si="40"/>
        <v>4.2868466058764065</v>
      </c>
      <c r="AL42" s="71">
        <f t="shared" si="41"/>
        <v>0.16171807363636381</v>
      </c>
      <c r="AM42" s="71">
        <f t="shared" si="48"/>
        <v>0.73761600000000005</v>
      </c>
      <c r="AN42" s="188">
        <f t="shared" si="42"/>
        <v>0.12545600000000001</v>
      </c>
      <c r="AO42" s="74">
        <f t="shared" si="24"/>
        <v>1.024790073636364</v>
      </c>
      <c r="AP42" s="73">
        <f t="shared" si="43"/>
        <v>0.61256846074380167</v>
      </c>
      <c r="AQ42" s="206">
        <f t="shared" si="44"/>
        <v>2.2971317277892562</v>
      </c>
      <c r="AR42" s="206">
        <f t="shared" si="45"/>
        <v>8.6013784318131857E-3</v>
      </c>
      <c r="AS42" s="71">
        <f t="shared" si="46"/>
        <v>4.3999999999999997E-2</v>
      </c>
      <c r="AT42" s="74">
        <f t="shared" si="47"/>
        <v>9.9000000000000001E-6</v>
      </c>
      <c r="AU42" s="73">
        <f t="shared" si="26"/>
        <v>20.646461019388852</v>
      </c>
      <c r="AV42" s="71">
        <f t="shared" si="27"/>
        <v>52.5</v>
      </c>
      <c r="AW42" s="74">
        <f t="shared" si="28"/>
        <v>71.773807328947711</v>
      </c>
    </row>
    <row r="43" spans="17:49" x14ac:dyDescent="0.25">
      <c r="Q43">
        <v>36</v>
      </c>
      <c r="R43" s="73">
        <f t="shared" si="0"/>
        <v>50</v>
      </c>
      <c r="S43" s="71">
        <f t="shared" si="32"/>
        <v>1.08</v>
      </c>
      <c r="T43" s="71">
        <f t="shared" si="2"/>
        <v>3</v>
      </c>
      <c r="U43" s="74">
        <f t="shared" si="33"/>
        <v>18</v>
      </c>
      <c r="V43" s="73">
        <f>IF(Variable_Management!$B$20=3,2,IF((S43*R43/T43)&lt;((T43*(1-(T43/R43)))/(2*Lm*Fsw)),1,2))</f>
        <v>2</v>
      </c>
      <c r="W43" s="71">
        <f t="shared" si="34"/>
        <v>0.94</v>
      </c>
      <c r="X43" s="74">
        <f t="shared" si="35"/>
        <v>6.0000000000000053E-2</v>
      </c>
      <c r="Y43" s="73">
        <f t="shared" si="36"/>
        <v>0.64090909090909098</v>
      </c>
      <c r="Z43" s="71">
        <f t="shared" si="30"/>
        <v>18.320454545454545</v>
      </c>
      <c r="AA43" s="71">
        <f t="shared" si="31"/>
        <v>18.000950818551246</v>
      </c>
      <c r="AB43" s="71">
        <v>0</v>
      </c>
      <c r="AC43" s="71">
        <f t="shared" si="37"/>
        <v>2.4302567277892559</v>
      </c>
      <c r="AD43" s="74">
        <f t="shared" si="16"/>
        <v>2.4302567277892559</v>
      </c>
      <c r="AE43" s="73">
        <f t="shared" si="29"/>
        <v>16.919999999999998</v>
      </c>
      <c r="AF43" s="71">
        <f t="shared" si="17"/>
        <v>17.452569339486573</v>
      </c>
      <c r="AG43" s="71">
        <f t="shared" si="38"/>
        <v>11.33082896764463</v>
      </c>
      <c r="AH43" s="71">
        <f t="shared" si="39"/>
        <v>3.7564259485924114</v>
      </c>
      <c r="AI43" s="74">
        <f t="shared" si="19"/>
        <v>15.087254916237042</v>
      </c>
      <c r="AJ43" s="73">
        <f t="shared" si="20"/>
        <v>1.080000000000001</v>
      </c>
      <c r="AK43" s="71">
        <f t="shared" si="40"/>
        <v>4.4093144390385755</v>
      </c>
      <c r="AL43" s="71">
        <f t="shared" si="41"/>
        <v>0.1710900736363638</v>
      </c>
      <c r="AM43" s="71">
        <f t="shared" si="48"/>
        <v>0.73761600000000005</v>
      </c>
      <c r="AN43" s="188">
        <f t="shared" si="42"/>
        <v>0.12897600000000001</v>
      </c>
      <c r="AO43" s="74">
        <f t="shared" si="24"/>
        <v>1.0376820736363639</v>
      </c>
      <c r="AP43" s="73">
        <f t="shared" si="43"/>
        <v>0.64806846074380153</v>
      </c>
      <c r="AQ43" s="206">
        <f t="shared" si="44"/>
        <v>2.4302567277892559</v>
      </c>
      <c r="AR43" s="206">
        <f t="shared" si="45"/>
        <v>8.6013784318131857E-3</v>
      </c>
      <c r="AS43" s="71">
        <f t="shared" si="46"/>
        <v>4.3999999999999997E-2</v>
      </c>
      <c r="AT43" s="74">
        <f t="shared" si="47"/>
        <v>9.9000000000000001E-6</v>
      </c>
      <c r="AU43" s="73">
        <f t="shared" si="26"/>
        <v>21.68613018462753</v>
      </c>
      <c r="AV43" s="71">
        <f t="shared" si="27"/>
        <v>54</v>
      </c>
      <c r="AW43" s="74">
        <f t="shared" si="28"/>
        <v>71.347286310283366</v>
      </c>
    </row>
    <row r="44" spans="17:49" x14ac:dyDescent="0.25">
      <c r="Q44">
        <v>37</v>
      </c>
      <c r="R44" s="73">
        <f t="shared" si="0"/>
        <v>50</v>
      </c>
      <c r="S44" s="71">
        <f t="shared" si="32"/>
        <v>1.1099999999999999</v>
      </c>
      <c r="T44" s="71">
        <f t="shared" si="2"/>
        <v>3</v>
      </c>
      <c r="U44" s="74">
        <f t="shared" si="33"/>
        <v>18.499999999999996</v>
      </c>
      <c r="V44" s="73">
        <f>IF(Variable_Management!$B$20=3,2,IF((S44*R44/T44)&lt;((T44*(1-(T44/R44)))/(2*Lm*Fsw)),1,2))</f>
        <v>2</v>
      </c>
      <c r="W44" s="71">
        <f t="shared" si="34"/>
        <v>0.94</v>
      </c>
      <c r="X44" s="74">
        <f t="shared" si="35"/>
        <v>6.0000000000000053E-2</v>
      </c>
      <c r="Y44" s="73">
        <f t="shared" si="36"/>
        <v>0.64090909090909098</v>
      </c>
      <c r="Z44" s="71">
        <f t="shared" si="30"/>
        <v>18.820454545454542</v>
      </c>
      <c r="AA44" s="71">
        <f t="shared" si="31"/>
        <v>18.500925122055403</v>
      </c>
      <c r="AB44" s="71">
        <v>0</v>
      </c>
      <c r="AC44" s="71">
        <f t="shared" si="37"/>
        <v>2.5671317277892554</v>
      </c>
      <c r="AD44" s="74">
        <f t="shared" si="16"/>
        <v>2.5671317277892554</v>
      </c>
      <c r="AE44" s="73">
        <f t="shared" si="29"/>
        <v>17.389999999999997</v>
      </c>
      <c r="AF44" s="71">
        <f t="shared" si="17"/>
        <v>17.93731241155114</v>
      </c>
      <c r="AG44" s="71">
        <f t="shared" si="38"/>
        <v>11.968994967644623</v>
      </c>
      <c r="AH44" s="71">
        <f t="shared" si="39"/>
        <v>3.8607711138310883</v>
      </c>
      <c r="AI44" s="74">
        <f t="shared" si="19"/>
        <v>15.829766081475711</v>
      </c>
      <c r="AJ44" s="73">
        <f t="shared" si="20"/>
        <v>1.1100000000000008</v>
      </c>
      <c r="AK44" s="71">
        <f t="shared" si="40"/>
        <v>4.5317826318474346</v>
      </c>
      <c r="AL44" s="71">
        <f t="shared" si="41"/>
        <v>0.18072607363636375</v>
      </c>
      <c r="AM44" s="71">
        <f t="shared" si="48"/>
        <v>0.73761600000000005</v>
      </c>
      <c r="AN44" s="188">
        <f t="shared" si="42"/>
        <v>0.13249599999999997</v>
      </c>
      <c r="AO44" s="74">
        <f t="shared" si="24"/>
        <v>1.0508380736363638</v>
      </c>
      <c r="AP44" s="73">
        <f t="shared" si="43"/>
        <v>0.6845684607438014</v>
      </c>
      <c r="AQ44" s="206">
        <f t="shared" si="44"/>
        <v>2.5671317277892554</v>
      </c>
      <c r="AR44" s="206">
        <f t="shared" si="45"/>
        <v>8.6013784318131857E-3</v>
      </c>
      <c r="AS44" s="71">
        <f t="shared" si="46"/>
        <v>4.3999999999999997E-2</v>
      </c>
      <c r="AT44" s="74">
        <f t="shared" si="47"/>
        <v>9.9000000000000001E-6</v>
      </c>
      <c r="AU44" s="73">
        <f t="shared" si="26"/>
        <v>22.752047349866199</v>
      </c>
      <c r="AV44" s="71">
        <f t="shared" si="27"/>
        <v>55.499999999999993</v>
      </c>
      <c r="AW44" s="74">
        <f t="shared" si="28"/>
        <v>70.924661883744179</v>
      </c>
    </row>
    <row r="45" spans="17:49" x14ac:dyDescent="0.25">
      <c r="Q45">
        <v>38</v>
      </c>
      <c r="R45" s="73">
        <f t="shared" si="0"/>
        <v>50</v>
      </c>
      <c r="S45" s="71">
        <f t="shared" si="32"/>
        <v>1.1399999999999999</v>
      </c>
      <c r="T45" s="71">
        <f t="shared" si="2"/>
        <v>3</v>
      </c>
      <c r="U45" s="74">
        <f t="shared" si="33"/>
        <v>18.999999999999996</v>
      </c>
      <c r="V45" s="73">
        <f>IF(Variable_Management!$B$20=3,2,IF((S45*R45/T45)&lt;((T45*(1-(T45/R45)))/(2*Lm*Fsw)),1,2))</f>
        <v>2</v>
      </c>
      <c r="W45" s="71">
        <f t="shared" si="34"/>
        <v>0.94</v>
      </c>
      <c r="X45" s="74">
        <f t="shared" si="35"/>
        <v>6.0000000000000053E-2</v>
      </c>
      <c r="Y45" s="73">
        <f t="shared" si="36"/>
        <v>0.64090909090909098</v>
      </c>
      <c r="Z45" s="71">
        <f t="shared" si="30"/>
        <v>19.320454545454542</v>
      </c>
      <c r="AA45" s="71">
        <f t="shared" si="31"/>
        <v>19.000900777907891</v>
      </c>
      <c r="AB45" s="71">
        <v>0</v>
      </c>
      <c r="AC45" s="71">
        <f t="shared" si="37"/>
        <v>2.7077567277892549</v>
      </c>
      <c r="AD45" s="74">
        <f t="shared" si="16"/>
        <v>2.7077567277892549</v>
      </c>
      <c r="AE45" s="73">
        <f t="shared" si="29"/>
        <v>17.859999999999996</v>
      </c>
      <c r="AF45" s="71">
        <f t="shared" si="17"/>
        <v>18.422056794766068</v>
      </c>
      <c r="AG45" s="71">
        <f t="shared" si="38"/>
        <v>12.624644967644624</v>
      </c>
      <c r="AH45" s="71">
        <f t="shared" si="39"/>
        <v>3.9651162790697665</v>
      </c>
      <c r="AI45" s="74">
        <f t="shared" si="19"/>
        <v>16.589761246714389</v>
      </c>
      <c r="AJ45" s="73">
        <f t="shared" si="20"/>
        <v>1.1400000000000008</v>
      </c>
      <c r="AK45" s="71">
        <f t="shared" si="40"/>
        <v>4.6542511559126307</v>
      </c>
      <c r="AL45" s="71">
        <f t="shared" si="41"/>
        <v>0.19062607363636375</v>
      </c>
      <c r="AM45" s="71">
        <f t="shared" si="48"/>
        <v>0.73761600000000005</v>
      </c>
      <c r="AN45" s="188">
        <f t="shared" si="42"/>
        <v>0.13601599999999997</v>
      </c>
      <c r="AO45" s="74">
        <f t="shared" si="24"/>
        <v>1.0642580736363638</v>
      </c>
      <c r="AP45" s="73">
        <f t="shared" si="43"/>
        <v>0.72206846074380138</v>
      </c>
      <c r="AQ45" s="206">
        <f t="shared" si="44"/>
        <v>2.7077567277892549</v>
      </c>
      <c r="AR45" s="206">
        <f t="shared" si="45"/>
        <v>8.6013784318131857E-3</v>
      </c>
      <c r="AS45" s="71">
        <f t="shared" si="46"/>
        <v>4.3999999999999997E-2</v>
      </c>
      <c r="AT45" s="74">
        <f t="shared" si="47"/>
        <v>9.9000000000000001E-6</v>
      </c>
      <c r="AU45" s="73">
        <f t="shared" si="26"/>
        <v>23.844212515104878</v>
      </c>
      <c r="AV45" s="71">
        <f t="shared" si="27"/>
        <v>56.999999999999993</v>
      </c>
      <c r="AW45" s="74">
        <f t="shared" si="28"/>
        <v>70.505974672398665</v>
      </c>
    </row>
    <row r="46" spans="17:49" x14ac:dyDescent="0.25">
      <c r="Q46">
        <v>39</v>
      </c>
      <c r="R46" s="73">
        <f t="shared" si="0"/>
        <v>50</v>
      </c>
      <c r="S46" s="71">
        <f t="shared" si="32"/>
        <v>1.17</v>
      </c>
      <c r="T46" s="71">
        <f t="shared" si="2"/>
        <v>3</v>
      </c>
      <c r="U46" s="74">
        <f t="shared" si="33"/>
        <v>19.5</v>
      </c>
      <c r="V46" s="73">
        <f>IF(Variable_Management!$B$20=3,2,IF((S46*R46/T46)&lt;((T46*(1-(T46/R46)))/(2*Lm*Fsw)),1,2))</f>
        <v>2</v>
      </c>
      <c r="W46" s="71">
        <f t="shared" si="34"/>
        <v>0.94</v>
      </c>
      <c r="X46" s="74">
        <f t="shared" si="35"/>
        <v>6.0000000000000053E-2</v>
      </c>
      <c r="Y46" s="73">
        <f t="shared" si="36"/>
        <v>0.64090909090909098</v>
      </c>
      <c r="Z46" s="71">
        <f t="shared" si="30"/>
        <v>19.820454545454545</v>
      </c>
      <c r="AA46" s="71">
        <f t="shared" si="31"/>
        <v>19.500877682091666</v>
      </c>
      <c r="AB46" s="71">
        <v>0</v>
      </c>
      <c r="AC46" s="71">
        <f t="shared" si="37"/>
        <v>2.8521317277892559</v>
      </c>
      <c r="AD46" s="74">
        <f t="shared" si="16"/>
        <v>2.8521317277892559</v>
      </c>
      <c r="AE46" s="73">
        <f t="shared" si="29"/>
        <v>18.329999999999998</v>
      </c>
      <c r="AF46" s="71">
        <f t="shared" si="17"/>
        <v>18.906802388283083</v>
      </c>
      <c r="AG46" s="71">
        <f t="shared" si="38"/>
        <v>13.297778967644634</v>
      </c>
      <c r="AH46" s="71">
        <f t="shared" si="39"/>
        <v>4.0694614443084456</v>
      </c>
      <c r="AI46" s="74">
        <f t="shared" si="19"/>
        <v>17.36724041195308</v>
      </c>
      <c r="AJ46" s="73">
        <f t="shared" si="20"/>
        <v>1.170000000000001</v>
      </c>
      <c r="AK46" s="71">
        <f t="shared" si="40"/>
        <v>4.776719985755296</v>
      </c>
      <c r="AL46" s="71">
        <f t="shared" si="41"/>
        <v>0.20079007363636389</v>
      </c>
      <c r="AM46" s="71">
        <f t="shared" si="48"/>
        <v>0.73761600000000005</v>
      </c>
      <c r="AN46" s="188">
        <f t="shared" si="42"/>
        <v>0.13953599999999999</v>
      </c>
      <c r="AO46" s="74">
        <f t="shared" si="24"/>
        <v>1.0779420736363639</v>
      </c>
      <c r="AP46" s="73">
        <f t="shared" si="43"/>
        <v>0.76056846074380169</v>
      </c>
      <c r="AQ46" s="206">
        <f t="shared" si="44"/>
        <v>2.8521317277892559</v>
      </c>
      <c r="AR46" s="206">
        <f t="shared" si="45"/>
        <v>8.6013784318131857E-3</v>
      </c>
      <c r="AS46" s="71">
        <f t="shared" si="46"/>
        <v>4.3999999999999997E-2</v>
      </c>
      <c r="AT46" s="74">
        <f t="shared" si="47"/>
        <v>9.9000000000000001E-6</v>
      </c>
      <c r="AU46" s="73">
        <f t="shared" si="26"/>
        <v>24.962625680343571</v>
      </c>
      <c r="AV46" s="71">
        <f t="shared" si="27"/>
        <v>58.5</v>
      </c>
      <c r="AW46" s="74">
        <f t="shared" si="28"/>
        <v>70.091252848971237</v>
      </c>
    </row>
    <row r="47" spans="17:49" x14ac:dyDescent="0.25">
      <c r="Q47">
        <v>40</v>
      </c>
      <c r="R47" s="73">
        <f t="shared" si="0"/>
        <v>50</v>
      </c>
      <c r="S47" s="71">
        <f t="shared" si="32"/>
        <v>1.2</v>
      </c>
      <c r="T47" s="71">
        <f t="shared" si="2"/>
        <v>3</v>
      </c>
      <c r="U47" s="74">
        <f t="shared" si="33"/>
        <v>20</v>
      </c>
      <c r="V47" s="73">
        <f>IF(Variable_Management!$B$20=3,2,IF((S47*R47/T47)&lt;((T47*(1-(T47/R47)))/(2*Lm*Fsw)),1,2))</f>
        <v>2</v>
      </c>
      <c r="W47" s="71">
        <f t="shared" si="34"/>
        <v>0.94</v>
      </c>
      <c r="X47" s="74">
        <f t="shared" si="35"/>
        <v>6.0000000000000053E-2</v>
      </c>
      <c r="Y47" s="73">
        <f t="shared" si="36"/>
        <v>0.64090909090909098</v>
      </c>
      <c r="Z47" s="71">
        <f t="shared" si="30"/>
        <v>20.320454545454545</v>
      </c>
      <c r="AA47" s="71">
        <f t="shared" si="31"/>
        <v>20.000855740990204</v>
      </c>
      <c r="AB47" s="71">
        <v>0</v>
      </c>
      <c r="AC47" s="71">
        <f t="shared" si="37"/>
        <v>3.0002567277892558</v>
      </c>
      <c r="AD47" s="74">
        <f t="shared" si="16"/>
        <v>3.0002567277892558</v>
      </c>
      <c r="AE47" s="73">
        <f t="shared" si="29"/>
        <v>18.799999999999997</v>
      </c>
      <c r="AF47" s="71">
        <f t="shared" si="17"/>
        <v>19.391549101337592</v>
      </c>
      <c r="AG47" s="71">
        <f t="shared" si="38"/>
        <v>13.988396967644629</v>
      </c>
      <c r="AH47" s="71">
        <f t="shared" si="39"/>
        <v>4.1738066095471238</v>
      </c>
      <c r="AI47" s="74">
        <f t="shared" si="19"/>
        <v>18.162203577191754</v>
      </c>
      <c r="AJ47" s="73">
        <f t="shared" si="20"/>
        <v>1.2000000000000011</v>
      </c>
      <c r="AK47" s="71">
        <f t="shared" si="40"/>
        <v>4.8991890984441575</v>
      </c>
      <c r="AL47" s="71">
        <f t="shared" si="41"/>
        <v>0.21121807363636391</v>
      </c>
      <c r="AM47" s="71">
        <f t="shared" si="48"/>
        <v>0.73761600000000005</v>
      </c>
      <c r="AN47" s="188">
        <f t="shared" si="42"/>
        <v>0.14305600000000002</v>
      </c>
      <c r="AO47" s="74">
        <f t="shared" si="24"/>
        <v>1.0918900736363639</v>
      </c>
      <c r="AP47" s="73">
        <f t="shared" si="43"/>
        <v>0.80006846074380156</v>
      </c>
      <c r="AQ47" s="206">
        <f t="shared" si="44"/>
        <v>3.0002567277892558</v>
      </c>
      <c r="AR47" s="206">
        <f t="shared" si="45"/>
        <v>8.6013784318131857E-3</v>
      </c>
      <c r="AS47" s="71">
        <f t="shared" si="46"/>
        <v>4.3999999999999997E-2</v>
      </c>
      <c r="AT47" s="74">
        <f t="shared" si="47"/>
        <v>9.9000000000000001E-6</v>
      </c>
      <c r="AU47" s="73">
        <f t="shared" si="26"/>
        <v>26.107286845582244</v>
      </c>
      <c r="AV47" s="71">
        <f t="shared" si="27"/>
        <v>60</v>
      </c>
      <c r="AW47" s="74">
        <f t="shared" si="28"/>
        <v>69.680513923983085</v>
      </c>
    </row>
    <row r="48" spans="17:49" x14ac:dyDescent="0.25">
      <c r="Q48">
        <v>41</v>
      </c>
      <c r="R48" s="73">
        <f t="shared" si="0"/>
        <v>50</v>
      </c>
      <c r="S48" s="71">
        <f t="shared" si="32"/>
        <v>1.23</v>
      </c>
      <c r="T48" s="71">
        <f t="shared" si="2"/>
        <v>3</v>
      </c>
      <c r="U48" s="74">
        <f t="shared" si="33"/>
        <v>20.5</v>
      </c>
      <c r="V48" s="73">
        <f>IF(Variable_Management!$B$20=3,2,IF((S48*R48/T48)&lt;((T48*(1-(T48/R48)))/(2*Lm*Fsw)),1,2))</f>
        <v>2</v>
      </c>
      <c r="W48" s="71">
        <f t="shared" si="34"/>
        <v>0.94</v>
      </c>
      <c r="X48" s="74">
        <f t="shared" si="35"/>
        <v>6.0000000000000053E-2</v>
      </c>
      <c r="Y48" s="73">
        <f t="shared" si="36"/>
        <v>0.64090909090909098</v>
      </c>
      <c r="Z48" s="71">
        <f t="shared" si="30"/>
        <v>20.820454545454545</v>
      </c>
      <c r="AA48" s="71">
        <f t="shared" si="31"/>
        <v>20.500834870119334</v>
      </c>
      <c r="AB48" s="71">
        <v>0</v>
      </c>
      <c r="AC48" s="71">
        <f t="shared" si="37"/>
        <v>3.1521317277892562</v>
      </c>
      <c r="AD48" s="74">
        <f t="shared" si="16"/>
        <v>3.1521317277892562</v>
      </c>
      <c r="AE48" s="73">
        <f t="shared" si="29"/>
        <v>19.27</v>
      </c>
      <c r="AF48" s="71">
        <f t="shared" si="17"/>
        <v>19.876296852019159</v>
      </c>
      <c r="AG48" s="71">
        <f t="shared" si="38"/>
        <v>14.696498967644629</v>
      </c>
      <c r="AH48" s="71">
        <f t="shared" si="39"/>
        <v>4.278151774785802</v>
      </c>
      <c r="AI48" s="74">
        <f t="shared" si="19"/>
        <v>18.97465074243043</v>
      </c>
      <c r="AJ48" s="73">
        <f t="shared" si="20"/>
        <v>1.2300000000000011</v>
      </c>
      <c r="AK48" s="71">
        <f t="shared" si="40"/>
        <v>5.0216584732849041</v>
      </c>
      <c r="AL48" s="71">
        <f t="shared" si="41"/>
        <v>0.22191007363636386</v>
      </c>
      <c r="AM48" s="71">
        <f t="shared" si="48"/>
        <v>0.73761600000000005</v>
      </c>
      <c r="AN48" s="188">
        <f t="shared" si="42"/>
        <v>0.14657600000000001</v>
      </c>
      <c r="AO48" s="74">
        <f t="shared" si="24"/>
        <v>1.1061020736363638</v>
      </c>
      <c r="AP48" s="73">
        <f t="shared" si="43"/>
        <v>0.84056846074380165</v>
      </c>
      <c r="AQ48" s="206">
        <f t="shared" si="44"/>
        <v>3.1521317277892562</v>
      </c>
      <c r="AR48" s="206">
        <f t="shared" si="45"/>
        <v>8.6013784318131857E-3</v>
      </c>
      <c r="AS48" s="71">
        <f t="shared" si="46"/>
        <v>4.3999999999999997E-2</v>
      </c>
      <c r="AT48" s="74">
        <f t="shared" si="47"/>
        <v>9.9000000000000001E-6</v>
      </c>
      <c r="AU48" s="73">
        <f t="shared" si="26"/>
        <v>27.27819601082092</v>
      </c>
      <c r="AV48" s="71">
        <f t="shared" si="27"/>
        <v>61.5</v>
      </c>
      <c r="AW48" s="74">
        <f t="shared" si="28"/>
        <v>69.273766266329559</v>
      </c>
    </row>
    <row r="49" spans="17:49" x14ac:dyDescent="0.25">
      <c r="Q49">
        <v>42</v>
      </c>
      <c r="R49" s="73">
        <f t="shared" si="0"/>
        <v>50</v>
      </c>
      <c r="S49" s="71">
        <f t="shared" si="32"/>
        <v>1.26</v>
      </c>
      <c r="T49" s="71">
        <f t="shared" si="2"/>
        <v>3</v>
      </c>
      <c r="U49" s="74">
        <f t="shared" si="33"/>
        <v>21</v>
      </c>
      <c r="V49" s="73">
        <f>IF(Variable_Management!$B$20=3,2,IF((S49*R49/T49)&lt;((T49*(1-(T49/R49)))/(2*Lm*Fsw)),1,2))</f>
        <v>2</v>
      </c>
      <c r="W49" s="71">
        <f t="shared" si="34"/>
        <v>0.94</v>
      </c>
      <c r="X49" s="74">
        <f t="shared" si="35"/>
        <v>6.0000000000000053E-2</v>
      </c>
      <c r="Y49" s="73">
        <f t="shared" si="36"/>
        <v>0.64090909090909098</v>
      </c>
      <c r="Z49" s="71">
        <f t="shared" si="30"/>
        <v>21.320454545454545</v>
      </c>
      <c r="AA49" s="71">
        <f t="shared" si="31"/>
        <v>21.000814993040169</v>
      </c>
      <c r="AB49" s="71">
        <v>0</v>
      </c>
      <c r="AC49" s="71">
        <f t="shared" si="37"/>
        <v>3.3077567277892559</v>
      </c>
      <c r="AD49" s="74">
        <f t="shared" si="16"/>
        <v>3.3077567277892559</v>
      </c>
      <c r="AE49" s="73">
        <f t="shared" si="29"/>
        <v>19.739999999999998</v>
      </c>
      <c r="AF49" s="71">
        <f t="shared" si="17"/>
        <v>20.361045566217534</v>
      </c>
      <c r="AG49" s="71">
        <f t="shared" si="38"/>
        <v>15.422084967644626</v>
      </c>
      <c r="AH49" s="71">
        <f t="shared" si="39"/>
        <v>4.3824969400244802</v>
      </c>
      <c r="AI49" s="74">
        <f t="shared" si="19"/>
        <v>19.804581907669107</v>
      </c>
      <c r="AJ49" s="73">
        <f t="shared" si="20"/>
        <v>1.2600000000000011</v>
      </c>
      <c r="AK49" s="71">
        <f t="shared" si="40"/>
        <v>5.1441280915539096</v>
      </c>
      <c r="AL49" s="71">
        <f t="shared" si="41"/>
        <v>0.23286607363636383</v>
      </c>
      <c r="AM49" s="71">
        <f t="shared" si="48"/>
        <v>0.73761600000000005</v>
      </c>
      <c r="AN49" s="188">
        <f t="shared" si="42"/>
        <v>0.15009600000000001</v>
      </c>
      <c r="AO49" s="74">
        <f t="shared" si="24"/>
        <v>1.1205780736363637</v>
      </c>
      <c r="AP49" s="73">
        <f t="shared" si="43"/>
        <v>0.88206846074380152</v>
      </c>
      <c r="AQ49" s="206">
        <f t="shared" si="44"/>
        <v>3.3077567277892559</v>
      </c>
      <c r="AR49" s="206">
        <f t="shared" si="45"/>
        <v>8.6013784318131857E-3</v>
      </c>
      <c r="AS49" s="71">
        <f t="shared" si="46"/>
        <v>4.3999999999999997E-2</v>
      </c>
      <c r="AT49" s="74">
        <f t="shared" si="47"/>
        <v>9.9000000000000001E-6</v>
      </c>
      <c r="AU49" s="73">
        <f t="shared" si="26"/>
        <v>28.475353176059592</v>
      </c>
      <c r="AV49" s="71">
        <f t="shared" si="27"/>
        <v>63</v>
      </c>
      <c r="AW49" s="74">
        <f t="shared" si="28"/>
        <v>68.871010400742563</v>
      </c>
    </row>
    <row r="50" spans="17:49" x14ac:dyDescent="0.25">
      <c r="Q50">
        <v>43</v>
      </c>
      <c r="R50" s="73">
        <f t="shared" si="0"/>
        <v>50</v>
      </c>
      <c r="S50" s="71">
        <f t="shared" si="32"/>
        <v>1.29</v>
      </c>
      <c r="T50" s="71">
        <f t="shared" si="2"/>
        <v>3</v>
      </c>
      <c r="U50" s="74">
        <f t="shared" si="33"/>
        <v>21.5</v>
      </c>
      <c r="V50" s="73">
        <f>IF(Variable_Management!$B$20=3,2,IF((S50*R50/T50)&lt;((T50*(1-(T50/R50)))/(2*Lm*Fsw)),1,2))</f>
        <v>2</v>
      </c>
      <c r="W50" s="71">
        <f t="shared" si="34"/>
        <v>0.94</v>
      </c>
      <c r="X50" s="74">
        <f t="shared" si="35"/>
        <v>6.0000000000000053E-2</v>
      </c>
      <c r="Y50" s="73">
        <f t="shared" si="36"/>
        <v>0.64090909090909098</v>
      </c>
      <c r="Z50" s="71">
        <f t="shared" si="30"/>
        <v>21.820454545454545</v>
      </c>
      <c r="AA50" s="71">
        <f t="shared" si="31"/>
        <v>21.500796040423733</v>
      </c>
      <c r="AB50" s="71">
        <v>0</v>
      </c>
      <c r="AC50" s="71">
        <f t="shared" si="37"/>
        <v>3.4671317277892566</v>
      </c>
      <c r="AD50" s="74">
        <f t="shared" si="16"/>
        <v>3.4671317277892566</v>
      </c>
      <c r="AE50" s="73">
        <f t="shared" si="29"/>
        <v>20.209999999999997</v>
      </c>
      <c r="AF50" s="71">
        <f t="shared" si="17"/>
        <v>20.845795176715779</v>
      </c>
      <c r="AG50" s="71">
        <f t="shared" si="38"/>
        <v>16.165154967644632</v>
      </c>
      <c r="AH50" s="71">
        <f t="shared" si="39"/>
        <v>4.4868421052631584</v>
      </c>
      <c r="AI50" s="74">
        <f t="shared" si="19"/>
        <v>20.65199707290779</v>
      </c>
      <c r="AJ50" s="73">
        <f t="shared" si="20"/>
        <v>1.2900000000000011</v>
      </c>
      <c r="AK50" s="71">
        <f t="shared" si="40"/>
        <v>5.2665979362691129</v>
      </c>
      <c r="AL50" s="71">
        <f t="shared" si="41"/>
        <v>0.24408607363636389</v>
      </c>
      <c r="AM50" s="71">
        <f t="shared" si="48"/>
        <v>0.73761600000000005</v>
      </c>
      <c r="AN50" s="188">
        <f t="shared" si="42"/>
        <v>0.153616</v>
      </c>
      <c r="AO50" s="74">
        <f t="shared" si="24"/>
        <v>1.1353180736363639</v>
      </c>
      <c r="AP50" s="73">
        <f t="shared" si="43"/>
        <v>0.92456846074380183</v>
      </c>
      <c r="AQ50" s="206">
        <f t="shared" si="44"/>
        <v>3.4671317277892566</v>
      </c>
      <c r="AR50" s="206">
        <f t="shared" si="45"/>
        <v>8.6013784318131857E-3</v>
      </c>
      <c r="AS50" s="71">
        <f t="shared" si="46"/>
        <v>4.3999999999999997E-2</v>
      </c>
      <c r="AT50" s="74">
        <f t="shared" si="47"/>
        <v>9.9000000000000001E-6</v>
      </c>
      <c r="AU50" s="73">
        <f t="shared" si="26"/>
        <v>29.69875834129828</v>
      </c>
      <c r="AV50" s="71">
        <f t="shared" si="27"/>
        <v>64.5</v>
      </c>
      <c r="AW50" s="74">
        <f t="shared" si="28"/>
        <v>68.472240118394581</v>
      </c>
    </row>
    <row r="51" spans="17:49" x14ac:dyDescent="0.25">
      <c r="Q51">
        <v>44</v>
      </c>
      <c r="R51" s="73">
        <f t="shared" si="0"/>
        <v>50</v>
      </c>
      <c r="S51" s="71">
        <f t="shared" si="32"/>
        <v>1.3199999999999998</v>
      </c>
      <c r="T51" s="71">
        <f t="shared" si="2"/>
        <v>3</v>
      </c>
      <c r="U51" s="74">
        <f t="shared" si="33"/>
        <v>21.999999999999996</v>
      </c>
      <c r="V51" s="73">
        <f>IF(Variable_Management!$B$20=3,2,IF((S51*R51/T51)&lt;((T51*(1-(T51/R51)))/(2*Lm*Fsw)),1,2))</f>
        <v>2</v>
      </c>
      <c r="W51" s="71">
        <f t="shared" si="34"/>
        <v>0.94</v>
      </c>
      <c r="X51" s="74">
        <f t="shared" si="35"/>
        <v>6.0000000000000053E-2</v>
      </c>
      <c r="Y51" s="73">
        <f t="shared" si="36"/>
        <v>0.64090909090909098</v>
      </c>
      <c r="Z51" s="71">
        <f t="shared" si="30"/>
        <v>22.320454545454542</v>
      </c>
      <c r="AA51" s="71">
        <f t="shared" si="31"/>
        <v>22.000777949243083</v>
      </c>
      <c r="AB51" s="71">
        <v>0</v>
      </c>
      <c r="AC51" s="71">
        <f t="shared" si="37"/>
        <v>3.6302567277892552</v>
      </c>
      <c r="AD51" s="74">
        <f t="shared" si="16"/>
        <v>3.6302567277892552</v>
      </c>
      <c r="AE51" s="73">
        <f t="shared" si="29"/>
        <v>20.679999999999996</v>
      </c>
      <c r="AF51" s="71">
        <f t="shared" si="17"/>
        <v>21.330545622407005</v>
      </c>
      <c r="AG51" s="71">
        <f t="shared" si="38"/>
        <v>16.925708967644624</v>
      </c>
      <c r="AH51" s="71">
        <f t="shared" si="39"/>
        <v>4.5911872705018348</v>
      </c>
      <c r="AI51" s="74">
        <f t="shared" si="19"/>
        <v>21.516896238146458</v>
      </c>
      <c r="AJ51" s="73">
        <f t="shared" si="20"/>
        <v>1.320000000000001</v>
      </c>
      <c r="AK51" s="71">
        <f t="shared" si="40"/>
        <v>5.3890679919921283</v>
      </c>
      <c r="AL51" s="71">
        <f t="shared" si="41"/>
        <v>0.25557007363636386</v>
      </c>
      <c r="AM51" s="71">
        <f t="shared" si="48"/>
        <v>0.73761600000000005</v>
      </c>
      <c r="AN51" s="188">
        <f t="shared" si="42"/>
        <v>0.15713599999999997</v>
      </c>
      <c r="AO51" s="74">
        <f t="shared" si="24"/>
        <v>1.150322073636364</v>
      </c>
      <c r="AP51" s="73">
        <f t="shared" si="43"/>
        <v>0.96806846074380148</v>
      </c>
      <c r="AQ51" s="206">
        <f t="shared" si="44"/>
        <v>3.6302567277892552</v>
      </c>
      <c r="AR51" s="206">
        <f t="shared" si="45"/>
        <v>8.6013784318131857E-3</v>
      </c>
      <c r="AS51" s="71">
        <f t="shared" si="46"/>
        <v>4.3999999999999997E-2</v>
      </c>
      <c r="AT51" s="74">
        <f t="shared" si="47"/>
        <v>9.9000000000000001E-6</v>
      </c>
      <c r="AU51" s="73">
        <f t="shared" si="26"/>
        <v>30.948411506536946</v>
      </c>
      <c r="AV51" s="71">
        <f t="shared" si="27"/>
        <v>65.999999999999986</v>
      </c>
      <c r="AW51" s="74">
        <f t="shared" si="28"/>
        <v>68.077443430364823</v>
      </c>
    </row>
    <row r="52" spans="17:49" x14ac:dyDescent="0.25">
      <c r="Q52">
        <v>45</v>
      </c>
      <c r="R52" s="73">
        <f t="shared" si="0"/>
        <v>50</v>
      </c>
      <c r="S52" s="71">
        <f t="shared" si="32"/>
        <v>1.3499999999999999</v>
      </c>
      <c r="T52" s="71">
        <f t="shared" si="2"/>
        <v>3</v>
      </c>
      <c r="U52" s="74">
        <f t="shared" si="33"/>
        <v>22.5</v>
      </c>
      <c r="V52" s="73">
        <f>IF(Variable_Management!$B$20=3,2,IF((S52*R52/T52)&lt;((T52*(1-(T52/R52)))/(2*Lm*Fsw)),1,2))</f>
        <v>2</v>
      </c>
      <c r="W52" s="71">
        <f t="shared" si="34"/>
        <v>0.94</v>
      </c>
      <c r="X52" s="74">
        <f t="shared" si="35"/>
        <v>6.0000000000000053E-2</v>
      </c>
      <c r="Y52" s="73">
        <f t="shared" si="36"/>
        <v>0.64090909090909098</v>
      </c>
      <c r="Z52" s="71">
        <f t="shared" si="30"/>
        <v>22.820454545454545</v>
      </c>
      <c r="AA52" s="71">
        <f t="shared" si="31"/>
        <v>22.500760662073201</v>
      </c>
      <c r="AB52" s="71">
        <v>0</v>
      </c>
      <c r="AC52" s="71">
        <f t="shared" si="37"/>
        <v>3.7971317277892562</v>
      </c>
      <c r="AD52" s="74">
        <f t="shared" si="16"/>
        <v>3.7971317277892562</v>
      </c>
      <c r="AE52" s="73">
        <f t="shared" si="29"/>
        <v>21.15</v>
      </c>
      <c r="AF52" s="71">
        <f t="shared" si="17"/>
        <v>21.815296847615592</v>
      </c>
      <c r="AG52" s="71">
        <f t="shared" si="38"/>
        <v>17.70374696764463</v>
      </c>
      <c r="AH52" s="71">
        <f t="shared" si="39"/>
        <v>4.6955324357405139</v>
      </c>
      <c r="AI52" s="74">
        <f t="shared" si="19"/>
        <v>22.399279403385144</v>
      </c>
      <c r="AJ52" s="73">
        <f t="shared" si="20"/>
        <v>1.3500000000000012</v>
      </c>
      <c r="AK52" s="71">
        <f t="shared" si="40"/>
        <v>5.5115382446567569</v>
      </c>
      <c r="AL52" s="71">
        <f t="shared" si="41"/>
        <v>0.26731807363636395</v>
      </c>
      <c r="AM52" s="71">
        <f t="shared" si="48"/>
        <v>0.73761600000000005</v>
      </c>
      <c r="AN52" s="188">
        <f t="shared" si="42"/>
        <v>0.16065599999999999</v>
      </c>
      <c r="AO52" s="74">
        <f t="shared" si="24"/>
        <v>1.165590073636364</v>
      </c>
      <c r="AP52" s="73">
        <f t="shared" si="43"/>
        <v>1.0125684607438017</v>
      </c>
      <c r="AQ52" s="206">
        <f t="shared" si="44"/>
        <v>3.7971317277892562</v>
      </c>
      <c r="AR52" s="206">
        <f t="shared" si="45"/>
        <v>8.6013784318131857E-3</v>
      </c>
      <c r="AS52" s="71">
        <f t="shared" si="46"/>
        <v>4.3999999999999997E-2</v>
      </c>
      <c r="AT52" s="74">
        <f t="shared" si="47"/>
        <v>9.9000000000000001E-6</v>
      </c>
      <c r="AU52" s="73">
        <f t="shared" si="26"/>
        <v>32.224312671775635</v>
      </c>
      <c r="AV52" s="71">
        <f t="shared" si="27"/>
        <v>67.5</v>
      </c>
      <c r="AW52" s="74">
        <f t="shared" si="28"/>
        <v>67.686603388447423</v>
      </c>
    </row>
    <row r="53" spans="17:49" x14ac:dyDescent="0.25">
      <c r="Q53">
        <v>46</v>
      </c>
      <c r="R53" s="73">
        <f t="shared" si="0"/>
        <v>50</v>
      </c>
      <c r="S53" s="71">
        <f t="shared" si="32"/>
        <v>1.38</v>
      </c>
      <c r="T53" s="71">
        <f t="shared" si="2"/>
        <v>3</v>
      </c>
      <c r="U53" s="74">
        <f t="shared" si="33"/>
        <v>23</v>
      </c>
      <c r="V53" s="73">
        <f>IF(Variable_Management!$B$20=3,2,IF((S53*R53/T53)&lt;((T53*(1-(T53/R53)))/(2*Lm*Fsw)),1,2))</f>
        <v>2</v>
      </c>
      <c r="W53" s="71">
        <f t="shared" si="34"/>
        <v>0.94</v>
      </c>
      <c r="X53" s="74">
        <f t="shared" si="35"/>
        <v>6.0000000000000053E-2</v>
      </c>
      <c r="Y53" s="73">
        <f t="shared" si="36"/>
        <v>0.64090909090909098</v>
      </c>
      <c r="Z53" s="71">
        <f t="shared" si="30"/>
        <v>23.320454545454545</v>
      </c>
      <c r="AA53" s="71">
        <f t="shared" si="31"/>
        <v>23.0007441264821</v>
      </c>
      <c r="AB53" s="71">
        <v>0</v>
      </c>
      <c r="AC53" s="71">
        <f t="shared" si="37"/>
        <v>3.9677567277892565</v>
      </c>
      <c r="AD53" s="74">
        <f t="shared" si="16"/>
        <v>3.9677567277892565</v>
      </c>
      <c r="AE53" s="73">
        <f t="shared" si="29"/>
        <v>21.619999999999997</v>
      </c>
      <c r="AF53" s="71">
        <f t="shared" si="17"/>
        <v>22.30004880150684</v>
      </c>
      <c r="AG53" s="71">
        <f t="shared" si="38"/>
        <v>18.499268967644625</v>
      </c>
      <c r="AH53" s="71">
        <f t="shared" si="39"/>
        <v>4.7998776009791921</v>
      </c>
      <c r="AI53" s="74">
        <f t="shared" si="19"/>
        <v>23.299146568623819</v>
      </c>
      <c r="AJ53" s="73">
        <f t="shared" si="20"/>
        <v>1.3800000000000012</v>
      </c>
      <c r="AK53" s="71">
        <f t="shared" si="40"/>
        <v>5.6340086814198358</v>
      </c>
      <c r="AL53" s="71">
        <f t="shared" si="41"/>
        <v>0.27933007363636392</v>
      </c>
      <c r="AM53" s="71">
        <f t="shared" si="48"/>
        <v>0.73761600000000005</v>
      </c>
      <c r="AN53" s="188">
        <f t="shared" si="42"/>
        <v>0.16417600000000002</v>
      </c>
      <c r="AO53" s="74">
        <f t="shared" si="24"/>
        <v>1.1811220736363641</v>
      </c>
      <c r="AP53" s="73">
        <f t="shared" si="43"/>
        <v>1.0580684607438018</v>
      </c>
      <c r="AQ53" s="206">
        <f t="shared" si="44"/>
        <v>3.9677567277892565</v>
      </c>
      <c r="AR53" s="206">
        <f t="shared" si="45"/>
        <v>8.6013784318131857E-3</v>
      </c>
      <c r="AS53" s="71">
        <f t="shared" si="46"/>
        <v>4.3999999999999997E-2</v>
      </c>
      <c r="AT53" s="74">
        <f t="shared" si="47"/>
        <v>9.9000000000000001E-6</v>
      </c>
      <c r="AU53" s="73">
        <f t="shared" si="26"/>
        <v>33.52646183701431</v>
      </c>
      <c r="AV53" s="71">
        <f t="shared" si="27"/>
        <v>69</v>
      </c>
      <c r="AW53" s="74">
        <f t="shared" si="28"/>
        <v>67.299698793555251</v>
      </c>
    </row>
    <row r="54" spans="17:49" x14ac:dyDescent="0.25">
      <c r="Q54">
        <v>47</v>
      </c>
      <c r="R54" s="73">
        <f t="shared" si="0"/>
        <v>50</v>
      </c>
      <c r="S54" s="71">
        <f t="shared" si="32"/>
        <v>1.41</v>
      </c>
      <c r="T54" s="71">
        <f t="shared" si="2"/>
        <v>3</v>
      </c>
      <c r="U54" s="74">
        <f t="shared" si="33"/>
        <v>23.5</v>
      </c>
      <c r="V54" s="73">
        <f>IF(Variable_Management!$B$20=3,2,IF((S54*R54/T54)&lt;((T54*(1-(T54/R54)))/(2*Lm*Fsw)),1,2))</f>
        <v>2</v>
      </c>
      <c r="W54" s="71">
        <f t="shared" si="34"/>
        <v>0.94</v>
      </c>
      <c r="X54" s="74">
        <f t="shared" si="35"/>
        <v>6.0000000000000053E-2</v>
      </c>
      <c r="Y54" s="73">
        <f t="shared" si="36"/>
        <v>0.64090909090909098</v>
      </c>
      <c r="Z54" s="71">
        <f t="shared" si="30"/>
        <v>23.820454545454545</v>
      </c>
      <c r="AA54" s="71">
        <f t="shared" si="31"/>
        <v>23.500728294499744</v>
      </c>
      <c r="AB54" s="71">
        <v>0</v>
      </c>
      <c r="AC54" s="71">
        <f t="shared" si="37"/>
        <v>4.1421317277892564</v>
      </c>
      <c r="AD54" s="74">
        <f t="shared" si="16"/>
        <v>4.1421317277892564</v>
      </c>
      <c r="AE54" s="73">
        <f t="shared" si="29"/>
        <v>22.09</v>
      </c>
      <c r="AF54" s="71">
        <f t="shared" si="17"/>
        <v>22.784801437572082</v>
      </c>
      <c r="AG54" s="71">
        <f t="shared" si="38"/>
        <v>19.31227496764463</v>
      </c>
      <c r="AH54" s="71">
        <f t="shared" si="39"/>
        <v>4.9042227662178703</v>
      </c>
      <c r="AI54" s="74">
        <f t="shared" si="19"/>
        <v>24.2164977338625</v>
      </c>
      <c r="AJ54" s="73">
        <f t="shared" si="20"/>
        <v>1.4100000000000013</v>
      </c>
      <c r="AK54" s="71">
        <f t="shared" si="40"/>
        <v>5.7564792905311561</v>
      </c>
      <c r="AL54" s="71">
        <f t="shared" si="41"/>
        <v>0.29160607363636393</v>
      </c>
      <c r="AM54" s="71">
        <f t="shared" si="48"/>
        <v>0.73761600000000005</v>
      </c>
      <c r="AN54" s="188">
        <f t="shared" si="42"/>
        <v>0.16769600000000001</v>
      </c>
      <c r="AO54" s="74">
        <f t="shared" si="24"/>
        <v>1.196918073636364</v>
      </c>
      <c r="AP54" s="73">
        <f t="shared" si="43"/>
        <v>1.1045684607438018</v>
      </c>
      <c r="AQ54" s="206">
        <f t="shared" si="44"/>
        <v>4.1421317277892564</v>
      </c>
      <c r="AR54" s="206">
        <f t="shared" si="45"/>
        <v>8.6013784318131857E-3</v>
      </c>
      <c r="AS54" s="71">
        <f t="shared" si="46"/>
        <v>4.3999999999999997E-2</v>
      </c>
      <c r="AT54" s="74">
        <f t="shared" si="47"/>
        <v>9.9000000000000001E-6</v>
      </c>
      <c r="AU54" s="73">
        <f t="shared" si="26"/>
        <v>34.854859002252986</v>
      </c>
      <c r="AV54" s="71">
        <f t="shared" si="27"/>
        <v>70.5</v>
      </c>
      <c r="AW54" s="74">
        <f t="shared" si="28"/>
        <v>66.916704808548388</v>
      </c>
    </row>
    <row r="55" spans="17:49" x14ac:dyDescent="0.25">
      <c r="Q55">
        <v>48</v>
      </c>
      <c r="R55" s="73">
        <f t="shared" si="0"/>
        <v>50</v>
      </c>
      <c r="S55" s="71">
        <f t="shared" si="32"/>
        <v>1.44</v>
      </c>
      <c r="T55" s="71">
        <f t="shared" si="2"/>
        <v>3</v>
      </c>
      <c r="U55" s="74">
        <f t="shared" si="33"/>
        <v>24</v>
      </c>
      <c r="V55" s="73">
        <f>IF(Variable_Management!$B$20=3,2,IF((S55*R55/T55)&lt;((T55*(1-(T55/R55)))/(2*Lm*Fsw)),1,2))</f>
        <v>2</v>
      </c>
      <c r="W55" s="71">
        <f t="shared" si="34"/>
        <v>0.94</v>
      </c>
      <c r="X55" s="74">
        <f t="shared" si="35"/>
        <v>6.0000000000000053E-2</v>
      </c>
      <c r="Y55" s="73">
        <f t="shared" si="36"/>
        <v>0.64090909090909098</v>
      </c>
      <c r="Z55" s="71">
        <f t="shared" si="30"/>
        <v>24.320454545454545</v>
      </c>
      <c r="AA55" s="71">
        <f t="shared" si="31"/>
        <v>24.000713122153282</v>
      </c>
      <c r="AB55" s="71">
        <v>0</v>
      </c>
      <c r="AC55" s="71">
        <f t="shared" si="37"/>
        <v>4.3202567277892561</v>
      </c>
      <c r="AD55" s="74">
        <f t="shared" si="16"/>
        <v>4.3202567277892561</v>
      </c>
      <c r="AE55" s="73">
        <f t="shared" si="29"/>
        <v>22.56</v>
      </c>
      <c r="AF55" s="71">
        <f t="shared" si="17"/>
        <v>23.269554713178049</v>
      </c>
      <c r="AG55" s="71">
        <f t="shared" si="38"/>
        <v>20.142764967644627</v>
      </c>
      <c r="AH55" s="71">
        <f t="shared" si="39"/>
        <v>5.0085679314565485</v>
      </c>
      <c r="AI55" s="74">
        <f t="shared" si="19"/>
        <v>25.151332899101178</v>
      </c>
      <c r="AJ55" s="73">
        <f t="shared" si="20"/>
        <v>1.4400000000000013</v>
      </c>
      <c r="AK55" s="71">
        <f t="shared" si="40"/>
        <v>5.8789500612196122</v>
      </c>
      <c r="AL55" s="71">
        <f t="shared" si="41"/>
        <v>0.30414607363636398</v>
      </c>
      <c r="AM55" s="71">
        <f t="shared" si="48"/>
        <v>0.73761600000000005</v>
      </c>
      <c r="AN55" s="188">
        <f t="shared" si="42"/>
        <v>0.17121600000000001</v>
      </c>
      <c r="AO55" s="74">
        <f t="shared" si="24"/>
        <v>1.212978073636364</v>
      </c>
      <c r="AP55" s="73">
        <f t="shared" si="43"/>
        <v>1.1520684607438016</v>
      </c>
      <c r="AQ55" s="206">
        <f t="shared" si="44"/>
        <v>4.3202567277892561</v>
      </c>
      <c r="AR55" s="206">
        <f t="shared" si="45"/>
        <v>8.6013784318131857E-3</v>
      </c>
      <c r="AS55" s="71">
        <f t="shared" si="46"/>
        <v>4.3999999999999997E-2</v>
      </c>
      <c r="AT55" s="74">
        <f t="shared" si="47"/>
        <v>9.9000000000000001E-6</v>
      </c>
      <c r="AU55" s="73">
        <f t="shared" si="26"/>
        <v>36.209504167491666</v>
      </c>
      <c r="AV55" s="71">
        <f t="shared" si="27"/>
        <v>72</v>
      </c>
      <c r="AW55" s="74">
        <f t="shared" si="28"/>
        <v>66.53759348952849</v>
      </c>
    </row>
    <row r="56" spans="17:49" x14ac:dyDescent="0.25">
      <c r="Q56">
        <v>49</v>
      </c>
      <c r="R56" s="73">
        <f t="shared" si="0"/>
        <v>50</v>
      </c>
      <c r="S56" s="71">
        <f t="shared" si="32"/>
        <v>1.47</v>
      </c>
      <c r="T56" s="71">
        <f t="shared" si="2"/>
        <v>3</v>
      </c>
      <c r="U56" s="74">
        <f t="shared" si="33"/>
        <v>24.5</v>
      </c>
      <c r="V56" s="73">
        <f>IF(Variable_Management!$B$20=3,2,IF((S56*R56/T56)&lt;((T56*(1-(T56/R56)))/(2*Lm*Fsw)),1,2))</f>
        <v>2</v>
      </c>
      <c r="W56" s="71">
        <f t="shared" si="34"/>
        <v>0.94</v>
      </c>
      <c r="X56" s="74">
        <f t="shared" si="35"/>
        <v>6.0000000000000053E-2</v>
      </c>
      <c r="Y56" s="73">
        <f t="shared" si="36"/>
        <v>0.64090909090909098</v>
      </c>
      <c r="Z56" s="71">
        <f t="shared" si="30"/>
        <v>24.820454545454545</v>
      </c>
      <c r="AA56" s="71">
        <f t="shared" si="31"/>
        <v>24.500698569059224</v>
      </c>
      <c r="AB56" s="71">
        <v>0</v>
      </c>
      <c r="AC56" s="71">
        <f t="shared" si="37"/>
        <v>4.5021317277892559</v>
      </c>
      <c r="AD56" s="74">
        <f t="shared" si="16"/>
        <v>4.5021317277892559</v>
      </c>
      <c r="AE56" s="73">
        <f t="shared" si="29"/>
        <v>23.029999999999998</v>
      </c>
      <c r="AF56" s="71">
        <f t="shared" si="17"/>
        <v>23.754308589171497</v>
      </c>
      <c r="AG56" s="71">
        <f t="shared" si="38"/>
        <v>20.990738967644631</v>
      </c>
      <c r="AH56" s="71">
        <f t="shared" si="39"/>
        <v>5.1129130966952268</v>
      </c>
      <c r="AI56" s="74">
        <f t="shared" si="19"/>
        <v>26.103652064339858</v>
      </c>
      <c r="AJ56" s="73">
        <f t="shared" si="20"/>
        <v>1.4700000000000013</v>
      </c>
      <c r="AK56" s="71">
        <f t="shared" si="40"/>
        <v>6.0014209835933094</v>
      </c>
      <c r="AL56" s="71">
        <f t="shared" si="41"/>
        <v>0.31695007363636396</v>
      </c>
      <c r="AM56" s="71">
        <f t="shared" si="48"/>
        <v>0.73761600000000005</v>
      </c>
      <c r="AN56" s="188">
        <f t="shared" si="42"/>
        <v>0.174736</v>
      </c>
      <c r="AO56" s="74">
        <f t="shared" si="24"/>
        <v>1.229302073636364</v>
      </c>
      <c r="AP56" s="73">
        <f t="shared" si="43"/>
        <v>1.2005684607438016</v>
      </c>
      <c r="AQ56" s="206">
        <f t="shared" si="44"/>
        <v>4.5021317277892559</v>
      </c>
      <c r="AR56" s="206">
        <f t="shared" si="45"/>
        <v>8.6013784318131857E-3</v>
      </c>
      <c r="AS56" s="71">
        <f t="shared" si="46"/>
        <v>4.3999999999999997E-2</v>
      </c>
      <c r="AT56" s="74">
        <f t="shared" si="47"/>
        <v>9.9000000000000001E-6</v>
      </c>
      <c r="AU56" s="73">
        <f t="shared" si="26"/>
        <v>37.590397332730348</v>
      </c>
      <c r="AV56" s="71">
        <f t="shared" si="27"/>
        <v>73.5</v>
      </c>
      <c r="AW56" s="74">
        <f t="shared" si="28"/>
        <v>66.162334247358785</v>
      </c>
    </row>
    <row r="57" spans="17:49" x14ac:dyDescent="0.25">
      <c r="Q57">
        <v>50</v>
      </c>
      <c r="R57" s="73">
        <f t="shared" si="0"/>
        <v>50</v>
      </c>
      <c r="S57" s="71">
        <f t="shared" si="32"/>
        <v>1.5</v>
      </c>
      <c r="T57" s="71">
        <f t="shared" si="2"/>
        <v>3</v>
      </c>
      <c r="U57" s="74">
        <f t="shared" si="33"/>
        <v>25</v>
      </c>
      <c r="V57" s="73">
        <f>IF(Variable_Management!$B$20=3,2,IF((S57*R57/T57)&lt;((T57*(1-(T57/R57)))/(2*Lm*Fsw)),1,2))</f>
        <v>2</v>
      </c>
      <c r="W57" s="71">
        <f t="shared" si="34"/>
        <v>0.94</v>
      </c>
      <c r="X57" s="74">
        <f t="shared" si="35"/>
        <v>6.0000000000000053E-2</v>
      </c>
      <c r="Y57" s="73">
        <f t="shared" si="36"/>
        <v>0.64090909090909098</v>
      </c>
      <c r="Z57" s="71">
        <f t="shared" si="30"/>
        <v>25.320454545454545</v>
      </c>
      <c r="AA57" s="71">
        <f t="shared" si="31"/>
        <v>25.000684598064524</v>
      </c>
      <c r="AB57" s="71">
        <v>0</v>
      </c>
      <c r="AC57" s="71">
        <f t="shared" si="37"/>
        <v>4.6877567277892549</v>
      </c>
      <c r="AD57" s="74">
        <f t="shared" si="16"/>
        <v>4.6877567277892549</v>
      </c>
      <c r="AE57" s="73">
        <f t="shared" si="29"/>
        <v>23.5</v>
      </c>
      <c r="AF57" s="71">
        <f t="shared" si="17"/>
        <v>24.239063029531209</v>
      </c>
      <c r="AG57" s="71">
        <f t="shared" si="38"/>
        <v>21.856196967644625</v>
      </c>
      <c r="AH57" s="71">
        <f t="shared" si="39"/>
        <v>5.217258261933905</v>
      </c>
      <c r="AI57" s="74">
        <f t="shared" si="19"/>
        <v>27.073455229578528</v>
      </c>
      <c r="AJ57" s="73">
        <f t="shared" si="20"/>
        <v>1.5000000000000013</v>
      </c>
      <c r="AK57" s="71">
        <f t="shared" si="40"/>
        <v>6.1238920485516468</v>
      </c>
      <c r="AL57" s="71">
        <f t="shared" si="41"/>
        <v>0.33001807363636398</v>
      </c>
      <c r="AM57" s="71">
        <f t="shared" si="48"/>
        <v>0.73761600000000005</v>
      </c>
      <c r="AN57" s="188">
        <f t="shared" si="42"/>
        <v>0.178256</v>
      </c>
      <c r="AO57" s="74">
        <f t="shared" si="24"/>
        <v>1.2458900736363641</v>
      </c>
      <c r="AP57" s="73">
        <f t="shared" si="43"/>
        <v>1.2500684607438013</v>
      </c>
      <c r="AQ57" s="206">
        <f t="shared" si="44"/>
        <v>4.6877567277892549</v>
      </c>
      <c r="AR57" s="206">
        <f t="shared" si="45"/>
        <v>8.6013784318131857E-3</v>
      </c>
      <c r="AS57" s="71">
        <f t="shared" si="46"/>
        <v>4.3999999999999997E-2</v>
      </c>
      <c r="AT57" s="74">
        <f t="shared" si="47"/>
        <v>9.9000000000000001E-6</v>
      </c>
      <c r="AU57" s="73">
        <f t="shared" si="26"/>
        <v>38.997538497969018</v>
      </c>
      <c r="AV57" s="71">
        <f t="shared" si="27"/>
        <v>75</v>
      </c>
      <c r="AW57" s="74">
        <f t="shared" si="28"/>
        <v>65.790894249296613</v>
      </c>
    </row>
    <row r="58" spans="17:49" x14ac:dyDescent="0.25">
      <c r="Q58">
        <v>51</v>
      </c>
      <c r="R58" s="73">
        <f t="shared" si="0"/>
        <v>50</v>
      </c>
      <c r="S58" s="71">
        <f t="shared" si="32"/>
        <v>1.53</v>
      </c>
      <c r="T58" s="71">
        <f t="shared" si="2"/>
        <v>3</v>
      </c>
      <c r="U58" s="74">
        <f t="shared" si="33"/>
        <v>25.5</v>
      </c>
      <c r="V58" s="73">
        <f>IF(Variable_Management!$B$20=3,2,IF((S58*R58/T58)&lt;((T58*(1-(T58/R58)))/(2*Lm*Fsw)),1,2))</f>
        <v>2</v>
      </c>
      <c r="W58" s="71">
        <f t="shared" si="34"/>
        <v>0.94</v>
      </c>
      <c r="X58" s="74">
        <f t="shared" si="35"/>
        <v>6.0000000000000053E-2</v>
      </c>
      <c r="Y58" s="73">
        <f t="shared" si="36"/>
        <v>0.64090909090909098</v>
      </c>
      <c r="Z58" s="71">
        <f t="shared" si="30"/>
        <v>25.820454545454545</v>
      </c>
      <c r="AA58" s="71">
        <f t="shared" si="31"/>
        <v>25.500671174929902</v>
      </c>
      <c r="AB58" s="71">
        <v>0</v>
      </c>
      <c r="AC58" s="71">
        <f t="shared" si="37"/>
        <v>4.8771317277892559</v>
      </c>
      <c r="AD58" s="74">
        <f t="shared" si="16"/>
        <v>4.8771317277892559</v>
      </c>
      <c r="AE58" s="73">
        <f t="shared" si="29"/>
        <v>23.97</v>
      </c>
      <c r="AF58" s="71">
        <f t="shared" si="17"/>
        <v>24.723818001060977</v>
      </c>
      <c r="AG58" s="71">
        <f t="shared" si="38"/>
        <v>22.739138967644632</v>
      </c>
      <c r="AH58" s="71">
        <f t="shared" si="39"/>
        <v>5.3216034271725832</v>
      </c>
      <c r="AI58" s="74">
        <f t="shared" si="19"/>
        <v>28.060742394817215</v>
      </c>
      <c r="AJ58" s="73">
        <f t="shared" si="20"/>
        <v>1.5300000000000014</v>
      </c>
      <c r="AK58" s="71">
        <f t="shared" si="40"/>
        <v>6.2463632477077482</v>
      </c>
      <c r="AL58" s="71">
        <f t="shared" si="41"/>
        <v>0.34335007363636399</v>
      </c>
      <c r="AM58" s="71">
        <f t="shared" si="48"/>
        <v>0.73761600000000005</v>
      </c>
      <c r="AN58" s="188">
        <f t="shared" si="42"/>
        <v>0.18177599999999999</v>
      </c>
      <c r="AO58" s="74">
        <f t="shared" si="24"/>
        <v>1.2627420736363639</v>
      </c>
      <c r="AP58" s="73">
        <f t="shared" si="43"/>
        <v>1.3005684607438015</v>
      </c>
      <c r="AQ58" s="206">
        <f t="shared" si="44"/>
        <v>4.8771317277892559</v>
      </c>
      <c r="AR58" s="206">
        <f t="shared" si="45"/>
        <v>8.6013784318131857E-3</v>
      </c>
      <c r="AS58" s="71">
        <f t="shared" si="46"/>
        <v>4.3999999999999997E-2</v>
      </c>
      <c r="AT58" s="74">
        <f t="shared" si="47"/>
        <v>9.9000000000000001E-6</v>
      </c>
      <c r="AU58" s="73">
        <f t="shared" si="26"/>
        <v>40.430927663207704</v>
      </c>
      <c r="AV58" s="71">
        <f t="shared" si="27"/>
        <v>76.5</v>
      </c>
      <c r="AW58" s="74">
        <f t="shared" si="28"/>
        <v>65.423238769079489</v>
      </c>
    </row>
    <row r="59" spans="17:49" x14ac:dyDescent="0.25">
      <c r="Q59">
        <v>52</v>
      </c>
      <c r="R59" s="73">
        <f t="shared" si="0"/>
        <v>50</v>
      </c>
      <c r="S59" s="71">
        <f t="shared" si="32"/>
        <v>1.56</v>
      </c>
      <c r="T59" s="71">
        <f t="shared" si="2"/>
        <v>3</v>
      </c>
      <c r="U59" s="74">
        <f t="shared" si="33"/>
        <v>26</v>
      </c>
      <c r="V59" s="73">
        <f>IF(Variable_Management!$B$20=3,2,IF((S59*R59/T59)&lt;((T59*(1-(T59/R59)))/(2*Lm*Fsw)),1,2))</f>
        <v>2</v>
      </c>
      <c r="W59" s="71">
        <f t="shared" si="34"/>
        <v>0.94</v>
      </c>
      <c r="X59" s="74">
        <f t="shared" si="35"/>
        <v>6.0000000000000053E-2</v>
      </c>
      <c r="Y59" s="73">
        <f t="shared" si="36"/>
        <v>0.64090909090909098</v>
      </c>
      <c r="Z59" s="71">
        <f t="shared" si="30"/>
        <v>26.320454545454545</v>
      </c>
      <c r="AA59" s="71">
        <f t="shared" si="31"/>
        <v>26.00065826804969</v>
      </c>
      <c r="AB59" s="71">
        <v>0</v>
      </c>
      <c r="AC59" s="71">
        <f t="shared" si="37"/>
        <v>5.0702567277892561</v>
      </c>
      <c r="AD59" s="74">
        <f t="shared" si="16"/>
        <v>5.0702567277892561</v>
      </c>
      <c r="AE59" s="73">
        <f t="shared" si="29"/>
        <v>24.439999999999998</v>
      </c>
      <c r="AF59" s="71">
        <f t="shared" si="17"/>
        <v>25.208573473117966</v>
      </c>
      <c r="AG59" s="71">
        <f t="shared" si="38"/>
        <v>23.639564967644628</v>
      </c>
      <c r="AH59" s="71">
        <f t="shared" si="39"/>
        <v>5.4259485924112614</v>
      </c>
      <c r="AI59" s="74">
        <f t="shared" si="19"/>
        <v>29.065513560055891</v>
      </c>
      <c r="AJ59" s="73">
        <f t="shared" si="20"/>
        <v>1.5600000000000014</v>
      </c>
      <c r="AK59" s="71">
        <f t="shared" si="40"/>
        <v>6.3688345733198384</v>
      </c>
      <c r="AL59" s="71">
        <f t="shared" si="41"/>
        <v>0.35694607363636405</v>
      </c>
      <c r="AM59" s="71">
        <f t="shared" si="48"/>
        <v>0.73761600000000005</v>
      </c>
      <c r="AN59" s="188">
        <f t="shared" si="42"/>
        <v>0.18529600000000002</v>
      </c>
      <c r="AO59" s="74">
        <f t="shared" si="24"/>
        <v>1.2798580736363641</v>
      </c>
      <c r="AP59" s="73">
        <f t="shared" si="43"/>
        <v>1.3520684607438016</v>
      </c>
      <c r="AQ59" s="206">
        <f t="shared" si="44"/>
        <v>5.0702567277892561</v>
      </c>
      <c r="AR59" s="206">
        <f t="shared" si="45"/>
        <v>8.6013784318131857E-3</v>
      </c>
      <c r="AS59" s="71">
        <f t="shared" si="46"/>
        <v>4.3999999999999997E-2</v>
      </c>
      <c r="AT59" s="74">
        <f t="shared" si="47"/>
        <v>9.9000000000000001E-6</v>
      </c>
      <c r="AU59" s="73">
        <f t="shared" si="26"/>
        <v>41.890564828446379</v>
      </c>
      <c r="AV59" s="71">
        <f t="shared" si="27"/>
        <v>78</v>
      </c>
      <c r="AW59" s="74">
        <f t="shared" si="28"/>
        <v>65.059331492525402</v>
      </c>
    </row>
    <row r="60" spans="17:49" x14ac:dyDescent="0.25">
      <c r="Q60">
        <v>53</v>
      </c>
      <c r="R60" s="73">
        <f t="shared" si="0"/>
        <v>50</v>
      </c>
      <c r="S60" s="71">
        <f t="shared" si="32"/>
        <v>1.5899999999999999</v>
      </c>
      <c r="T60" s="71">
        <f t="shared" si="2"/>
        <v>3</v>
      </c>
      <c r="U60" s="74">
        <f t="shared" si="33"/>
        <v>26.5</v>
      </c>
      <c r="V60" s="73">
        <f>IF(Variable_Management!$B$20=3,2,IF((S60*R60/T60)&lt;((T60*(1-(T60/R60)))/(2*Lm*Fsw)),1,2))</f>
        <v>2</v>
      </c>
      <c r="W60" s="71">
        <f t="shared" si="34"/>
        <v>0.94</v>
      </c>
      <c r="X60" s="74">
        <f t="shared" si="35"/>
        <v>6.0000000000000053E-2</v>
      </c>
      <c r="Y60" s="73">
        <f t="shared" si="36"/>
        <v>0.64090909090909098</v>
      </c>
      <c r="Z60" s="71">
        <f t="shared" si="30"/>
        <v>26.820454545454545</v>
      </c>
      <c r="AA60" s="71">
        <f t="shared" si="31"/>
        <v>26.500645848203412</v>
      </c>
      <c r="AB60" s="71">
        <v>0</v>
      </c>
      <c r="AC60" s="71">
        <f t="shared" si="37"/>
        <v>5.2671317277892555</v>
      </c>
      <c r="AD60" s="74">
        <f t="shared" si="16"/>
        <v>5.2671317277892555</v>
      </c>
      <c r="AE60" s="73">
        <f t="shared" si="29"/>
        <v>24.91</v>
      </c>
      <c r="AF60" s="71">
        <f t="shared" si="17"/>
        <v>25.693329417371871</v>
      </c>
      <c r="AG60" s="71">
        <f t="shared" si="38"/>
        <v>24.55747496764463</v>
      </c>
      <c r="AH60" s="71">
        <f t="shared" si="39"/>
        <v>5.5302937576499396</v>
      </c>
      <c r="AI60" s="74">
        <f t="shared" si="19"/>
        <v>30.08776872529457</v>
      </c>
      <c r="AJ60" s="73">
        <f t="shared" si="20"/>
        <v>1.5900000000000014</v>
      </c>
      <c r="AK60" s="71">
        <f t="shared" si="40"/>
        <v>6.4913060182303903</v>
      </c>
      <c r="AL60" s="71">
        <f t="shared" si="41"/>
        <v>0.37080607363636398</v>
      </c>
      <c r="AM60" s="71">
        <f t="shared" si="48"/>
        <v>0.73761600000000005</v>
      </c>
      <c r="AN60" s="188">
        <f t="shared" si="42"/>
        <v>0.18881600000000001</v>
      </c>
      <c r="AO60" s="74">
        <f t="shared" si="24"/>
        <v>1.2972380736363642</v>
      </c>
      <c r="AP60" s="73">
        <f t="shared" si="43"/>
        <v>1.4045684607438016</v>
      </c>
      <c r="AQ60" s="206">
        <f t="shared" si="44"/>
        <v>5.2671317277892555</v>
      </c>
      <c r="AR60" s="206">
        <f t="shared" si="45"/>
        <v>8.6013784318131857E-3</v>
      </c>
      <c r="AS60" s="71">
        <f t="shared" si="46"/>
        <v>4.3999999999999997E-2</v>
      </c>
      <c r="AT60" s="74">
        <f t="shared" si="47"/>
        <v>9.9000000000000001E-6</v>
      </c>
      <c r="AU60" s="73">
        <f t="shared" si="26"/>
        <v>43.376449993685057</v>
      </c>
      <c r="AV60" s="71">
        <f t="shared" si="27"/>
        <v>79.5</v>
      </c>
      <c r="AW60" s="74">
        <f t="shared" si="28"/>
        <v>64.699134784644016</v>
      </c>
    </row>
    <row r="61" spans="17:49" x14ac:dyDescent="0.25">
      <c r="Q61">
        <v>54</v>
      </c>
      <c r="R61" s="73">
        <f t="shared" si="0"/>
        <v>50</v>
      </c>
      <c r="S61" s="71">
        <f t="shared" si="32"/>
        <v>1.6199999999999999</v>
      </c>
      <c r="T61" s="71">
        <f t="shared" si="2"/>
        <v>3</v>
      </c>
      <c r="U61" s="74">
        <f t="shared" si="33"/>
        <v>27</v>
      </c>
      <c r="V61" s="73">
        <f>IF(Variable_Management!$B$20=3,2,IF((S61*R61/T61)&lt;((T61*(1-(T61/R61)))/(2*Lm*Fsw)),1,2))</f>
        <v>2</v>
      </c>
      <c r="W61" s="71">
        <f t="shared" si="34"/>
        <v>0.94</v>
      </c>
      <c r="X61" s="74">
        <f t="shared" si="35"/>
        <v>6.0000000000000053E-2</v>
      </c>
      <c r="Y61" s="73">
        <f t="shared" si="36"/>
        <v>0.64090909090909098</v>
      </c>
      <c r="Z61" s="71">
        <f t="shared" si="30"/>
        <v>27.320454545454545</v>
      </c>
      <c r="AA61" s="71">
        <f t="shared" si="31"/>
        <v>27.000633888334931</v>
      </c>
      <c r="AB61" s="71">
        <v>0</v>
      </c>
      <c r="AC61" s="71">
        <f t="shared" si="37"/>
        <v>5.467756727789256</v>
      </c>
      <c r="AD61" s="74">
        <f t="shared" si="16"/>
        <v>5.467756727789256</v>
      </c>
      <c r="AE61" s="73">
        <f t="shared" si="29"/>
        <v>25.38</v>
      </c>
      <c r="AF61" s="71">
        <f t="shared" si="17"/>
        <v>26.178085807590797</v>
      </c>
      <c r="AG61" s="71">
        <f t="shared" si="38"/>
        <v>25.492868967644629</v>
      </c>
      <c r="AH61" s="71">
        <f t="shared" si="39"/>
        <v>5.6346389228886169</v>
      </c>
      <c r="AI61" s="74">
        <f t="shared" si="19"/>
        <v>31.127507890533245</v>
      </c>
      <c r="AJ61" s="73">
        <f t="shared" si="20"/>
        <v>1.6200000000000014</v>
      </c>
      <c r="AK61" s="71">
        <f t="shared" si="40"/>
        <v>6.6137775758120325</v>
      </c>
      <c r="AL61" s="71">
        <f t="shared" si="41"/>
        <v>0.38493007363636395</v>
      </c>
      <c r="AM61" s="71">
        <f t="shared" si="48"/>
        <v>0.73761600000000005</v>
      </c>
      <c r="AN61" s="188">
        <f t="shared" si="42"/>
        <v>0.19233600000000001</v>
      </c>
      <c r="AO61" s="74">
        <f t="shared" si="24"/>
        <v>1.314882073636364</v>
      </c>
      <c r="AP61" s="73">
        <f t="shared" si="43"/>
        <v>1.4580684607438015</v>
      </c>
      <c r="AQ61" s="206">
        <f t="shared" si="44"/>
        <v>5.467756727789256</v>
      </c>
      <c r="AR61" s="206">
        <f t="shared" si="45"/>
        <v>8.6013784318131857E-3</v>
      </c>
      <c r="AS61" s="71">
        <f t="shared" si="46"/>
        <v>4.3999999999999997E-2</v>
      </c>
      <c r="AT61" s="74">
        <f t="shared" si="47"/>
        <v>9.9000000000000001E-6</v>
      </c>
      <c r="AU61" s="73">
        <f t="shared" si="26"/>
        <v>44.888583158923737</v>
      </c>
      <c r="AV61" s="71">
        <f t="shared" si="27"/>
        <v>81</v>
      </c>
      <c r="AW61" s="74">
        <f t="shared" si="28"/>
        <v>64.342609923367178</v>
      </c>
    </row>
    <row r="62" spans="17:49" x14ac:dyDescent="0.25">
      <c r="Q62">
        <v>55</v>
      </c>
      <c r="R62" s="73">
        <f t="shared" si="0"/>
        <v>50</v>
      </c>
      <c r="S62" s="71">
        <f t="shared" si="32"/>
        <v>1.65</v>
      </c>
      <c r="T62" s="71">
        <f t="shared" si="2"/>
        <v>3</v>
      </c>
      <c r="U62" s="74">
        <f t="shared" si="33"/>
        <v>27.5</v>
      </c>
      <c r="V62" s="73">
        <f>IF(Variable_Management!$B$20=3,2,IF((S62*R62/T62)&lt;((T62*(1-(T62/R62)))/(2*Lm*Fsw)),1,2))</f>
        <v>2</v>
      </c>
      <c r="W62" s="71">
        <f t="shared" si="34"/>
        <v>0.94</v>
      </c>
      <c r="X62" s="74">
        <f t="shared" si="35"/>
        <v>6.0000000000000053E-2</v>
      </c>
      <c r="Y62" s="73">
        <f t="shared" si="36"/>
        <v>0.64090909090909098</v>
      </c>
      <c r="Z62" s="71">
        <f t="shared" si="30"/>
        <v>27.820454545454545</v>
      </c>
      <c r="AA62" s="71">
        <f t="shared" si="31"/>
        <v>27.500622363355721</v>
      </c>
      <c r="AB62" s="71">
        <v>0</v>
      </c>
      <c r="AC62" s="71">
        <f t="shared" si="37"/>
        <v>5.6721317277892558</v>
      </c>
      <c r="AD62" s="74">
        <f t="shared" si="16"/>
        <v>5.6721317277892558</v>
      </c>
      <c r="AE62" s="73">
        <f t="shared" si="29"/>
        <v>25.849999999999998</v>
      </c>
      <c r="AF62" s="71">
        <f t="shared" si="17"/>
        <v>26.662842619450512</v>
      </c>
      <c r="AG62" s="71">
        <f t="shared" si="38"/>
        <v>26.445746967644627</v>
      </c>
      <c r="AH62" s="71">
        <f t="shared" si="39"/>
        <v>5.7389840881272951</v>
      </c>
      <c r="AI62" s="74">
        <f t="shared" si="19"/>
        <v>32.18473105577192</v>
      </c>
      <c r="AJ62" s="73">
        <f t="shared" si="20"/>
        <v>1.6500000000000015</v>
      </c>
      <c r="AK62" s="71">
        <f t="shared" si="40"/>
        <v>6.7362492399193554</v>
      </c>
      <c r="AL62" s="71">
        <f t="shared" si="41"/>
        <v>0.39931807363636407</v>
      </c>
      <c r="AM62" s="71">
        <f t="shared" si="48"/>
        <v>0.73761600000000005</v>
      </c>
      <c r="AN62" s="188">
        <f t="shared" si="42"/>
        <v>0.195856</v>
      </c>
      <c r="AO62" s="74">
        <f t="shared" si="24"/>
        <v>1.3327900736363643</v>
      </c>
      <c r="AP62" s="73">
        <f t="shared" si="43"/>
        <v>1.5125684607438017</v>
      </c>
      <c r="AQ62" s="206">
        <f t="shared" si="44"/>
        <v>5.6721317277892558</v>
      </c>
      <c r="AR62" s="206">
        <f t="shared" si="45"/>
        <v>8.6013784318131857E-3</v>
      </c>
      <c r="AS62" s="71">
        <f t="shared" si="46"/>
        <v>4.3999999999999997E-2</v>
      </c>
      <c r="AT62" s="74">
        <f t="shared" si="47"/>
        <v>9.9000000000000001E-6</v>
      </c>
      <c r="AU62" s="73">
        <f t="shared" si="26"/>
        <v>46.426964324162412</v>
      </c>
      <c r="AV62" s="71">
        <f t="shared" si="27"/>
        <v>82.5</v>
      </c>
      <c r="AW62" s="74">
        <f t="shared" si="28"/>
        <v>63.989717304263358</v>
      </c>
    </row>
    <row r="63" spans="17:49" x14ac:dyDescent="0.25">
      <c r="Q63">
        <v>56</v>
      </c>
      <c r="R63" s="73">
        <f t="shared" si="0"/>
        <v>50</v>
      </c>
      <c r="S63" s="71">
        <f t="shared" si="32"/>
        <v>1.68</v>
      </c>
      <c r="T63" s="71">
        <f t="shared" si="2"/>
        <v>3</v>
      </c>
      <c r="U63" s="74">
        <f t="shared" si="33"/>
        <v>28</v>
      </c>
      <c r="V63" s="73">
        <f>IF(Variable_Management!$B$20=3,2,IF((S63*R63/T63)&lt;((T63*(1-(T63/R63)))/(2*Lm*Fsw)),1,2))</f>
        <v>2</v>
      </c>
      <c r="W63" s="71">
        <f t="shared" si="34"/>
        <v>0.94</v>
      </c>
      <c r="X63" s="74">
        <f t="shared" si="35"/>
        <v>6.0000000000000053E-2</v>
      </c>
      <c r="Y63" s="73">
        <f t="shared" si="36"/>
        <v>0.64090909090909098</v>
      </c>
      <c r="Z63" s="71">
        <f t="shared" si="30"/>
        <v>28.320454545454545</v>
      </c>
      <c r="AA63" s="71">
        <f t="shared" si="31"/>
        <v>28.000611249969182</v>
      </c>
      <c r="AB63" s="71">
        <v>0</v>
      </c>
      <c r="AC63" s="71">
        <f t="shared" si="37"/>
        <v>5.8802567277892557</v>
      </c>
      <c r="AD63" s="74">
        <f t="shared" si="16"/>
        <v>5.8802567277892557</v>
      </c>
      <c r="AE63" s="73">
        <f t="shared" si="29"/>
        <v>26.32</v>
      </c>
      <c r="AF63" s="71">
        <f t="shared" si="17"/>
        <v>27.147599830364136</v>
      </c>
      <c r="AG63" s="71">
        <f t="shared" si="38"/>
        <v>27.416108967644636</v>
      </c>
      <c r="AH63" s="71">
        <f t="shared" si="39"/>
        <v>5.8433292533659733</v>
      </c>
      <c r="AI63" s="74">
        <f t="shared" si="19"/>
        <v>33.259438221010612</v>
      </c>
      <c r="AJ63" s="73">
        <f t="shared" si="20"/>
        <v>1.6800000000000015</v>
      </c>
      <c r="AK63" s="71">
        <f t="shared" si="40"/>
        <v>6.8587210048458811</v>
      </c>
      <c r="AL63" s="71">
        <f t="shared" si="41"/>
        <v>0.41397007363636407</v>
      </c>
      <c r="AM63" s="71">
        <f t="shared" si="48"/>
        <v>0.73761600000000005</v>
      </c>
      <c r="AN63" s="188">
        <f t="shared" si="42"/>
        <v>0.199376</v>
      </c>
      <c r="AO63" s="74">
        <f t="shared" si="24"/>
        <v>1.3509620736363641</v>
      </c>
      <c r="AP63" s="73">
        <f t="shared" si="43"/>
        <v>1.5680684607438016</v>
      </c>
      <c r="AQ63" s="206">
        <f t="shared" si="44"/>
        <v>5.8802567277892557</v>
      </c>
      <c r="AR63" s="206">
        <f t="shared" si="45"/>
        <v>8.6013784318131857E-3</v>
      </c>
      <c r="AS63" s="71">
        <f t="shared" si="46"/>
        <v>4.3999999999999997E-2</v>
      </c>
      <c r="AT63" s="74">
        <f t="shared" si="47"/>
        <v>9.9000000000000001E-6</v>
      </c>
      <c r="AU63" s="73">
        <f t="shared" si="26"/>
        <v>47.99159348940109</v>
      </c>
      <c r="AV63" s="71">
        <f t="shared" si="27"/>
        <v>84</v>
      </c>
      <c r="AW63" s="74">
        <f t="shared" si="28"/>
        <v>63.640416619976023</v>
      </c>
    </row>
    <row r="64" spans="17:49" x14ac:dyDescent="0.25">
      <c r="Q64">
        <v>57</v>
      </c>
      <c r="R64" s="73">
        <f t="shared" si="0"/>
        <v>50</v>
      </c>
      <c r="S64" s="71">
        <f t="shared" si="32"/>
        <v>1.71</v>
      </c>
      <c r="T64" s="71">
        <f t="shared" si="2"/>
        <v>3</v>
      </c>
      <c r="U64" s="74">
        <f t="shared" si="33"/>
        <v>28.5</v>
      </c>
      <c r="V64" s="73">
        <f>IF(Variable_Management!$B$20=3,2,IF((S64*R64/T64)&lt;((T64*(1-(T64/R64)))/(2*Lm*Fsw)),1,2))</f>
        <v>2</v>
      </c>
      <c r="W64" s="71">
        <f t="shared" si="34"/>
        <v>0.94</v>
      </c>
      <c r="X64" s="74">
        <f t="shared" si="35"/>
        <v>6.0000000000000053E-2</v>
      </c>
      <c r="Y64" s="73">
        <f t="shared" si="36"/>
        <v>0.64090909090909098</v>
      </c>
      <c r="Z64" s="71">
        <f t="shared" si="30"/>
        <v>28.820454545454545</v>
      </c>
      <c r="AA64" s="71">
        <f t="shared" si="31"/>
        <v>28.500600526513487</v>
      </c>
      <c r="AB64" s="71">
        <v>0</v>
      </c>
      <c r="AC64" s="71">
        <f t="shared" si="37"/>
        <v>6.0921317277892566</v>
      </c>
      <c r="AD64" s="74">
        <f t="shared" si="16"/>
        <v>6.0921317277892566</v>
      </c>
      <c r="AE64" s="73">
        <f t="shared" si="29"/>
        <v>26.79</v>
      </c>
      <c r="AF64" s="71">
        <f t="shared" si="17"/>
        <v>27.632357419329729</v>
      </c>
      <c r="AG64" s="71">
        <f t="shared" si="38"/>
        <v>28.40395496764463</v>
      </c>
      <c r="AH64" s="71">
        <f t="shared" si="39"/>
        <v>5.9476744186046515</v>
      </c>
      <c r="AI64" s="74">
        <f t="shared" si="19"/>
        <v>34.351629386249279</v>
      </c>
      <c r="AJ64" s="73">
        <f t="shared" si="20"/>
        <v>1.7100000000000015</v>
      </c>
      <c r="AK64" s="71">
        <f t="shared" si="40"/>
        <v>6.9811928652855659</v>
      </c>
      <c r="AL64" s="71">
        <f t="shared" si="41"/>
        <v>0.428886073636364</v>
      </c>
      <c r="AM64" s="71">
        <f t="shared" si="48"/>
        <v>0.73761600000000005</v>
      </c>
      <c r="AN64" s="188">
        <f t="shared" si="42"/>
        <v>0.20289599999999999</v>
      </c>
      <c r="AO64" s="74">
        <f t="shared" si="24"/>
        <v>1.369398073636364</v>
      </c>
      <c r="AP64" s="73">
        <f t="shared" si="43"/>
        <v>1.6245684607438018</v>
      </c>
      <c r="AQ64" s="206">
        <f t="shared" si="44"/>
        <v>6.0921317277892566</v>
      </c>
      <c r="AR64" s="206">
        <f t="shared" si="45"/>
        <v>8.6013784318131857E-3</v>
      </c>
      <c r="AS64" s="71">
        <f t="shared" si="46"/>
        <v>4.3999999999999997E-2</v>
      </c>
      <c r="AT64" s="74">
        <f t="shared" si="47"/>
        <v>9.9000000000000001E-6</v>
      </c>
      <c r="AU64" s="73">
        <f t="shared" si="26"/>
        <v>49.582470654639771</v>
      </c>
      <c r="AV64" s="71">
        <f t="shared" si="27"/>
        <v>85.5</v>
      </c>
      <c r="AW64" s="74">
        <f t="shared" si="28"/>
        <v>63.294667017598904</v>
      </c>
    </row>
    <row r="65" spans="17:49" x14ac:dyDescent="0.25">
      <c r="Q65">
        <v>58</v>
      </c>
      <c r="R65" s="73">
        <f t="shared" si="0"/>
        <v>50</v>
      </c>
      <c r="S65" s="71">
        <f t="shared" si="32"/>
        <v>1.74</v>
      </c>
      <c r="T65" s="71">
        <f t="shared" si="2"/>
        <v>3</v>
      </c>
      <c r="U65" s="74">
        <f t="shared" si="33"/>
        <v>29</v>
      </c>
      <c r="V65" s="73">
        <f>IF(Variable_Management!$B$20=3,2,IF((S65*R65/T65)&lt;((T65*(1-(T65/R65)))/(2*Lm*Fsw)),1,2))</f>
        <v>2</v>
      </c>
      <c r="W65" s="71">
        <f t="shared" si="34"/>
        <v>0.94</v>
      </c>
      <c r="X65" s="74">
        <f t="shared" si="35"/>
        <v>6.0000000000000053E-2</v>
      </c>
      <c r="Y65" s="73">
        <f t="shared" si="36"/>
        <v>0.64090909090909098</v>
      </c>
      <c r="Z65" s="71">
        <f t="shared" si="30"/>
        <v>29.320454545454545</v>
      </c>
      <c r="AA65" s="71">
        <f t="shared" si="31"/>
        <v>29.000590172820633</v>
      </c>
      <c r="AB65" s="71">
        <v>0</v>
      </c>
      <c r="AC65" s="71">
        <f t="shared" si="37"/>
        <v>6.307756727789255</v>
      </c>
      <c r="AD65" s="74">
        <f t="shared" si="16"/>
        <v>6.307756727789255</v>
      </c>
      <c r="AE65" s="73">
        <f t="shared" si="29"/>
        <v>27.259999999999998</v>
      </c>
      <c r="AF65" s="71">
        <f t="shared" si="17"/>
        <v>28.117115366793705</v>
      </c>
      <c r="AG65" s="71">
        <f t="shared" si="38"/>
        <v>29.409284967644631</v>
      </c>
      <c r="AH65" s="71">
        <f t="shared" si="39"/>
        <v>6.0520195838433297</v>
      </c>
      <c r="AI65" s="74">
        <f t="shared" si="19"/>
        <v>35.461304551487963</v>
      </c>
      <c r="AJ65" s="73">
        <f t="shared" si="20"/>
        <v>1.7400000000000015</v>
      </c>
      <c r="AK65" s="71">
        <f t="shared" si="40"/>
        <v>7.1036648162982816</v>
      </c>
      <c r="AL65" s="71">
        <f t="shared" si="41"/>
        <v>0.44406607363636408</v>
      </c>
      <c r="AM65" s="71">
        <f t="shared" si="48"/>
        <v>0.73761600000000005</v>
      </c>
      <c r="AN65" s="188">
        <f t="shared" si="42"/>
        <v>0.20641600000000002</v>
      </c>
      <c r="AO65" s="74">
        <f t="shared" si="24"/>
        <v>1.3880980736363639</v>
      </c>
      <c r="AP65" s="73">
        <f t="shared" si="43"/>
        <v>1.6820684607438015</v>
      </c>
      <c r="AQ65" s="206">
        <f t="shared" si="44"/>
        <v>6.307756727789255</v>
      </c>
      <c r="AR65" s="206">
        <f t="shared" si="45"/>
        <v>8.6013784318131857E-3</v>
      </c>
      <c r="AS65" s="71">
        <f t="shared" si="46"/>
        <v>4.3999999999999997E-2</v>
      </c>
      <c r="AT65" s="74">
        <f t="shared" si="47"/>
        <v>9.9000000000000001E-6</v>
      </c>
      <c r="AU65" s="73">
        <f t="shared" si="26"/>
        <v>51.199595819878446</v>
      </c>
      <c r="AV65" s="71">
        <f t="shared" si="27"/>
        <v>87</v>
      </c>
      <c r="AW65" s="74">
        <f t="shared" si="28"/>
        <v>62.952427236756094</v>
      </c>
    </row>
    <row r="66" spans="17:49" x14ac:dyDescent="0.25">
      <c r="Q66">
        <v>59</v>
      </c>
      <c r="R66" s="73">
        <f t="shared" si="0"/>
        <v>50</v>
      </c>
      <c r="S66" s="71">
        <f t="shared" si="32"/>
        <v>1.77</v>
      </c>
      <c r="T66" s="71">
        <f t="shared" si="2"/>
        <v>3</v>
      </c>
      <c r="U66" s="74">
        <f t="shared" si="33"/>
        <v>29.5</v>
      </c>
      <c r="V66" s="73">
        <f>IF(Variable_Management!$B$20=3,2,IF((S66*R66/T66)&lt;((T66*(1-(T66/R66)))/(2*Lm*Fsw)),1,2))</f>
        <v>2</v>
      </c>
      <c r="W66" s="71">
        <f t="shared" si="34"/>
        <v>0.94</v>
      </c>
      <c r="X66" s="74">
        <f t="shared" si="35"/>
        <v>6.0000000000000053E-2</v>
      </c>
      <c r="Y66" s="73">
        <f t="shared" si="36"/>
        <v>0.64090909090909098</v>
      </c>
      <c r="Z66" s="71">
        <f t="shared" si="30"/>
        <v>29.820454545454545</v>
      </c>
      <c r="AA66" s="71">
        <f t="shared" si="31"/>
        <v>29.50058017008989</v>
      </c>
      <c r="AB66" s="71">
        <v>0</v>
      </c>
      <c r="AC66" s="71">
        <f t="shared" si="37"/>
        <v>6.5271317277892562</v>
      </c>
      <c r="AD66" s="74">
        <f t="shared" si="16"/>
        <v>6.5271317277892562</v>
      </c>
      <c r="AE66" s="73">
        <f t="shared" si="29"/>
        <v>27.729999999999997</v>
      </c>
      <c r="AF66" s="71">
        <f t="shared" si="17"/>
        <v>28.601873654528067</v>
      </c>
      <c r="AG66" s="71">
        <f t="shared" si="38"/>
        <v>30.432098967644631</v>
      </c>
      <c r="AH66" s="71">
        <f t="shared" si="39"/>
        <v>6.1563647490820079</v>
      </c>
      <c r="AI66" s="74">
        <f t="shared" si="19"/>
        <v>36.588463716726636</v>
      </c>
      <c r="AJ66" s="73">
        <f t="shared" si="20"/>
        <v>1.7700000000000016</v>
      </c>
      <c r="AK66" s="71">
        <f t="shared" si="40"/>
        <v>7.2261368532788044</v>
      </c>
      <c r="AL66" s="71">
        <f t="shared" si="41"/>
        <v>0.45951007363636409</v>
      </c>
      <c r="AM66" s="71">
        <f t="shared" si="48"/>
        <v>0.73761600000000005</v>
      </c>
      <c r="AN66" s="188">
        <f t="shared" si="42"/>
        <v>0.20993600000000001</v>
      </c>
      <c r="AO66" s="74">
        <f t="shared" si="24"/>
        <v>1.4070620736363639</v>
      </c>
      <c r="AP66" s="73">
        <f t="shared" si="43"/>
        <v>1.7405684607438019</v>
      </c>
      <c r="AQ66" s="206">
        <f t="shared" si="44"/>
        <v>6.5271317277892562</v>
      </c>
      <c r="AR66" s="206">
        <f t="shared" si="45"/>
        <v>8.6013784318131857E-3</v>
      </c>
      <c r="AS66" s="71">
        <f t="shared" si="46"/>
        <v>4.3999999999999997E-2</v>
      </c>
      <c r="AT66" s="74">
        <f t="shared" si="47"/>
        <v>9.9000000000000001E-6</v>
      </c>
      <c r="AU66" s="73">
        <f t="shared" si="26"/>
        <v>52.842968985117118</v>
      </c>
      <c r="AV66" s="71">
        <f t="shared" si="27"/>
        <v>88.5</v>
      </c>
      <c r="AW66" s="74">
        <f t="shared" si="28"/>
        <v>62.613655730776898</v>
      </c>
    </row>
    <row r="67" spans="17:49" x14ac:dyDescent="0.25">
      <c r="Q67">
        <v>60</v>
      </c>
      <c r="R67" s="73">
        <f t="shared" si="0"/>
        <v>50</v>
      </c>
      <c r="S67" s="71">
        <f t="shared" si="32"/>
        <v>1.7999999999999998</v>
      </c>
      <c r="T67" s="71">
        <f t="shared" si="2"/>
        <v>3</v>
      </c>
      <c r="U67" s="74">
        <f t="shared" si="33"/>
        <v>29.999999999999996</v>
      </c>
      <c r="V67" s="73">
        <f>IF(Variable_Management!$B$20=3,2,IF((S67*R67/T67)&lt;((T67*(1-(T67/R67)))/(2*Lm*Fsw)),1,2))</f>
        <v>2</v>
      </c>
      <c r="W67" s="71">
        <f t="shared" si="34"/>
        <v>0.94</v>
      </c>
      <c r="X67" s="74">
        <f t="shared" si="35"/>
        <v>6.0000000000000053E-2</v>
      </c>
      <c r="Y67" s="73">
        <f t="shared" si="36"/>
        <v>0.64090909090909098</v>
      </c>
      <c r="Z67" s="71">
        <f t="shared" si="30"/>
        <v>30.320454545454542</v>
      </c>
      <c r="AA67" s="71">
        <f t="shared" si="31"/>
        <v>30.000570500773822</v>
      </c>
      <c r="AB67" s="71">
        <v>0</v>
      </c>
      <c r="AC67" s="71">
        <f t="shared" si="37"/>
        <v>6.7502567277892531</v>
      </c>
      <c r="AD67" s="74">
        <f t="shared" si="16"/>
        <v>6.7502567277892531</v>
      </c>
      <c r="AE67" s="73">
        <f t="shared" si="29"/>
        <v>28.199999999999996</v>
      </c>
      <c r="AF67" s="71">
        <f t="shared" si="17"/>
        <v>29.086632265519956</v>
      </c>
      <c r="AG67" s="71">
        <f t="shared" si="38"/>
        <v>31.472396967644624</v>
      </c>
      <c r="AH67" s="71">
        <f t="shared" si="39"/>
        <v>6.2607099143206844</v>
      </c>
      <c r="AI67" s="74">
        <f t="shared" si="19"/>
        <v>37.733106881965305</v>
      </c>
      <c r="AJ67" s="73">
        <f t="shared" si="20"/>
        <v>1.8000000000000014</v>
      </c>
      <c r="AK67" s="71">
        <f t="shared" si="40"/>
        <v>7.3486089719289112</v>
      </c>
      <c r="AL67" s="71">
        <f t="shared" si="41"/>
        <v>0.47521807363636404</v>
      </c>
      <c r="AM67" s="71">
        <f t="shared" si="48"/>
        <v>0.73761600000000005</v>
      </c>
      <c r="AN67" s="188">
        <f t="shared" si="42"/>
        <v>0.21345599999999998</v>
      </c>
      <c r="AO67" s="74">
        <f t="shared" si="24"/>
        <v>1.426290073636364</v>
      </c>
      <c r="AP67" s="73">
        <f t="shared" si="43"/>
        <v>1.8000684607438009</v>
      </c>
      <c r="AQ67" s="206">
        <f t="shared" si="44"/>
        <v>6.7502567277892531</v>
      </c>
      <c r="AR67" s="206">
        <f t="shared" si="45"/>
        <v>8.6013784318131857E-3</v>
      </c>
      <c r="AS67" s="71">
        <f t="shared" si="46"/>
        <v>4.3999999999999997E-2</v>
      </c>
      <c r="AT67" s="74">
        <f t="shared" si="47"/>
        <v>9.9000000000000001E-6</v>
      </c>
      <c r="AU67" s="73">
        <f t="shared" si="26"/>
        <v>54.512590150355798</v>
      </c>
      <c r="AV67" s="71">
        <f t="shared" si="27"/>
        <v>89.999999999999986</v>
      </c>
      <c r="AW67" s="74">
        <f t="shared" si="28"/>
        <v>62.278310773034342</v>
      </c>
    </row>
    <row r="68" spans="17:49" x14ac:dyDescent="0.25">
      <c r="Q68">
        <v>61</v>
      </c>
      <c r="R68" s="73">
        <f t="shared" si="0"/>
        <v>50</v>
      </c>
      <c r="S68" s="71">
        <f t="shared" si="32"/>
        <v>1.8299999999999998</v>
      </c>
      <c r="T68" s="71">
        <f t="shared" si="2"/>
        <v>3</v>
      </c>
      <c r="U68" s="74">
        <f t="shared" si="33"/>
        <v>30.499999999999996</v>
      </c>
      <c r="V68" s="73">
        <f>IF(Variable_Management!$B$20=3,2,IF((S68*R68/T68)&lt;((T68*(1-(T68/R68)))/(2*Lm*Fsw)),1,2))</f>
        <v>2</v>
      </c>
      <c r="W68" s="71">
        <f t="shared" si="34"/>
        <v>0.94</v>
      </c>
      <c r="X68" s="74">
        <f t="shared" si="35"/>
        <v>6.0000000000000053E-2</v>
      </c>
      <c r="Y68" s="73">
        <f t="shared" si="36"/>
        <v>0.64090909090909098</v>
      </c>
      <c r="Z68" s="71">
        <f t="shared" si="30"/>
        <v>30.820454545454542</v>
      </c>
      <c r="AA68" s="71">
        <f t="shared" si="31"/>
        <v>30.500561148475622</v>
      </c>
      <c r="AB68" s="71">
        <v>0</v>
      </c>
      <c r="AC68" s="71">
        <f t="shared" si="37"/>
        <v>6.9771317277892537</v>
      </c>
      <c r="AD68" s="74">
        <f t="shared" si="16"/>
        <v>6.9771317277892537</v>
      </c>
      <c r="AE68" s="73">
        <f t="shared" si="29"/>
        <v>28.669999999999995</v>
      </c>
      <c r="AF68" s="71">
        <f t="shared" si="17"/>
        <v>29.571391183872066</v>
      </c>
      <c r="AG68" s="71">
        <f t="shared" si="38"/>
        <v>32.530178967644623</v>
      </c>
      <c r="AH68" s="71">
        <f t="shared" si="39"/>
        <v>6.3650550795593626</v>
      </c>
      <c r="AI68" s="74">
        <f t="shared" si="19"/>
        <v>38.895234047203985</v>
      </c>
      <c r="AJ68" s="73">
        <f t="shared" si="20"/>
        <v>1.8300000000000014</v>
      </c>
      <c r="AK68" s="71">
        <f t="shared" si="40"/>
        <v>7.4710811682322182</v>
      </c>
      <c r="AL68" s="71">
        <f t="shared" si="41"/>
        <v>0.49119007363636397</v>
      </c>
      <c r="AM68" s="71">
        <f t="shared" si="48"/>
        <v>0.73761600000000005</v>
      </c>
      <c r="AN68" s="188">
        <f t="shared" si="42"/>
        <v>0.21697599999999997</v>
      </c>
      <c r="AO68" s="74">
        <f t="shared" si="24"/>
        <v>1.445782073636364</v>
      </c>
      <c r="AP68" s="73">
        <f t="shared" si="43"/>
        <v>1.8605684607438011</v>
      </c>
      <c r="AQ68" s="206">
        <f t="shared" si="44"/>
        <v>6.9771317277892537</v>
      </c>
      <c r="AR68" s="206">
        <f t="shared" si="45"/>
        <v>8.6013784318131857E-3</v>
      </c>
      <c r="AS68" s="71">
        <f t="shared" si="46"/>
        <v>4.3999999999999997E-2</v>
      </c>
      <c r="AT68" s="74">
        <f t="shared" si="47"/>
        <v>9.9000000000000001E-6</v>
      </c>
      <c r="AU68" s="73">
        <f t="shared" si="26"/>
        <v>56.208459315594475</v>
      </c>
      <c r="AV68" s="71">
        <f t="shared" si="27"/>
        <v>91.499999999999986</v>
      </c>
      <c r="AW68" s="74">
        <f t="shared" si="28"/>
        <v>61.946350550242165</v>
      </c>
    </row>
    <row r="69" spans="17:49" x14ac:dyDescent="0.25">
      <c r="Q69">
        <v>62</v>
      </c>
      <c r="R69" s="73">
        <f t="shared" si="0"/>
        <v>50</v>
      </c>
      <c r="S69" s="71">
        <f t="shared" si="32"/>
        <v>1.8599999999999999</v>
      </c>
      <c r="T69" s="71">
        <f t="shared" si="2"/>
        <v>3</v>
      </c>
      <c r="U69" s="74">
        <f t="shared" si="33"/>
        <v>31</v>
      </c>
      <c r="V69" s="73">
        <f>IF(Variable_Management!$B$20=3,2,IF((S69*R69/T69)&lt;((T69*(1-(T69/R69)))/(2*Lm*Fsw)),1,2))</f>
        <v>2</v>
      </c>
      <c r="W69" s="71">
        <f t="shared" si="34"/>
        <v>0.94</v>
      </c>
      <c r="X69" s="74">
        <f t="shared" si="35"/>
        <v>6.0000000000000053E-2</v>
      </c>
      <c r="Y69" s="73">
        <f t="shared" si="36"/>
        <v>0.64090909090909098</v>
      </c>
      <c r="Z69" s="71">
        <f t="shared" si="30"/>
        <v>31.320454545454545</v>
      </c>
      <c r="AA69" s="71">
        <f t="shared" si="31"/>
        <v>31.000552097856271</v>
      </c>
      <c r="AB69" s="71">
        <v>0</v>
      </c>
      <c r="AC69" s="71">
        <f t="shared" si="37"/>
        <v>7.2077567277892562</v>
      </c>
      <c r="AD69" s="74">
        <f t="shared" si="16"/>
        <v>7.2077567277892562</v>
      </c>
      <c r="AE69" s="73">
        <f t="shared" si="29"/>
        <v>29.139999999999997</v>
      </c>
      <c r="AF69" s="71">
        <f t="shared" si="17"/>
        <v>30.05615039471267</v>
      </c>
      <c r="AG69" s="71">
        <f t="shared" si="38"/>
        <v>33.605444967644623</v>
      </c>
      <c r="AH69" s="71">
        <f t="shared" si="39"/>
        <v>6.4694002447980417</v>
      </c>
      <c r="AI69" s="74">
        <f t="shared" si="19"/>
        <v>40.074845212442668</v>
      </c>
      <c r="AJ69" s="73">
        <f t="shared" si="20"/>
        <v>1.8600000000000017</v>
      </c>
      <c r="AK69" s="71">
        <f t="shared" si="40"/>
        <v>7.5935534384314503</v>
      </c>
      <c r="AL69" s="71">
        <f t="shared" si="41"/>
        <v>0.50742607363636416</v>
      </c>
      <c r="AM69" s="71">
        <f t="shared" si="48"/>
        <v>0.73761600000000005</v>
      </c>
      <c r="AN69" s="188">
        <f t="shared" si="42"/>
        <v>0.220496</v>
      </c>
      <c r="AO69" s="74">
        <f t="shared" si="24"/>
        <v>1.4655380736363643</v>
      </c>
      <c r="AP69" s="73">
        <f t="shared" si="43"/>
        <v>1.9220684607438019</v>
      </c>
      <c r="AQ69" s="206">
        <f t="shared" si="44"/>
        <v>7.2077567277892562</v>
      </c>
      <c r="AR69" s="206">
        <f t="shared" si="45"/>
        <v>8.6013784318131857E-3</v>
      </c>
      <c r="AS69" s="71">
        <f t="shared" si="46"/>
        <v>4.3999999999999997E-2</v>
      </c>
      <c r="AT69" s="74">
        <f t="shared" si="47"/>
        <v>9.9000000000000001E-6</v>
      </c>
      <c r="AU69" s="73">
        <f t="shared" si="26"/>
        <v>57.93057648083316</v>
      </c>
      <c r="AV69" s="71">
        <f t="shared" si="27"/>
        <v>93</v>
      </c>
      <c r="AW69" s="74">
        <f t="shared" si="28"/>
        <v>61.617733244270866</v>
      </c>
    </row>
    <row r="70" spans="17:49" x14ac:dyDescent="0.25">
      <c r="Q70">
        <v>63</v>
      </c>
      <c r="R70" s="73">
        <f t="shared" si="0"/>
        <v>50</v>
      </c>
      <c r="S70" s="71">
        <f t="shared" si="32"/>
        <v>1.89</v>
      </c>
      <c r="T70" s="71">
        <f t="shared" si="2"/>
        <v>3</v>
      </c>
      <c r="U70" s="74">
        <f t="shared" si="33"/>
        <v>31.5</v>
      </c>
      <c r="V70" s="73">
        <f>IF(Variable_Management!$B$20=3,2,IF((S70*R70/T70)&lt;((T70*(1-(T70/R70)))/(2*Lm*Fsw)),1,2))</f>
        <v>2</v>
      </c>
      <c r="W70" s="71">
        <f t="shared" si="34"/>
        <v>0.94</v>
      </c>
      <c r="X70" s="74">
        <f t="shared" si="35"/>
        <v>6.0000000000000053E-2</v>
      </c>
      <c r="Y70" s="73">
        <f t="shared" si="36"/>
        <v>0.64090909090909098</v>
      </c>
      <c r="Z70" s="71">
        <f t="shared" si="30"/>
        <v>31.820454545454545</v>
      </c>
      <c r="AA70" s="71">
        <f t="shared" si="31"/>
        <v>31.50054333455061</v>
      </c>
      <c r="AB70" s="71">
        <v>0</v>
      </c>
      <c r="AC70" s="71">
        <f t="shared" si="37"/>
        <v>7.4421317277892562</v>
      </c>
      <c r="AD70" s="74">
        <f t="shared" si="16"/>
        <v>7.4421317277892562</v>
      </c>
      <c r="AE70" s="73">
        <f t="shared" si="29"/>
        <v>29.61</v>
      </c>
      <c r="AF70" s="71">
        <f t="shared" si="17"/>
        <v>30.540909884114239</v>
      </c>
      <c r="AG70" s="71">
        <f t="shared" si="38"/>
        <v>34.698194967644632</v>
      </c>
      <c r="AH70" s="71">
        <f t="shared" si="39"/>
        <v>6.5737454100367199</v>
      </c>
      <c r="AI70" s="74">
        <f t="shared" si="19"/>
        <v>41.271940377681354</v>
      </c>
      <c r="AJ70" s="73">
        <f t="shared" si="20"/>
        <v>1.8900000000000017</v>
      </c>
      <c r="AK70" s="71">
        <f t="shared" si="40"/>
        <v>7.7160257790078761</v>
      </c>
      <c r="AL70" s="71">
        <f t="shared" si="41"/>
        <v>0.52392607363636412</v>
      </c>
      <c r="AM70" s="71">
        <f t="shared" si="48"/>
        <v>0.73761600000000005</v>
      </c>
      <c r="AN70" s="188">
        <f t="shared" si="42"/>
        <v>0.22401600000000002</v>
      </c>
      <c r="AO70" s="74">
        <f t="shared" si="24"/>
        <v>1.4855580736363641</v>
      </c>
      <c r="AP70" s="73">
        <f t="shared" si="43"/>
        <v>1.9845684607438019</v>
      </c>
      <c r="AQ70" s="206">
        <f t="shared" si="44"/>
        <v>7.4421317277892562</v>
      </c>
      <c r="AR70" s="206">
        <f t="shared" si="45"/>
        <v>8.6013784318131857E-3</v>
      </c>
      <c r="AS70" s="71">
        <f t="shared" si="46"/>
        <v>4.3999999999999997E-2</v>
      </c>
      <c r="AT70" s="74">
        <f t="shared" si="47"/>
        <v>9.9000000000000001E-6</v>
      </c>
      <c r="AU70" s="73">
        <f t="shared" si="26"/>
        <v>59.678941646071841</v>
      </c>
      <c r="AV70" s="71">
        <f t="shared" si="27"/>
        <v>94.5</v>
      </c>
      <c r="AW70" s="74">
        <f t="shared" si="28"/>
        <v>61.292417103842311</v>
      </c>
    </row>
    <row r="71" spans="17:49" x14ac:dyDescent="0.25">
      <c r="Q71">
        <v>64</v>
      </c>
      <c r="R71" s="73">
        <f t="shared" ref="R71:R134" si="49">VOUT</f>
        <v>50</v>
      </c>
      <c r="S71" s="71">
        <f t="shared" ref="S71:S102" si="50">Q71*$O$12</f>
        <v>1.92</v>
      </c>
      <c r="T71" s="71">
        <f t="shared" ref="T71:T134" si="51">VIN_var</f>
        <v>3</v>
      </c>
      <c r="U71" s="74">
        <f t="shared" ref="U71:U102" si="52">(R71*S71)/(T71*EFF_est)</f>
        <v>32</v>
      </c>
      <c r="V71" s="73">
        <f>IF(Variable_Management!$B$20=3,2,IF((S71*R71/T71)&lt;((T71*(1-(T71/R71)))/(2*Lm*Fsw)),1,2))</f>
        <v>2</v>
      </c>
      <c r="W71" s="71">
        <f t="shared" ref="W71:W102" si="53">CHOOSE(V71,SQRT((2*S71*Lm*Fsw*(R71-T71))/((T71)^2)),1-(T71/R71))</f>
        <v>0.94</v>
      </c>
      <c r="X71" s="74">
        <f t="shared" ref="X71:X102" si="54">CHOOSE(V71,(Lm*Z71*Fsw)/(R71-T71),1-W71)</f>
        <v>6.0000000000000053E-2</v>
      </c>
      <c r="Y71" s="73">
        <f t="shared" ref="Y71:Y102" si="55">(T71*W71)/(Lm*Fsw)</f>
        <v>0.64090909090909098</v>
      </c>
      <c r="Z71" s="71">
        <f t="shared" si="30"/>
        <v>32.320454545454545</v>
      </c>
      <c r="AA71" s="71">
        <f t="shared" si="31"/>
        <v>32.000534845091273</v>
      </c>
      <c r="AB71" s="71">
        <v>0</v>
      </c>
      <c r="AC71" s="71">
        <f t="shared" ref="AC71:AC102" si="56">(AA71^2)*Rdcr</f>
        <v>7.6802567277892555</v>
      </c>
      <c r="AD71" s="74">
        <f t="shared" si="16"/>
        <v>7.6802567277892555</v>
      </c>
      <c r="AE71" s="73">
        <f t="shared" si="29"/>
        <v>30.08</v>
      </c>
      <c r="AF71" s="71">
        <f t="shared" si="17"/>
        <v>31.025669639019668</v>
      </c>
      <c r="AG71" s="71">
        <f t="shared" ref="AG71:AG102" si="57">(AF71^2)*RDS_on</f>
        <v>35.808428967644637</v>
      </c>
      <c r="AH71" s="71">
        <f t="shared" ref="AH71:AH102" si="58">((R71*U71)/2)*Fsw*(tr_sw+tf_sw)</f>
        <v>6.6780905752753981</v>
      </c>
      <c r="AI71" s="74">
        <f t="shared" si="19"/>
        <v>42.486519542920036</v>
      </c>
      <c r="AJ71" s="73">
        <f t="shared" si="20"/>
        <v>1.9200000000000017</v>
      </c>
      <c r="AK71" s="71">
        <f t="shared" ref="AK71:AK102" si="59">CHOOSE(V71,Z71*SQRT(X71/3),SQRT(X71*((Z71^2)+((Y71^2)/3)-(Y71*Z71))))</f>
        <v>7.8384981866626795</v>
      </c>
      <c r="AL71" s="71">
        <f t="shared" ref="AL71:AL102" si="60">(AK71^2)*RDS_on_HS</f>
        <v>0.54069007363636423</v>
      </c>
      <c r="AM71" s="71">
        <f t="shared" si="48"/>
        <v>0.73761600000000005</v>
      </c>
      <c r="AN71" s="188">
        <f t="shared" ref="AN71:AN102" si="61">Vd_rect*t_dead*Fsw*Z71</f>
        <v>0.22753600000000002</v>
      </c>
      <c r="AO71" s="74">
        <f t="shared" si="24"/>
        <v>1.5058420736363642</v>
      </c>
      <c r="AP71" s="73">
        <f t="shared" ref="AP71:AP102" si="62">(AA71^2)*R_cs</f>
        <v>2.0480684607438016</v>
      </c>
      <c r="AQ71" s="206">
        <f t="shared" ref="AQ71:AQ102" si="63">Rdcr*AA71^2</f>
        <v>7.6802567277892555</v>
      </c>
      <c r="AR71" s="206">
        <f t="shared" ref="AR71:AR102" si="64">ABS(7.759*10^-3*Fsw^0.9458*(0.00787*Y71)^2.304)</f>
        <v>8.6013784318131857E-3</v>
      </c>
      <c r="AS71" s="71">
        <f t="shared" ref="AS71:AS102" si="65">(Qg_tot+Qg_tot_HS)*Vcc*Fsw</f>
        <v>4.3999999999999997E-2</v>
      </c>
      <c r="AT71" s="74">
        <f t="shared" ref="AT71:AT102" si="66">IQ*T71</f>
        <v>9.9000000000000001E-6</v>
      </c>
      <c r="AU71" s="73">
        <f t="shared" si="26"/>
        <v>61.453554811310525</v>
      </c>
      <c r="AV71" s="71">
        <f t="shared" si="27"/>
        <v>96</v>
      </c>
      <c r="AW71" s="74">
        <f t="shared" si="28"/>
        <v>60.970360507290323</v>
      </c>
    </row>
    <row r="72" spans="17:49" x14ac:dyDescent="0.25">
      <c r="Q72">
        <v>65</v>
      </c>
      <c r="R72" s="73">
        <f t="shared" si="49"/>
        <v>50</v>
      </c>
      <c r="S72" s="71">
        <f t="shared" si="50"/>
        <v>1.95</v>
      </c>
      <c r="T72" s="71">
        <f t="shared" si="51"/>
        <v>3</v>
      </c>
      <c r="U72" s="74">
        <f t="shared" si="52"/>
        <v>32.5</v>
      </c>
      <c r="V72" s="73">
        <f>IF(Variable_Management!$B$20=3,2,IF((S72*R72/T72)&lt;((T72*(1-(T72/R72)))/(2*Lm*Fsw)),1,2))</f>
        <v>2</v>
      </c>
      <c r="W72" s="71">
        <f t="shared" si="53"/>
        <v>0.94</v>
      </c>
      <c r="X72" s="74">
        <f t="shared" si="54"/>
        <v>6.0000000000000053E-2</v>
      </c>
      <c r="Y72" s="73">
        <f t="shared" si="55"/>
        <v>0.64090909090909098</v>
      </c>
      <c r="Z72" s="71">
        <f t="shared" si="30"/>
        <v>32.820454545454545</v>
      </c>
      <c r="AA72" s="71">
        <f t="shared" si="31"/>
        <v>32.500526616839622</v>
      </c>
      <c r="AB72" s="71">
        <v>0</v>
      </c>
      <c r="AC72" s="71">
        <f t="shared" si="56"/>
        <v>7.9221317277892558</v>
      </c>
      <c r="AD72" s="74">
        <f t="shared" ref="AD72:AD135" si="67">AB72+AC72</f>
        <v>7.9221317277892558</v>
      </c>
      <c r="AE72" s="73">
        <f t="shared" si="29"/>
        <v>30.549999999999997</v>
      </c>
      <c r="AF72" s="71">
        <f t="shared" ref="AF72:AF135" si="68">CHOOSE(V72,Z72*SQRT(W72/3),SQRT(W72*((Z72^2)+((Y72^2)/3)-(Z72*Y72))))</f>
        <v>31.510429647175339</v>
      </c>
      <c r="AG72" s="71">
        <f t="shared" si="57"/>
        <v>36.936146967644625</v>
      </c>
      <c r="AH72" s="71">
        <f t="shared" si="58"/>
        <v>6.7824357405140763</v>
      </c>
      <c r="AI72" s="74">
        <f t="shared" ref="AI72:AI135" si="69">AG72+AH72</f>
        <v>43.718582708158699</v>
      </c>
      <c r="AJ72" s="73">
        <f t="shared" ref="AJ72:AJ135" si="70">X72*U72</f>
        <v>1.9500000000000017</v>
      </c>
      <c r="AK72" s="71">
        <f t="shared" si="59"/>
        <v>7.9609706583000355</v>
      </c>
      <c r="AL72" s="71">
        <f t="shared" si="60"/>
        <v>0.55771807363636416</v>
      </c>
      <c r="AM72" s="71">
        <f t="shared" ref="AM72:AM103" si="71">CHOOSE(V72,(R72+Vd_rect)*Qrr*Fsw,(R72+Vd_rect)*Qrr*Fsw)</f>
        <v>0.73761600000000005</v>
      </c>
      <c r="AN72" s="188">
        <f t="shared" si="61"/>
        <v>0.23105600000000001</v>
      </c>
      <c r="AO72" s="74">
        <f t="shared" ref="AO72:AO135" si="72">AL72+AM72+AN72</f>
        <v>1.526390073636364</v>
      </c>
      <c r="AP72" s="73">
        <f t="shared" si="62"/>
        <v>2.1125684607438018</v>
      </c>
      <c r="AQ72" s="206">
        <f t="shared" si="63"/>
        <v>7.9221317277892558</v>
      </c>
      <c r="AR72" s="206">
        <f t="shared" si="64"/>
        <v>8.6013784318131857E-3</v>
      </c>
      <c r="AS72" s="71">
        <f t="shared" si="65"/>
        <v>4.3999999999999997E-2</v>
      </c>
      <c r="AT72" s="74">
        <f t="shared" si="66"/>
        <v>9.9000000000000001E-6</v>
      </c>
      <c r="AU72" s="73">
        <f t="shared" ref="AU72:AU135" si="73">AP72+AO72+AI72+AD72+AS72+AT72+AQ72+AR72</f>
        <v>63.25441597654919</v>
      </c>
      <c r="AV72" s="71">
        <f t="shared" ref="AV72:AV135" si="74">R72*S72</f>
        <v>97.5</v>
      </c>
      <c r="AW72" s="74">
        <f t="shared" ref="AW72:AW135" si="75">(AV72/(AV72+AU72))*100</f>
        <v>60.651522017425187</v>
      </c>
    </row>
    <row r="73" spans="17:49" x14ac:dyDescent="0.25">
      <c r="Q73">
        <v>66</v>
      </c>
      <c r="R73" s="73">
        <f t="shared" si="49"/>
        <v>50</v>
      </c>
      <c r="S73" s="71">
        <f t="shared" si="50"/>
        <v>1.98</v>
      </c>
      <c r="T73" s="71">
        <f t="shared" si="51"/>
        <v>3</v>
      </c>
      <c r="U73" s="74">
        <f t="shared" si="52"/>
        <v>33</v>
      </c>
      <c r="V73" s="73">
        <f>IF(Variable_Management!$B$20=3,2,IF((S73*R73/T73)&lt;((T73*(1-(T73/R73)))/(2*Lm*Fsw)),1,2))</f>
        <v>2</v>
      </c>
      <c r="W73" s="71">
        <f t="shared" si="53"/>
        <v>0.94</v>
      </c>
      <c r="X73" s="74">
        <f t="shared" si="54"/>
        <v>6.0000000000000053E-2</v>
      </c>
      <c r="Y73" s="73">
        <f t="shared" si="55"/>
        <v>0.64090909090909098</v>
      </c>
      <c r="Z73" s="71">
        <f t="shared" si="30"/>
        <v>33.320454545454545</v>
      </c>
      <c r="AA73" s="71">
        <f t="shared" si="31"/>
        <v>33.000518637922958</v>
      </c>
      <c r="AB73" s="71">
        <v>0</v>
      </c>
      <c r="AC73" s="71">
        <f t="shared" si="56"/>
        <v>8.1677567277892535</v>
      </c>
      <c r="AD73" s="74">
        <f t="shared" si="67"/>
        <v>8.1677567277892535</v>
      </c>
      <c r="AE73" s="73">
        <f t="shared" ref="AE73:AE136" si="76">U73*W73</f>
        <v>31.02</v>
      </c>
      <c r="AF73" s="71">
        <f t="shared" si="68"/>
        <v>31.995189897070258</v>
      </c>
      <c r="AG73" s="71">
        <f t="shared" si="57"/>
        <v>38.08134896764463</v>
      </c>
      <c r="AH73" s="71">
        <f t="shared" si="58"/>
        <v>6.8867809057527545</v>
      </c>
      <c r="AI73" s="74">
        <f t="shared" si="69"/>
        <v>44.968129873397388</v>
      </c>
      <c r="AJ73" s="73">
        <f t="shared" si="70"/>
        <v>1.9800000000000018</v>
      </c>
      <c r="AK73" s="71">
        <f t="shared" si="59"/>
        <v>8.0834431910117424</v>
      </c>
      <c r="AL73" s="71">
        <f t="shared" si="60"/>
        <v>0.57501007363636414</v>
      </c>
      <c r="AM73" s="71">
        <f t="shared" si="71"/>
        <v>0.73761600000000005</v>
      </c>
      <c r="AN73" s="188">
        <f t="shared" si="61"/>
        <v>0.23457600000000001</v>
      </c>
      <c r="AO73" s="74">
        <f t="shared" si="72"/>
        <v>1.5472020736363641</v>
      </c>
      <c r="AP73" s="73">
        <f t="shared" si="62"/>
        <v>2.178068460743801</v>
      </c>
      <c r="AQ73" s="206">
        <f t="shared" si="63"/>
        <v>8.1677567277892535</v>
      </c>
      <c r="AR73" s="206">
        <f t="shared" si="64"/>
        <v>8.6013784318131857E-3</v>
      </c>
      <c r="AS73" s="71">
        <f t="shared" si="65"/>
        <v>4.3999999999999997E-2</v>
      </c>
      <c r="AT73" s="74">
        <f t="shared" si="66"/>
        <v>9.9000000000000001E-6</v>
      </c>
      <c r="AU73" s="73">
        <f t="shared" si="73"/>
        <v>65.081525141787878</v>
      </c>
      <c r="AV73" s="71">
        <f t="shared" si="74"/>
        <v>99</v>
      </c>
      <c r="AW73" s="74">
        <f t="shared" si="75"/>
        <v>60.335860429412179</v>
      </c>
    </row>
    <row r="74" spans="17:49" x14ac:dyDescent="0.25">
      <c r="Q74">
        <v>67</v>
      </c>
      <c r="R74" s="73">
        <f t="shared" si="49"/>
        <v>50</v>
      </c>
      <c r="S74" s="71">
        <f t="shared" si="50"/>
        <v>2.0099999999999998</v>
      </c>
      <c r="T74" s="71">
        <f t="shared" si="51"/>
        <v>3</v>
      </c>
      <c r="U74" s="74">
        <f t="shared" si="52"/>
        <v>33.499999999999993</v>
      </c>
      <c r="V74" s="73">
        <f>IF(Variable_Management!$B$20=3,2,IF((S74*R74/T74)&lt;((T74*(1-(T74/R74)))/(2*Lm*Fsw)),1,2))</f>
        <v>2</v>
      </c>
      <c r="W74" s="71">
        <f t="shared" si="53"/>
        <v>0.94</v>
      </c>
      <c r="X74" s="74">
        <f t="shared" si="54"/>
        <v>6.0000000000000053E-2</v>
      </c>
      <c r="Y74" s="73">
        <f t="shared" si="55"/>
        <v>0.64090909090909098</v>
      </c>
      <c r="Z74" s="71">
        <f t="shared" si="30"/>
        <v>33.820454545454538</v>
      </c>
      <c r="AA74" s="71">
        <f t="shared" si="31"/>
        <v>33.500510897177378</v>
      </c>
      <c r="AB74" s="71">
        <v>0</v>
      </c>
      <c r="AC74" s="71">
        <f t="shared" si="56"/>
        <v>8.4171317277892523</v>
      </c>
      <c r="AD74" s="74">
        <f t="shared" si="67"/>
        <v>8.4171317277892523</v>
      </c>
      <c r="AE74" s="73">
        <f t="shared" si="76"/>
        <v>31.489999999999991</v>
      </c>
      <c r="AF74" s="71">
        <f t="shared" si="68"/>
        <v>32.479950377880598</v>
      </c>
      <c r="AG74" s="71">
        <f t="shared" si="57"/>
        <v>39.244034967644602</v>
      </c>
      <c r="AH74" s="71">
        <f t="shared" si="58"/>
        <v>6.99112607099143</v>
      </c>
      <c r="AI74" s="74">
        <f t="shared" si="69"/>
        <v>46.235161038636029</v>
      </c>
      <c r="AJ74" s="73">
        <f t="shared" si="70"/>
        <v>2.0100000000000016</v>
      </c>
      <c r="AK74" s="71">
        <f t="shared" si="59"/>
        <v>8.2059157820632116</v>
      </c>
      <c r="AL74" s="71">
        <f t="shared" si="60"/>
        <v>0.59256607363636404</v>
      </c>
      <c r="AM74" s="71">
        <f t="shared" si="71"/>
        <v>0.73761600000000005</v>
      </c>
      <c r="AN74" s="188">
        <f t="shared" si="61"/>
        <v>0.23809599999999995</v>
      </c>
      <c r="AO74" s="74">
        <f t="shared" si="72"/>
        <v>1.568278073636364</v>
      </c>
      <c r="AP74" s="73">
        <f t="shared" si="62"/>
        <v>2.2445684607438006</v>
      </c>
      <c r="AQ74" s="206">
        <f t="shared" si="63"/>
        <v>8.4171317277892523</v>
      </c>
      <c r="AR74" s="206">
        <f t="shared" si="64"/>
        <v>8.6013784318131857E-3</v>
      </c>
      <c r="AS74" s="71">
        <f t="shared" si="65"/>
        <v>4.3999999999999997E-2</v>
      </c>
      <c r="AT74" s="74">
        <f t="shared" si="66"/>
        <v>9.9000000000000001E-6</v>
      </c>
      <c r="AU74" s="73">
        <f t="shared" si="73"/>
        <v>66.934882307026513</v>
      </c>
      <c r="AV74" s="71">
        <f t="shared" si="74"/>
        <v>100.49999999999999</v>
      </c>
      <c r="AW74" s="74">
        <f t="shared" si="75"/>
        <v>60.023334812463055</v>
      </c>
    </row>
    <row r="75" spans="17:49" x14ac:dyDescent="0.25">
      <c r="Q75">
        <v>68</v>
      </c>
      <c r="R75" s="73">
        <f t="shared" si="49"/>
        <v>50</v>
      </c>
      <c r="S75" s="71">
        <f t="shared" si="50"/>
        <v>2.04</v>
      </c>
      <c r="T75" s="71">
        <f t="shared" si="51"/>
        <v>3</v>
      </c>
      <c r="U75" s="74">
        <f t="shared" si="52"/>
        <v>34</v>
      </c>
      <c r="V75" s="73">
        <f>IF(Variable_Management!$B$20=3,2,IF((S75*R75/T75)&lt;((T75*(1-(T75/R75)))/(2*Lm*Fsw)),1,2))</f>
        <v>2</v>
      </c>
      <c r="W75" s="71">
        <f t="shared" si="53"/>
        <v>0.94</v>
      </c>
      <c r="X75" s="74">
        <f t="shared" si="54"/>
        <v>6.0000000000000053E-2</v>
      </c>
      <c r="Y75" s="73">
        <f t="shared" si="55"/>
        <v>0.64090909090909098</v>
      </c>
      <c r="Z75" s="71">
        <f t="shared" si="30"/>
        <v>34.320454545454545</v>
      </c>
      <c r="AA75" s="71">
        <f t="shared" si="31"/>
        <v>34.000503384095666</v>
      </c>
      <c r="AB75" s="71">
        <v>0</v>
      </c>
      <c r="AC75" s="71">
        <f t="shared" si="56"/>
        <v>8.6702567277892548</v>
      </c>
      <c r="AD75" s="74">
        <f t="shared" si="67"/>
        <v>8.6702567277892548</v>
      </c>
      <c r="AE75" s="73">
        <f t="shared" si="76"/>
        <v>31.959999999999997</v>
      </c>
      <c r="AF75" s="71">
        <f t="shared" si="68"/>
        <v>32.96471107941926</v>
      </c>
      <c r="AG75" s="71">
        <f t="shared" si="57"/>
        <v>40.424204967644641</v>
      </c>
      <c r="AH75" s="71">
        <f t="shared" si="58"/>
        <v>7.0954712362301109</v>
      </c>
      <c r="AI75" s="74">
        <f t="shared" si="69"/>
        <v>47.519676203874752</v>
      </c>
      <c r="AJ75" s="73">
        <f t="shared" si="70"/>
        <v>2.0400000000000018</v>
      </c>
      <c r="AK75" s="71">
        <f t="shared" si="59"/>
        <v>8.3283884288807108</v>
      </c>
      <c r="AL75" s="71">
        <f t="shared" si="60"/>
        <v>0.61038607363636421</v>
      </c>
      <c r="AM75" s="71">
        <f t="shared" si="71"/>
        <v>0.73761600000000005</v>
      </c>
      <c r="AN75" s="188">
        <f t="shared" si="61"/>
        <v>0.241616</v>
      </c>
      <c r="AO75" s="74">
        <f t="shared" si="72"/>
        <v>1.5896180736363643</v>
      </c>
      <c r="AP75" s="73">
        <f t="shared" si="62"/>
        <v>2.3120684607438018</v>
      </c>
      <c r="AQ75" s="206">
        <f t="shared" si="63"/>
        <v>8.6702567277892548</v>
      </c>
      <c r="AR75" s="206">
        <f t="shared" si="64"/>
        <v>8.6013784318131857E-3</v>
      </c>
      <c r="AS75" s="71">
        <f t="shared" si="65"/>
        <v>4.3999999999999997E-2</v>
      </c>
      <c r="AT75" s="74">
        <f t="shared" si="66"/>
        <v>9.9000000000000001E-6</v>
      </c>
      <c r="AU75" s="73">
        <f t="shared" si="73"/>
        <v>68.814487472265256</v>
      </c>
      <c r="AV75" s="71">
        <f t="shared" si="74"/>
        <v>102</v>
      </c>
      <c r="AW75" s="74">
        <f t="shared" si="75"/>
        <v>59.713904546042386</v>
      </c>
    </row>
    <row r="76" spans="17:49" x14ac:dyDescent="0.25">
      <c r="Q76">
        <v>69</v>
      </c>
      <c r="R76" s="73">
        <f t="shared" si="49"/>
        <v>50</v>
      </c>
      <c r="S76" s="71">
        <f t="shared" si="50"/>
        <v>2.0699999999999998</v>
      </c>
      <c r="T76" s="71">
        <f t="shared" si="51"/>
        <v>3</v>
      </c>
      <c r="U76" s="74">
        <f t="shared" si="52"/>
        <v>34.499999999999993</v>
      </c>
      <c r="V76" s="73">
        <f>IF(Variable_Management!$B$20=3,2,IF((S76*R76/T76)&lt;((T76*(1-(T76/R76)))/(2*Lm*Fsw)),1,2))</f>
        <v>2</v>
      </c>
      <c r="W76" s="71">
        <f t="shared" si="53"/>
        <v>0.94</v>
      </c>
      <c r="X76" s="74">
        <f t="shared" si="54"/>
        <v>6.0000000000000053E-2</v>
      </c>
      <c r="Y76" s="73">
        <f t="shared" si="55"/>
        <v>0.64090909090909098</v>
      </c>
      <c r="Z76" s="71">
        <f t="shared" si="30"/>
        <v>34.820454545454538</v>
      </c>
      <c r="AA76" s="71">
        <f t="shared" si="31"/>
        <v>34.500496088779656</v>
      </c>
      <c r="AB76" s="71">
        <v>0</v>
      </c>
      <c r="AC76" s="71">
        <f t="shared" si="56"/>
        <v>8.9271317277892521</v>
      </c>
      <c r="AD76" s="74">
        <f t="shared" si="67"/>
        <v>8.9271317277892521</v>
      </c>
      <c r="AE76" s="73">
        <f t="shared" si="76"/>
        <v>32.429999999999993</v>
      </c>
      <c r="AF76" s="71">
        <f t="shared" si="68"/>
        <v>33.449471992089592</v>
      </c>
      <c r="AG76" s="71">
        <f t="shared" si="57"/>
        <v>41.621858967644606</v>
      </c>
      <c r="AH76" s="71">
        <f t="shared" si="58"/>
        <v>7.1998164014687864</v>
      </c>
      <c r="AI76" s="74">
        <f t="shared" si="69"/>
        <v>48.821675369113393</v>
      </c>
      <c r="AJ76" s="73">
        <f t="shared" si="70"/>
        <v>2.0700000000000016</v>
      </c>
      <c r="AK76" s="71">
        <f t="shared" si="59"/>
        <v>8.450861129039696</v>
      </c>
      <c r="AL76" s="71">
        <f t="shared" si="60"/>
        <v>0.62847007363636398</v>
      </c>
      <c r="AM76" s="71">
        <f t="shared" si="71"/>
        <v>0.73761600000000005</v>
      </c>
      <c r="AN76" s="188">
        <f t="shared" si="61"/>
        <v>0.24513599999999997</v>
      </c>
      <c r="AO76" s="74">
        <f t="shared" si="72"/>
        <v>1.611222073636364</v>
      </c>
      <c r="AP76" s="73">
        <f t="shared" si="62"/>
        <v>2.3805684607438007</v>
      </c>
      <c r="AQ76" s="206">
        <f t="shared" si="63"/>
        <v>8.9271317277892521</v>
      </c>
      <c r="AR76" s="206">
        <f t="shared" si="64"/>
        <v>8.6013784318131857E-3</v>
      </c>
      <c r="AS76" s="71">
        <f t="shared" si="65"/>
        <v>4.3999999999999997E-2</v>
      </c>
      <c r="AT76" s="74">
        <f t="shared" si="66"/>
        <v>9.9000000000000001E-6</v>
      </c>
      <c r="AU76" s="73">
        <f t="shared" si="73"/>
        <v>70.720340637503881</v>
      </c>
      <c r="AV76" s="71">
        <f t="shared" si="74"/>
        <v>103.49999999999999</v>
      </c>
      <c r="AW76" s="74">
        <f t="shared" si="75"/>
        <v>59.40752935120819</v>
      </c>
    </row>
    <row r="77" spans="17:49" x14ac:dyDescent="0.25">
      <c r="Q77">
        <v>70</v>
      </c>
      <c r="R77" s="73">
        <f t="shared" si="49"/>
        <v>50</v>
      </c>
      <c r="S77" s="71">
        <f t="shared" si="50"/>
        <v>2.1</v>
      </c>
      <c r="T77" s="71">
        <f t="shared" si="51"/>
        <v>3</v>
      </c>
      <c r="U77" s="74">
        <f t="shared" si="52"/>
        <v>35</v>
      </c>
      <c r="V77" s="73">
        <f>IF(Variable_Management!$B$20=3,2,IF((S77*R77/T77)&lt;((T77*(1-(T77/R77)))/(2*Lm*Fsw)),1,2))</f>
        <v>2</v>
      </c>
      <c r="W77" s="71">
        <f t="shared" si="53"/>
        <v>0.94</v>
      </c>
      <c r="X77" s="74">
        <f t="shared" si="54"/>
        <v>6.0000000000000053E-2</v>
      </c>
      <c r="Y77" s="73">
        <f t="shared" si="55"/>
        <v>0.64090909090909098</v>
      </c>
      <c r="Z77" s="71">
        <f t="shared" si="30"/>
        <v>35.320454545454545</v>
      </c>
      <c r="AA77" s="71">
        <f t="shared" si="31"/>
        <v>35.000489001896824</v>
      </c>
      <c r="AB77" s="71">
        <v>0</v>
      </c>
      <c r="AC77" s="71">
        <f t="shared" si="56"/>
        <v>9.1877567277892531</v>
      </c>
      <c r="AD77" s="74">
        <f t="shared" si="67"/>
        <v>9.1877567277892531</v>
      </c>
      <c r="AE77" s="73">
        <f t="shared" si="76"/>
        <v>32.9</v>
      </c>
      <c r="AF77" s="71">
        <f t="shared" si="68"/>
        <v>33.934233106843401</v>
      </c>
      <c r="AG77" s="71">
        <f t="shared" si="57"/>
        <v>42.83699696764463</v>
      </c>
      <c r="AH77" s="71">
        <f t="shared" si="58"/>
        <v>7.3041615667074664</v>
      </c>
      <c r="AI77" s="74">
        <f t="shared" si="69"/>
        <v>50.141158534352094</v>
      </c>
      <c r="AJ77" s="73">
        <f t="shared" si="70"/>
        <v>2.1000000000000019</v>
      </c>
      <c r="AK77" s="71">
        <f t="shared" si="59"/>
        <v>8.5733338802541752</v>
      </c>
      <c r="AL77" s="71">
        <f t="shared" si="60"/>
        <v>0.64681807363636423</v>
      </c>
      <c r="AM77" s="71">
        <f t="shared" si="71"/>
        <v>0.73761600000000005</v>
      </c>
      <c r="AN77" s="188">
        <f t="shared" si="61"/>
        <v>0.24865600000000002</v>
      </c>
      <c r="AO77" s="74">
        <f t="shared" si="72"/>
        <v>1.6330900736363643</v>
      </c>
      <c r="AP77" s="73">
        <f t="shared" si="62"/>
        <v>2.4500684607438012</v>
      </c>
      <c r="AQ77" s="206">
        <f t="shared" si="63"/>
        <v>9.1877567277892531</v>
      </c>
      <c r="AR77" s="206">
        <f t="shared" si="64"/>
        <v>8.6013784318131857E-3</v>
      </c>
      <c r="AS77" s="71">
        <f t="shared" si="65"/>
        <v>4.3999999999999997E-2</v>
      </c>
      <c r="AT77" s="74">
        <f t="shared" si="66"/>
        <v>9.9000000000000001E-6</v>
      </c>
      <c r="AU77" s="73">
        <f t="shared" si="73"/>
        <v>72.652441802742587</v>
      </c>
      <c r="AV77" s="71">
        <f t="shared" si="74"/>
        <v>105</v>
      </c>
      <c r="AW77" s="74">
        <f t="shared" si="75"/>
        <v>59.104169317631637</v>
      </c>
    </row>
    <row r="78" spans="17:49" x14ac:dyDescent="0.25">
      <c r="Q78">
        <v>71</v>
      </c>
      <c r="R78" s="73">
        <f t="shared" si="49"/>
        <v>50</v>
      </c>
      <c r="S78" s="71">
        <f t="shared" si="50"/>
        <v>2.13</v>
      </c>
      <c r="T78" s="71">
        <f t="shared" si="51"/>
        <v>3</v>
      </c>
      <c r="U78" s="74">
        <f t="shared" si="52"/>
        <v>35.5</v>
      </c>
      <c r="V78" s="73">
        <f>IF(Variable_Management!$B$20=3,2,IF((S78*R78/T78)&lt;((T78*(1-(T78/R78)))/(2*Lm*Fsw)),1,2))</f>
        <v>2</v>
      </c>
      <c r="W78" s="71">
        <f t="shared" si="53"/>
        <v>0.94</v>
      </c>
      <c r="X78" s="74">
        <f t="shared" si="54"/>
        <v>6.0000000000000053E-2</v>
      </c>
      <c r="Y78" s="73">
        <f t="shared" si="55"/>
        <v>0.64090909090909098</v>
      </c>
      <c r="Z78" s="71">
        <f t="shared" si="30"/>
        <v>35.820454545454545</v>
      </c>
      <c r="AA78" s="71">
        <f t="shared" si="31"/>
        <v>35.50048211464037</v>
      </c>
      <c r="AB78" s="71">
        <v>0</v>
      </c>
      <c r="AC78" s="71">
        <f t="shared" si="56"/>
        <v>9.452131727789256</v>
      </c>
      <c r="AD78" s="74">
        <f t="shared" si="67"/>
        <v>9.452131727789256</v>
      </c>
      <c r="AE78" s="73">
        <f t="shared" si="76"/>
        <v>33.369999999999997</v>
      </c>
      <c r="AF78" s="71">
        <f t="shared" si="68"/>
        <v>34.418994415142151</v>
      </c>
      <c r="AG78" s="71">
        <f t="shared" si="57"/>
        <v>44.069618967644629</v>
      </c>
      <c r="AH78" s="71">
        <f t="shared" si="58"/>
        <v>7.4085067319461446</v>
      </c>
      <c r="AI78" s="74">
        <f t="shared" si="69"/>
        <v>51.478125699590777</v>
      </c>
      <c r="AJ78" s="73">
        <f t="shared" si="70"/>
        <v>2.1300000000000017</v>
      </c>
      <c r="AK78" s="71">
        <f t="shared" si="59"/>
        <v>8.6958066803669301</v>
      </c>
      <c r="AL78" s="71">
        <f t="shared" si="60"/>
        <v>0.66543007363636442</v>
      </c>
      <c r="AM78" s="71">
        <f t="shared" si="71"/>
        <v>0.73761600000000005</v>
      </c>
      <c r="AN78" s="188">
        <f t="shared" si="61"/>
        <v>0.25217600000000001</v>
      </c>
      <c r="AO78" s="74">
        <f t="shared" si="72"/>
        <v>1.6552220736363643</v>
      </c>
      <c r="AP78" s="73">
        <f t="shared" si="62"/>
        <v>2.5205684607438017</v>
      </c>
      <c r="AQ78" s="206">
        <f t="shared" si="63"/>
        <v>9.452131727789256</v>
      </c>
      <c r="AR78" s="206">
        <f t="shared" si="64"/>
        <v>8.6013784318131857E-3</v>
      </c>
      <c r="AS78" s="71">
        <f t="shared" si="65"/>
        <v>4.3999999999999997E-2</v>
      </c>
      <c r="AT78" s="74">
        <f t="shared" si="66"/>
        <v>9.9000000000000001E-6</v>
      </c>
      <c r="AU78" s="73">
        <f t="shared" si="73"/>
        <v>74.610790967981259</v>
      </c>
      <c r="AV78" s="71">
        <f t="shared" si="74"/>
        <v>106.5</v>
      </c>
      <c r="AW78" s="74">
        <f t="shared" si="75"/>
        <v>58.803784926779009</v>
      </c>
    </row>
    <row r="79" spans="17:49" x14ac:dyDescent="0.25">
      <c r="Q79">
        <v>72</v>
      </c>
      <c r="R79" s="73">
        <f t="shared" si="49"/>
        <v>50</v>
      </c>
      <c r="S79" s="71">
        <f t="shared" si="50"/>
        <v>2.16</v>
      </c>
      <c r="T79" s="71">
        <f t="shared" si="51"/>
        <v>3</v>
      </c>
      <c r="U79" s="74">
        <f t="shared" si="52"/>
        <v>36</v>
      </c>
      <c r="V79" s="73">
        <f>IF(Variable_Management!$B$20=3,2,IF((S79*R79/T79)&lt;((T79*(1-(T79/R79)))/(2*Lm*Fsw)),1,2))</f>
        <v>2</v>
      </c>
      <c r="W79" s="71">
        <f t="shared" si="53"/>
        <v>0.94</v>
      </c>
      <c r="X79" s="74">
        <f t="shared" si="54"/>
        <v>6.0000000000000053E-2</v>
      </c>
      <c r="Y79" s="73">
        <f t="shared" si="55"/>
        <v>0.64090909090909098</v>
      </c>
      <c r="Z79" s="71">
        <f t="shared" si="30"/>
        <v>36.320454545454545</v>
      </c>
      <c r="AA79" s="71">
        <f t="shared" si="31"/>
        <v>36.000475418692751</v>
      </c>
      <c r="AB79" s="71">
        <v>0</v>
      </c>
      <c r="AC79" s="71">
        <f t="shared" si="56"/>
        <v>9.7202567277892573</v>
      </c>
      <c r="AD79" s="74">
        <f t="shared" si="67"/>
        <v>9.7202567277892573</v>
      </c>
      <c r="AE79" s="73">
        <f t="shared" si="76"/>
        <v>33.839999999999996</v>
      </c>
      <c r="AF79" s="71">
        <f t="shared" si="68"/>
        <v>34.903755908921703</v>
      </c>
      <c r="AG79" s="71">
        <f t="shared" si="57"/>
        <v>45.319724967644632</v>
      </c>
      <c r="AH79" s="71">
        <f t="shared" si="58"/>
        <v>7.5128518971848228</v>
      </c>
      <c r="AI79" s="74">
        <f t="shared" si="69"/>
        <v>52.832576864829456</v>
      </c>
      <c r="AJ79" s="73">
        <f t="shared" si="70"/>
        <v>2.1600000000000019</v>
      </c>
      <c r="AK79" s="71">
        <f t="shared" si="59"/>
        <v>8.8182795273405858</v>
      </c>
      <c r="AL79" s="71">
        <f t="shared" si="60"/>
        <v>0.68430607363636409</v>
      </c>
      <c r="AM79" s="71">
        <f t="shared" si="71"/>
        <v>0.73761600000000005</v>
      </c>
      <c r="AN79" s="188">
        <f t="shared" si="61"/>
        <v>0.25569600000000003</v>
      </c>
      <c r="AO79" s="74">
        <f t="shared" si="72"/>
        <v>1.6776180736363639</v>
      </c>
      <c r="AP79" s="73">
        <f t="shared" si="62"/>
        <v>2.592068460743802</v>
      </c>
      <c r="AQ79" s="206">
        <f t="shared" si="63"/>
        <v>9.7202567277892573</v>
      </c>
      <c r="AR79" s="206">
        <f t="shared" si="64"/>
        <v>8.6013784318131857E-3</v>
      </c>
      <c r="AS79" s="71">
        <f t="shared" si="65"/>
        <v>4.3999999999999997E-2</v>
      </c>
      <c r="AT79" s="74">
        <f t="shared" si="66"/>
        <v>9.9000000000000001E-6</v>
      </c>
      <c r="AU79" s="73">
        <f t="shared" si="73"/>
        <v>76.595388133219956</v>
      </c>
      <c r="AV79" s="71">
        <f t="shared" si="74"/>
        <v>108</v>
      </c>
      <c r="AW79" s="74">
        <f t="shared" si="75"/>
        <v>58.506337071681273</v>
      </c>
    </row>
    <row r="80" spans="17:49" x14ac:dyDescent="0.25">
      <c r="Q80">
        <v>73</v>
      </c>
      <c r="R80" s="73">
        <f t="shared" si="49"/>
        <v>50</v>
      </c>
      <c r="S80" s="71">
        <f t="shared" si="50"/>
        <v>2.19</v>
      </c>
      <c r="T80" s="71">
        <f t="shared" si="51"/>
        <v>3</v>
      </c>
      <c r="U80" s="74">
        <f t="shared" si="52"/>
        <v>36.5</v>
      </c>
      <c r="V80" s="73">
        <f>IF(Variable_Management!$B$20=3,2,IF((S80*R80/T80)&lt;((T80*(1-(T80/R80)))/(2*Lm*Fsw)),1,2))</f>
        <v>2</v>
      </c>
      <c r="W80" s="71">
        <f t="shared" si="53"/>
        <v>0.94</v>
      </c>
      <c r="X80" s="74">
        <f t="shared" si="54"/>
        <v>6.0000000000000053E-2</v>
      </c>
      <c r="Y80" s="73">
        <f t="shared" si="55"/>
        <v>0.64090909090909098</v>
      </c>
      <c r="Z80" s="71">
        <f t="shared" ref="Z80:Z143" si="77">CHOOSE(V80,Y80,U80+(0.5*Y80))</f>
        <v>36.820454545454545</v>
      </c>
      <c r="AA80" s="71">
        <f t="shared" ref="AA80:AA143" si="78">CHOOSE(V80,Z80*SQRT((W80+X80)/3),SQRT((U80^2)+((Y80^2)/12)))</f>
        <v>36.500468906192161</v>
      </c>
      <c r="AB80" s="71">
        <v>0</v>
      </c>
      <c r="AC80" s="71">
        <f t="shared" si="56"/>
        <v>9.9921317277892552</v>
      </c>
      <c r="AD80" s="74">
        <f t="shared" si="67"/>
        <v>9.9921317277892552</v>
      </c>
      <c r="AE80" s="73">
        <f t="shared" si="76"/>
        <v>34.309999999999995</v>
      </c>
      <c r="AF80" s="71">
        <f t="shared" si="68"/>
        <v>35.388517580559757</v>
      </c>
      <c r="AG80" s="71">
        <f t="shared" si="57"/>
        <v>46.587314967644637</v>
      </c>
      <c r="AH80" s="71">
        <f t="shared" si="58"/>
        <v>7.617197062423501</v>
      </c>
      <c r="AI80" s="74">
        <f t="shared" si="69"/>
        <v>54.204512030068138</v>
      </c>
      <c r="AJ80" s="73">
        <f t="shared" si="70"/>
        <v>2.1900000000000022</v>
      </c>
      <c r="AK80" s="71">
        <f t="shared" si="59"/>
        <v>8.9407524192494066</v>
      </c>
      <c r="AL80" s="71">
        <f t="shared" si="60"/>
        <v>0.70344607363636424</v>
      </c>
      <c r="AM80" s="71">
        <f t="shared" si="71"/>
        <v>0.73761600000000005</v>
      </c>
      <c r="AN80" s="188">
        <f t="shared" si="61"/>
        <v>0.259216</v>
      </c>
      <c r="AO80" s="74">
        <f t="shared" si="72"/>
        <v>1.7002780736363641</v>
      </c>
      <c r="AP80" s="73">
        <f t="shared" si="62"/>
        <v>2.6645684607438018</v>
      </c>
      <c r="AQ80" s="206">
        <f t="shared" si="63"/>
        <v>9.9921317277892552</v>
      </c>
      <c r="AR80" s="206">
        <f t="shared" si="64"/>
        <v>8.6013784318131857E-3</v>
      </c>
      <c r="AS80" s="71">
        <f t="shared" si="65"/>
        <v>4.3999999999999997E-2</v>
      </c>
      <c r="AT80" s="74">
        <f t="shared" si="66"/>
        <v>9.9000000000000001E-6</v>
      </c>
      <c r="AU80" s="73">
        <f t="shared" si="73"/>
        <v>78.606233298458619</v>
      </c>
      <c r="AV80" s="71">
        <f t="shared" si="74"/>
        <v>109.5</v>
      </c>
      <c r="AW80" s="74">
        <f t="shared" si="75"/>
        <v>58.211787073670173</v>
      </c>
    </row>
    <row r="81" spans="17:49" x14ac:dyDescent="0.25">
      <c r="Q81">
        <v>74</v>
      </c>
      <c r="R81" s="73">
        <f t="shared" si="49"/>
        <v>50</v>
      </c>
      <c r="S81" s="71">
        <f t="shared" si="50"/>
        <v>2.2199999999999998</v>
      </c>
      <c r="T81" s="71">
        <f t="shared" si="51"/>
        <v>3</v>
      </c>
      <c r="U81" s="74">
        <f t="shared" si="52"/>
        <v>36.999999999999993</v>
      </c>
      <c r="V81" s="73">
        <f>IF(Variable_Management!$B$20=3,2,IF((S81*R81/T81)&lt;((T81*(1-(T81/R81)))/(2*Lm*Fsw)),1,2))</f>
        <v>2</v>
      </c>
      <c r="W81" s="71">
        <f t="shared" si="53"/>
        <v>0.94</v>
      </c>
      <c r="X81" s="74">
        <f t="shared" si="54"/>
        <v>6.0000000000000053E-2</v>
      </c>
      <c r="Y81" s="73">
        <f t="shared" si="55"/>
        <v>0.64090909090909098</v>
      </c>
      <c r="Z81" s="71">
        <f t="shared" si="77"/>
        <v>37.320454545454538</v>
      </c>
      <c r="AA81" s="71">
        <f t="shared" si="78"/>
        <v>37.000462569701753</v>
      </c>
      <c r="AB81" s="71">
        <v>0</v>
      </c>
      <c r="AC81" s="71">
        <f t="shared" si="56"/>
        <v>10.267756727789253</v>
      </c>
      <c r="AD81" s="74">
        <f t="shared" si="67"/>
        <v>10.267756727789253</v>
      </c>
      <c r="AE81" s="73">
        <f t="shared" si="76"/>
        <v>34.779999999999994</v>
      </c>
      <c r="AF81" s="71">
        <f t="shared" si="68"/>
        <v>35.873279422846004</v>
      </c>
      <c r="AG81" s="71">
        <f t="shared" si="57"/>
        <v>47.872388967644625</v>
      </c>
      <c r="AH81" s="71">
        <f t="shared" si="58"/>
        <v>7.7215422276621766</v>
      </c>
      <c r="AI81" s="74">
        <f t="shared" si="69"/>
        <v>55.593931195306801</v>
      </c>
      <c r="AJ81" s="73">
        <f t="shared" si="70"/>
        <v>2.2200000000000015</v>
      </c>
      <c r="AK81" s="71">
        <f t="shared" si="59"/>
        <v>9.06322535427174</v>
      </c>
      <c r="AL81" s="71">
        <f t="shared" si="60"/>
        <v>0.72285007363636422</v>
      </c>
      <c r="AM81" s="71">
        <f t="shared" si="71"/>
        <v>0.73761600000000005</v>
      </c>
      <c r="AN81" s="188">
        <f t="shared" si="61"/>
        <v>0.26273599999999997</v>
      </c>
      <c r="AO81" s="74">
        <f t="shared" si="72"/>
        <v>1.7232020736363642</v>
      </c>
      <c r="AP81" s="73">
        <f t="shared" si="62"/>
        <v>2.7380684607438011</v>
      </c>
      <c r="AQ81" s="206">
        <f t="shared" si="63"/>
        <v>10.267756727789253</v>
      </c>
      <c r="AR81" s="206">
        <f t="shared" si="64"/>
        <v>8.6013784318131857E-3</v>
      </c>
      <c r="AS81" s="71">
        <f t="shared" si="65"/>
        <v>4.3999999999999997E-2</v>
      </c>
      <c r="AT81" s="74">
        <f t="shared" si="66"/>
        <v>9.9000000000000001E-6</v>
      </c>
      <c r="AU81" s="73">
        <f t="shared" si="73"/>
        <v>80.643326463697278</v>
      </c>
      <c r="AV81" s="71">
        <f t="shared" si="74"/>
        <v>110.99999999999999</v>
      </c>
      <c r="AW81" s="74">
        <f t="shared" si="75"/>
        <v>57.920096696415136</v>
      </c>
    </row>
    <row r="82" spans="17:49" x14ac:dyDescent="0.25">
      <c r="Q82">
        <v>75</v>
      </c>
      <c r="R82" s="73">
        <f t="shared" si="49"/>
        <v>50</v>
      </c>
      <c r="S82" s="71">
        <f t="shared" si="50"/>
        <v>2.25</v>
      </c>
      <c r="T82" s="71">
        <f t="shared" si="51"/>
        <v>3</v>
      </c>
      <c r="U82" s="74">
        <f t="shared" si="52"/>
        <v>37.5</v>
      </c>
      <c r="V82" s="73">
        <f>IF(Variable_Management!$B$20=3,2,IF((S82*R82/T82)&lt;((T82*(1-(T82/R82)))/(2*Lm*Fsw)),1,2))</f>
        <v>2</v>
      </c>
      <c r="W82" s="71">
        <f t="shared" si="53"/>
        <v>0.94</v>
      </c>
      <c r="X82" s="74">
        <f t="shared" si="54"/>
        <v>6.0000000000000053E-2</v>
      </c>
      <c r="Y82" s="73">
        <f t="shared" si="55"/>
        <v>0.64090909090909098</v>
      </c>
      <c r="Z82" s="71">
        <f t="shared" si="77"/>
        <v>37.820454545454545</v>
      </c>
      <c r="AA82" s="71">
        <f t="shared" si="78"/>
        <v>37.500456402181307</v>
      </c>
      <c r="AB82" s="71">
        <v>0</v>
      </c>
      <c r="AC82" s="71">
        <f t="shared" si="56"/>
        <v>10.547131727789257</v>
      </c>
      <c r="AD82" s="74">
        <f t="shared" si="67"/>
        <v>10.547131727789257</v>
      </c>
      <c r="AE82" s="73">
        <f t="shared" si="76"/>
        <v>35.25</v>
      </c>
      <c r="AF82" s="71">
        <f t="shared" si="68"/>
        <v>36.358041428954706</v>
      </c>
      <c r="AG82" s="71">
        <f t="shared" si="57"/>
        <v>49.174946967644637</v>
      </c>
      <c r="AH82" s="71">
        <f t="shared" si="58"/>
        <v>7.8258873929008574</v>
      </c>
      <c r="AI82" s="74">
        <f t="shared" si="69"/>
        <v>57.000834360545497</v>
      </c>
      <c r="AJ82" s="73">
        <f t="shared" si="70"/>
        <v>2.2500000000000018</v>
      </c>
      <c r="AK82" s="71">
        <f t="shared" si="59"/>
        <v>9.1856983306830902</v>
      </c>
      <c r="AL82" s="71">
        <f t="shared" si="60"/>
        <v>0.74251807363636424</v>
      </c>
      <c r="AM82" s="71">
        <f t="shared" si="71"/>
        <v>0.73761600000000005</v>
      </c>
      <c r="AN82" s="188">
        <f t="shared" si="61"/>
        <v>0.26625599999999999</v>
      </c>
      <c r="AO82" s="74">
        <f t="shared" si="72"/>
        <v>1.7463900736363642</v>
      </c>
      <c r="AP82" s="73">
        <f t="shared" si="62"/>
        <v>2.812568460743802</v>
      </c>
      <c r="AQ82" s="206">
        <f t="shared" si="63"/>
        <v>10.547131727789257</v>
      </c>
      <c r="AR82" s="206">
        <f t="shared" si="64"/>
        <v>8.6013784318131857E-3</v>
      </c>
      <c r="AS82" s="71">
        <f t="shared" si="65"/>
        <v>4.3999999999999997E-2</v>
      </c>
      <c r="AT82" s="74">
        <f t="shared" si="66"/>
        <v>9.9000000000000001E-6</v>
      </c>
      <c r="AU82" s="73">
        <f t="shared" si="73"/>
        <v>82.706667628936003</v>
      </c>
      <c r="AV82" s="71">
        <f t="shared" si="74"/>
        <v>112.5</v>
      </c>
      <c r="AW82" s="74">
        <f t="shared" si="75"/>
        <v>57.631228157559008</v>
      </c>
    </row>
    <row r="83" spans="17:49" x14ac:dyDescent="0.25">
      <c r="Q83">
        <v>76</v>
      </c>
      <c r="R83" s="73">
        <f t="shared" si="49"/>
        <v>50</v>
      </c>
      <c r="S83" s="71">
        <f t="shared" si="50"/>
        <v>2.2799999999999998</v>
      </c>
      <c r="T83" s="71">
        <f t="shared" si="51"/>
        <v>3</v>
      </c>
      <c r="U83" s="74">
        <f t="shared" si="52"/>
        <v>37.999999999999993</v>
      </c>
      <c r="V83" s="73">
        <f>IF(Variable_Management!$B$20=3,2,IF((S83*R83/T83)&lt;((T83*(1-(T83/R83)))/(2*Lm*Fsw)),1,2))</f>
        <v>2</v>
      </c>
      <c r="W83" s="71">
        <f t="shared" si="53"/>
        <v>0.94</v>
      </c>
      <c r="X83" s="74">
        <f t="shared" si="54"/>
        <v>6.0000000000000053E-2</v>
      </c>
      <c r="Y83" s="73">
        <f t="shared" si="55"/>
        <v>0.64090909090909098</v>
      </c>
      <c r="Z83" s="71">
        <f t="shared" si="77"/>
        <v>38.320454545454538</v>
      </c>
      <c r="AA83" s="71">
        <f t="shared" si="78"/>
        <v>38.000450396961092</v>
      </c>
      <c r="AB83" s="71">
        <v>0</v>
      </c>
      <c r="AC83" s="71">
        <f t="shared" si="56"/>
        <v>10.830256727789253</v>
      </c>
      <c r="AD83" s="74">
        <f t="shared" si="67"/>
        <v>10.830256727789253</v>
      </c>
      <c r="AE83" s="73">
        <f t="shared" si="76"/>
        <v>35.719999999999992</v>
      </c>
      <c r="AF83" s="71">
        <f t="shared" si="68"/>
        <v>36.842803592419322</v>
      </c>
      <c r="AG83" s="71">
        <f t="shared" si="57"/>
        <v>50.494988967644609</v>
      </c>
      <c r="AH83" s="71">
        <f t="shared" si="58"/>
        <v>7.930232558139533</v>
      </c>
      <c r="AI83" s="74">
        <f t="shared" si="69"/>
        <v>58.425221525784139</v>
      </c>
      <c r="AJ83" s="73">
        <f t="shared" si="70"/>
        <v>2.2800000000000016</v>
      </c>
      <c r="AK83" s="71">
        <f t="shared" si="59"/>
        <v>9.3081713468497185</v>
      </c>
      <c r="AL83" s="71">
        <f t="shared" si="60"/>
        <v>0.76245007363636408</v>
      </c>
      <c r="AM83" s="71">
        <f t="shared" si="71"/>
        <v>0.73761600000000005</v>
      </c>
      <c r="AN83" s="188">
        <f t="shared" si="61"/>
        <v>0.26977599999999996</v>
      </c>
      <c r="AO83" s="74">
        <f t="shared" si="72"/>
        <v>1.769842073636364</v>
      </c>
      <c r="AP83" s="73">
        <f t="shared" si="62"/>
        <v>2.888068460743801</v>
      </c>
      <c r="AQ83" s="206">
        <f t="shared" si="63"/>
        <v>10.830256727789253</v>
      </c>
      <c r="AR83" s="206">
        <f t="shared" si="64"/>
        <v>8.6013784318131857E-3</v>
      </c>
      <c r="AS83" s="71">
        <f t="shared" si="65"/>
        <v>4.3999999999999997E-2</v>
      </c>
      <c r="AT83" s="74">
        <f t="shared" si="66"/>
        <v>9.9000000000000001E-6</v>
      </c>
      <c r="AU83" s="73">
        <f t="shared" si="73"/>
        <v>84.79625679417461</v>
      </c>
      <c r="AV83" s="71">
        <f t="shared" si="74"/>
        <v>113.99999999999999</v>
      </c>
      <c r="AW83" s="74">
        <f t="shared" si="75"/>
        <v>57.345144138217272</v>
      </c>
    </row>
    <row r="84" spans="17:49" x14ac:dyDescent="0.25">
      <c r="Q84">
        <v>77</v>
      </c>
      <c r="R84" s="73">
        <f t="shared" si="49"/>
        <v>50</v>
      </c>
      <c r="S84" s="71">
        <f t="shared" si="50"/>
        <v>2.31</v>
      </c>
      <c r="T84" s="71">
        <f t="shared" si="51"/>
        <v>3</v>
      </c>
      <c r="U84" s="74">
        <f t="shared" si="52"/>
        <v>38.5</v>
      </c>
      <c r="V84" s="73">
        <f>IF(Variable_Management!$B$20=3,2,IF((S84*R84/T84)&lt;((T84*(1-(T84/R84)))/(2*Lm*Fsw)),1,2))</f>
        <v>2</v>
      </c>
      <c r="W84" s="71">
        <f t="shared" si="53"/>
        <v>0.94</v>
      </c>
      <c r="X84" s="74">
        <f t="shared" si="54"/>
        <v>6.0000000000000053E-2</v>
      </c>
      <c r="Y84" s="73">
        <f t="shared" si="55"/>
        <v>0.64090909090909098</v>
      </c>
      <c r="Z84" s="71">
        <f t="shared" si="77"/>
        <v>38.820454545454545</v>
      </c>
      <c r="AA84" s="71">
        <f t="shared" si="78"/>
        <v>38.500444547717898</v>
      </c>
      <c r="AB84" s="71">
        <v>0</v>
      </c>
      <c r="AC84" s="71">
        <f t="shared" si="56"/>
        <v>11.117131727789255</v>
      </c>
      <c r="AD84" s="74">
        <f t="shared" si="67"/>
        <v>11.117131727789255</v>
      </c>
      <c r="AE84" s="73">
        <f t="shared" si="76"/>
        <v>36.19</v>
      </c>
      <c r="AF84" s="71">
        <f t="shared" si="68"/>
        <v>37.327565907109275</v>
      </c>
      <c r="AG84" s="71">
        <f t="shared" si="57"/>
        <v>51.832514967644634</v>
      </c>
      <c r="AH84" s="71">
        <f t="shared" si="58"/>
        <v>8.034577723378213</v>
      </c>
      <c r="AI84" s="74">
        <f t="shared" si="69"/>
        <v>59.867092691022847</v>
      </c>
      <c r="AJ84" s="73">
        <f t="shared" si="70"/>
        <v>2.3100000000000023</v>
      </c>
      <c r="AK84" s="71">
        <f t="shared" si="59"/>
        <v>9.4306444012227573</v>
      </c>
      <c r="AL84" s="71">
        <f t="shared" si="60"/>
        <v>0.78264607363636451</v>
      </c>
      <c r="AM84" s="71">
        <f t="shared" si="71"/>
        <v>0.73761600000000005</v>
      </c>
      <c r="AN84" s="188">
        <f t="shared" si="61"/>
        <v>0.27329599999999998</v>
      </c>
      <c r="AO84" s="74">
        <f t="shared" si="72"/>
        <v>1.7935580736363645</v>
      </c>
      <c r="AP84" s="73">
        <f t="shared" si="62"/>
        <v>2.9645684607438016</v>
      </c>
      <c r="AQ84" s="206">
        <f t="shared" si="63"/>
        <v>11.117131727789255</v>
      </c>
      <c r="AR84" s="206">
        <f t="shared" si="64"/>
        <v>8.6013784318131857E-3</v>
      </c>
      <c r="AS84" s="71">
        <f t="shared" si="65"/>
        <v>4.3999999999999997E-2</v>
      </c>
      <c r="AT84" s="74">
        <f t="shared" si="66"/>
        <v>9.9000000000000001E-6</v>
      </c>
      <c r="AU84" s="73">
        <f t="shared" si="73"/>
        <v>86.91209395941334</v>
      </c>
      <c r="AV84" s="71">
        <f t="shared" si="74"/>
        <v>115.5</v>
      </c>
      <c r="AW84" s="74">
        <f t="shared" si="75"/>
        <v>57.061807790575735</v>
      </c>
    </row>
    <row r="85" spans="17:49" x14ac:dyDescent="0.25">
      <c r="Q85">
        <v>78</v>
      </c>
      <c r="R85" s="73">
        <f t="shared" si="49"/>
        <v>50</v>
      </c>
      <c r="S85" s="71">
        <f t="shared" si="50"/>
        <v>2.34</v>
      </c>
      <c r="T85" s="71">
        <f t="shared" si="51"/>
        <v>3</v>
      </c>
      <c r="U85" s="74">
        <f t="shared" si="52"/>
        <v>39</v>
      </c>
      <c r="V85" s="73">
        <f>IF(Variable_Management!$B$20=3,2,IF((S85*R85/T85)&lt;((T85*(1-(T85/R85)))/(2*Lm*Fsw)),1,2))</f>
        <v>2</v>
      </c>
      <c r="W85" s="71">
        <f t="shared" si="53"/>
        <v>0.94</v>
      </c>
      <c r="X85" s="74">
        <f t="shared" si="54"/>
        <v>6.0000000000000053E-2</v>
      </c>
      <c r="Y85" s="73">
        <f t="shared" si="55"/>
        <v>0.64090909090909098</v>
      </c>
      <c r="Z85" s="71">
        <f t="shared" si="77"/>
        <v>39.320454545454545</v>
      </c>
      <c r="AA85" s="71">
        <f t="shared" si="78"/>
        <v>39.000438848452731</v>
      </c>
      <c r="AB85" s="71">
        <v>0</v>
      </c>
      <c r="AC85" s="71">
        <f t="shared" si="56"/>
        <v>11.407756727789257</v>
      </c>
      <c r="AD85" s="74">
        <f t="shared" si="67"/>
        <v>11.407756727789257</v>
      </c>
      <c r="AE85" s="73">
        <f t="shared" si="76"/>
        <v>36.659999999999997</v>
      </c>
      <c r="AF85" s="71">
        <f t="shared" si="68"/>
        <v>37.812328367208316</v>
      </c>
      <c r="AG85" s="71">
        <f t="shared" si="57"/>
        <v>53.187524967644627</v>
      </c>
      <c r="AH85" s="71">
        <f t="shared" si="58"/>
        <v>8.1389228886168912</v>
      </c>
      <c r="AI85" s="74">
        <f t="shared" si="69"/>
        <v>61.326447856261517</v>
      </c>
      <c r="AJ85" s="73">
        <f t="shared" si="70"/>
        <v>2.3400000000000021</v>
      </c>
      <c r="AK85" s="71">
        <f t="shared" si="59"/>
        <v>9.5531174923327598</v>
      </c>
      <c r="AL85" s="71">
        <f t="shared" si="60"/>
        <v>0.80310607363636466</v>
      </c>
      <c r="AM85" s="71">
        <f t="shared" si="71"/>
        <v>0.73761600000000005</v>
      </c>
      <c r="AN85" s="188">
        <f t="shared" si="61"/>
        <v>0.27681600000000001</v>
      </c>
      <c r="AO85" s="74">
        <f t="shared" si="72"/>
        <v>1.8175380736363647</v>
      </c>
      <c r="AP85" s="73">
        <f t="shared" si="62"/>
        <v>3.0420684607438022</v>
      </c>
      <c r="AQ85" s="206">
        <f t="shared" si="63"/>
        <v>11.407756727789257</v>
      </c>
      <c r="AR85" s="206">
        <f t="shared" si="64"/>
        <v>8.6013784318131857E-3</v>
      </c>
      <c r="AS85" s="71">
        <f t="shared" si="65"/>
        <v>4.3999999999999997E-2</v>
      </c>
      <c r="AT85" s="74">
        <f t="shared" si="66"/>
        <v>9.9000000000000001E-6</v>
      </c>
      <c r="AU85" s="73">
        <f t="shared" si="73"/>
        <v>89.054179124652023</v>
      </c>
      <c r="AV85" s="71">
        <f t="shared" si="74"/>
        <v>117</v>
      </c>
      <c r="AW85" s="74">
        <f t="shared" si="75"/>
        <v>56.781182743797252</v>
      </c>
    </row>
    <row r="86" spans="17:49" x14ac:dyDescent="0.25">
      <c r="Q86">
        <v>79</v>
      </c>
      <c r="R86" s="73">
        <f t="shared" si="49"/>
        <v>50</v>
      </c>
      <c r="S86" s="71">
        <f t="shared" si="50"/>
        <v>2.37</v>
      </c>
      <c r="T86" s="71">
        <f t="shared" si="51"/>
        <v>3</v>
      </c>
      <c r="U86" s="74">
        <f t="shared" si="52"/>
        <v>39.5</v>
      </c>
      <c r="V86" s="73">
        <f>IF(Variable_Management!$B$20=3,2,IF((S86*R86/T86)&lt;((T86*(1-(T86/R86)))/(2*Lm*Fsw)),1,2))</f>
        <v>2</v>
      </c>
      <c r="W86" s="71">
        <f t="shared" si="53"/>
        <v>0.94</v>
      </c>
      <c r="X86" s="74">
        <f t="shared" si="54"/>
        <v>6.0000000000000053E-2</v>
      </c>
      <c r="Y86" s="73">
        <f t="shared" si="55"/>
        <v>0.64090909090909098</v>
      </c>
      <c r="Z86" s="71">
        <f t="shared" si="77"/>
        <v>39.820454545454545</v>
      </c>
      <c r="AA86" s="71">
        <f t="shared" si="78"/>
        <v>39.500433293470351</v>
      </c>
      <c r="AB86" s="71">
        <v>0</v>
      </c>
      <c r="AC86" s="71">
        <f t="shared" si="56"/>
        <v>11.702131727789258</v>
      </c>
      <c r="AD86" s="74">
        <f t="shared" si="67"/>
        <v>11.702131727789258</v>
      </c>
      <c r="AE86" s="73">
        <f t="shared" si="76"/>
        <v>37.129999999999995</v>
      </c>
      <c r="AF86" s="71">
        <f t="shared" si="68"/>
        <v>38.297090967194713</v>
      </c>
      <c r="AG86" s="71">
        <f t="shared" si="57"/>
        <v>54.560018967644638</v>
      </c>
      <c r="AH86" s="71">
        <f t="shared" si="58"/>
        <v>8.2432680538555694</v>
      </c>
      <c r="AI86" s="74">
        <f t="shared" si="69"/>
        <v>62.803287021500211</v>
      </c>
      <c r="AJ86" s="73">
        <f t="shared" si="70"/>
        <v>2.3700000000000019</v>
      </c>
      <c r="AK86" s="71">
        <f t="shared" si="59"/>
        <v>9.6755906187846819</v>
      </c>
      <c r="AL86" s="71">
        <f t="shared" si="60"/>
        <v>0.82383007363636451</v>
      </c>
      <c r="AM86" s="71">
        <f t="shared" si="71"/>
        <v>0.73761600000000005</v>
      </c>
      <c r="AN86" s="188">
        <f t="shared" si="61"/>
        <v>0.28033600000000003</v>
      </c>
      <c r="AO86" s="74">
        <f t="shared" si="72"/>
        <v>1.8417820736363648</v>
      </c>
      <c r="AP86" s="73">
        <f t="shared" si="62"/>
        <v>3.1205684607438022</v>
      </c>
      <c r="AQ86" s="206">
        <f t="shared" si="63"/>
        <v>11.702131727789258</v>
      </c>
      <c r="AR86" s="206">
        <f t="shared" si="64"/>
        <v>8.6013784318131857E-3</v>
      </c>
      <c r="AS86" s="71">
        <f t="shared" si="65"/>
        <v>4.3999999999999997E-2</v>
      </c>
      <c r="AT86" s="74">
        <f t="shared" si="66"/>
        <v>9.9000000000000001E-6</v>
      </c>
      <c r="AU86" s="73">
        <f t="shared" si="73"/>
        <v>91.222512289890716</v>
      </c>
      <c r="AV86" s="71">
        <f t="shared" si="74"/>
        <v>118.5</v>
      </c>
      <c r="AW86" s="74">
        <f t="shared" si="75"/>
        <v>56.503233108423942</v>
      </c>
    </row>
    <row r="87" spans="17:49" x14ac:dyDescent="0.25">
      <c r="Q87">
        <v>80</v>
      </c>
      <c r="R87" s="73">
        <f t="shared" si="49"/>
        <v>50</v>
      </c>
      <c r="S87" s="71">
        <f t="shared" si="50"/>
        <v>2.4</v>
      </c>
      <c r="T87" s="71">
        <f t="shared" si="51"/>
        <v>3</v>
      </c>
      <c r="U87" s="74">
        <f t="shared" si="52"/>
        <v>40</v>
      </c>
      <c r="V87" s="73">
        <f>IF(Variable_Management!$B$20=3,2,IF((S87*R87/T87)&lt;((T87*(1-(T87/R87)))/(2*Lm*Fsw)),1,2))</f>
        <v>2</v>
      </c>
      <c r="W87" s="71">
        <f t="shared" si="53"/>
        <v>0.94</v>
      </c>
      <c r="X87" s="74">
        <f t="shared" si="54"/>
        <v>6.0000000000000053E-2</v>
      </c>
      <c r="Y87" s="73">
        <f t="shared" si="55"/>
        <v>0.64090909090909098</v>
      </c>
      <c r="Z87" s="71">
        <f t="shared" si="77"/>
        <v>40.320454545454545</v>
      </c>
      <c r="AA87" s="71">
        <f t="shared" si="78"/>
        <v>40.000427877360273</v>
      </c>
      <c r="AB87" s="71">
        <v>0</v>
      </c>
      <c r="AC87" s="71">
        <f t="shared" si="56"/>
        <v>12.000256727789257</v>
      </c>
      <c r="AD87" s="74">
        <f t="shared" si="67"/>
        <v>12.000256727789257</v>
      </c>
      <c r="AE87" s="73">
        <f t="shared" si="76"/>
        <v>37.599999999999994</v>
      </c>
      <c r="AF87" s="71">
        <f t="shared" si="68"/>
        <v>38.781853701822797</v>
      </c>
      <c r="AG87" s="71">
        <f t="shared" si="57"/>
        <v>55.94999696764463</v>
      </c>
      <c r="AH87" s="71">
        <f t="shared" si="58"/>
        <v>8.3476132190942476</v>
      </c>
      <c r="AI87" s="74">
        <f t="shared" si="69"/>
        <v>64.297610186738879</v>
      </c>
      <c r="AJ87" s="73">
        <f t="shared" si="70"/>
        <v>2.4000000000000021</v>
      </c>
      <c r="AK87" s="71">
        <f t="shared" si="59"/>
        <v>9.7980637792532317</v>
      </c>
      <c r="AL87" s="71">
        <f t="shared" si="60"/>
        <v>0.8448180736363643</v>
      </c>
      <c r="AM87" s="71">
        <f t="shared" si="71"/>
        <v>0.73761600000000005</v>
      </c>
      <c r="AN87" s="188">
        <f t="shared" si="61"/>
        <v>0.283856</v>
      </c>
      <c r="AO87" s="74">
        <f t="shared" si="72"/>
        <v>1.8662900736363643</v>
      </c>
      <c r="AP87" s="73">
        <f t="shared" si="62"/>
        <v>3.2000684607438021</v>
      </c>
      <c r="AQ87" s="206">
        <f t="shared" si="63"/>
        <v>12.000256727789257</v>
      </c>
      <c r="AR87" s="206">
        <f t="shared" si="64"/>
        <v>8.6013784318131857E-3</v>
      </c>
      <c r="AS87" s="71">
        <f t="shared" si="65"/>
        <v>4.3999999999999997E-2</v>
      </c>
      <c r="AT87" s="74">
        <f t="shared" si="66"/>
        <v>9.9000000000000001E-6</v>
      </c>
      <c r="AU87" s="73">
        <f t="shared" si="73"/>
        <v>93.41709345512939</v>
      </c>
      <c r="AV87" s="71">
        <f t="shared" si="74"/>
        <v>120</v>
      </c>
      <c r="AW87" s="74">
        <f t="shared" si="75"/>
        <v>56.227923479442296</v>
      </c>
    </row>
    <row r="88" spans="17:49" x14ac:dyDescent="0.25">
      <c r="Q88">
        <v>81</v>
      </c>
      <c r="R88" s="73">
        <f t="shared" si="49"/>
        <v>50</v>
      </c>
      <c r="S88" s="71">
        <f t="shared" si="50"/>
        <v>2.4299999999999997</v>
      </c>
      <c r="T88" s="71">
        <f t="shared" si="51"/>
        <v>3</v>
      </c>
      <c r="U88" s="74">
        <f t="shared" si="52"/>
        <v>40.499999999999993</v>
      </c>
      <c r="V88" s="73">
        <f>IF(Variable_Management!$B$20=3,2,IF((S88*R88/T88)&lt;((T88*(1-(T88/R88)))/(2*Lm*Fsw)),1,2))</f>
        <v>2</v>
      </c>
      <c r="W88" s="71">
        <f t="shared" si="53"/>
        <v>0.94</v>
      </c>
      <c r="X88" s="74">
        <f t="shared" si="54"/>
        <v>6.0000000000000053E-2</v>
      </c>
      <c r="Y88" s="73">
        <f t="shared" si="55"/>
        <v>0.64090909090909098</v>
      </c>
      <c r="Z88" s="71">
        <f t="shared" si="77"/>
        <v>40.820454545454538</v>
      </c>
      <c r="AA88" s="71">
        <f t="shared" si="78"/>
        <v>40.500422594979177</v>
      </c>
      <c r="AB88" s="71">
        <v>0</v>
      </c>
      <c r="AC88" s="71">
        <f t="shared" si="56"/>
        <v>12.302131727789249</v>
      </c>
      <c r="AD88" s="74">
        <f t="shared" si="67"/>
        <v>12.302131727789249</v>
      </c>
      <c r="AE88" s="73">
        <f t="shared" si="76"/>
        <v>38.069999999999993</v>
      </c>
      <c r="AF88" s="71">
        <f t="shared" si="68"/>
        <v>39.266616566105945</v>
      </c>
      <c r="AG88" s="71">
        <f t="shared" si="57"/>
        <v>57.357458967644597</v>
      </c>
      <c r="AH88" s="71">
        <f t="shared" si="58"/>
        <v>8.451958384332924</v>
      </c>
      <c r="AI88" s="74">
        <f t="shared" si="69"/>
        <v>65.809417351977515</v>
      </c>
      <c r="AJ88" s="73">
        <f t="shared" si="70"/>
        <v>2.4300000000000019</v>
      </c>
      <c r="AK88" s="71">
        <f t="shared" si="59"/>
        <v>9.9205369724785601</v>
      </c>
      <c r="AL88" s="71">
        <f t="shared" si="60"/>
        <v>0.8660700736363639</v>
      </c>
      <c r="AM88" s="71">
        <f t="shared" si="71"/>
        <v>0.73761600000000005</v>
      </c>
      <c r="AN88" s="188">
        <f t="shared" si="61"/>
        <v>0.28737599999999996</v>
      </c>
      <c r="AO88" s="74">
        <f t="shared" si="72"/>
        <v>1.8910620736363639</v>
      </c>
      <c r="AP88" s="73">
        <f t="shared" si="62"/>
        <v>3.2805684607437997</v>
      </c>
      <c r="AQ88" s="206">
        <f t="shared" si="63"/>
        <v>12.302131727789249</v>
      </c>
      <c r="AR88" s="206">
        <f t="shared" si="64"/>
        <v>8.6013784318131857E-3</v>
      </c>
      <c r="AS88" s="71">
        <f t="shared" si="65"/>
        <v>4.3999999999999997E-2</v>
      </c>
      <c r="AT88" s="74">
        <f t="shared" si="66"/>
        <v>9.9000000000000001E-6</v>
      </c>
      <c r="AU88" s="73">
        <f t="shared" si="73"/>
        <v>95.637922620367988</v>
      </c>
      <c r="AV88" s="71">
        <f t="shared" si="74"/>
        <v>121.49999999999999</v>
      </c>
      <c r="AW88" s="74">
        <f t="shared" si="75"/>
        <v>55.955218938160286</v>
      </c>
    </row>
    <row r="89" spans="17:49" x14ac:dyDescent="0.25">
      <c r="Q89">
        <v>82</v>
      </c>
      <c r="R89" s="73">
        <f t="shared" si="49"/>
        <v>50</v>
      </c>
      <c r="S89" s="71">
        <f t="shared" si="50"/>
        <v>2.46</v>
      </c>
      <c r="T89" s="71">
        <f t="shared" si="51"/>
        <v>3</v>
      </c>
      <c r="U89" s="74">
        <f t="shared" si="52"/>
        <v>41</v>
      </c>
      <c r="V89" s="73">
        <f>IF(Variable_Management!$B$20=3,2,IF((S89*R89/T89)&lt;((T89*(1-(T89/R89)))/(2*Lm*Fsw)),1,2))</f>
        <v>2</v>
      </c>
      <c r="W89" s="71">
        <f t="shared" si="53"/>
        <v>0.94</v>
      </c>
      <c r="X89" s="74">
        <f t="shared" si="54"/>
        <v>6.0000000000000053E-2</v>
      </c>
      <c r="Y89" s="73">
        <f t="shared" si="55"/>
        <v>0.64090909090909098</v>
      </c>
      <c r="Z89" s="71">
        <f t="shared" si="77"/>
        <v>41.320454545454545</v>
      </c>
      <c r="AA89" s="71">
        <f t="shared" si="78"/>
        <v>41.000417441434678</v>
      </c>
      <c r="AB89" s="71">
        <v>0</v>
      </c>
      <c r="AC89" s="71">
        <f t="shared" si="56"/>
        <v>12.607756727789257</v>
      </c>
      <c r="AD89" s="74">
        <f t="shared" si="67"/>
        <v>12.607756727789257</v>
      </c>
      <c r="AE89" s="73">
        <f t="shared" si="76"/>
        <v>38.54</v>
      </c>
      <c r="AF89" s="71">
        <f t="shared" si="68"/>
        <v>39.751379555300801</v>
      </c>
      <c r="AG89" s="71">
        <f t="shared" si="57"/>
        <v>58.782404967644624</v>
      </c>
      <c r="AH89" s="71">
        <f t="shared" si="58"/>
        <v>8.556303549571604</v>
      </c>
      <c r="AI89" s="74">
        <f t="shared" si="69"/>
        <v>67.338708517216233</v>
      </c>
      <c r="AJ89" s="73">
        <f t="shared" si="70"/>
        <v>2.4600000000000022</v>
      </c>
      <c r="AK89" s="71">
        <f t="shared" si="59"/>
        <v>10.04301019726228</v>
      </c>
      <c r="AL89" s="71">
        <f t="shared" si="60"/>
        <v>0.88758607363636444</v>
      </c>
      <c r="AM89" s="71">
        <f t="shared" si="71"/>
        <v>0.73761600000000005</v>
      </c>
      <c r="AN89" s="188">
        <f t="shared" si="61"/>
        <v>0.29089599999999999</v>
      </c>
      <c r="AO89" s="74">
        <f t="shared" si="72"/>
        <v>1.9160980736363644</v>
      </c>
      <c r="AP89" s="73">
        <f t="shared" si="62"/>
        <v>3.3620684607438021</v>
      </c>
      <c r="AQ89" s="206">
        <f t="shared" si="63"/>
        <v>12.607756727789257</v>
      </c>
      <c r="AR89" s="206">
        <f t="shared" si="64"/>
        <v>8.6013784318131857E-3</v>
      </c>
      <c r="AS89" s="71">
        <f t="shared" si="65"/>
        <v>4.3999999999999997E-2</v>
      </c>
      <c r="AT89" s="74">
        <f t="shared" si="66"/>
        <v>9.9000000000000001E-6</v>
      </c>
      <c r="AU89" s="73">
        <f t="shared" si="73"/>
        <v>97.884999785606709</v>
      </c>
      <c r="AV89" s="71">
        <f t="shared" si="74"/>
        <v>123</v>
      </c>
      <c r="AW89" s="74">
        <f t="shared" si="75"/>
        <v>55.685085053029894</v>
      </c>
    </row>
    <row r="90" spans="17:49" x14ac:dyDescent="0.25">
      <c r="Q90">
        <v>83</v>
      </c>
      <c r="R90" s="73">
        <f t="shared" si="49"/>
        <v>50</v>
      </c>
      <c r="S90" s="71">
        <f t="shared" si="50"/>
        <v>2.4899999999999998</v>
      </c>
      <c r="T90" s="71">
        <f t="shared" si="51"/>
        <v>3</v>
      </c>
      <c r="U90" s="74">
        <f t="shared" si="52"/>
        <v>41.499999999999993</v>
      </c>
      <c r="V90" s="73">
        <f>IF(Variable_Management!$B$20=3,2,IF((S90*R90/T90)&lt;((T90*(1-(T90/R90)))/(2*Lm*Fsw)),1,2))</f>
        <v>2</v>
      </c>
      <c r="W90" s="71">
        <f t="shared" si="53"/>
        <v>0.94</v>
      </c>
      <c r="X90" s="74">
        <f t="shared" si="54"/>
        <v>6.0000000000000053E-2</v>
      </c>
      <c r="Y90" s="73">
        <f t="shared" si="55"/>
        <v>0.64090909090909098</v>
      </c>
      <c r="Z90" s="71">
        <f t="shared" si="77"/>
        <v>41.820454545454538</v>
      </c>
      <c r="AA90" s="71">
        <f t="shared" si="78"/>
        <v>41.500412412070077</v>
      </c>
      <c r="AB90" s="71">
        <v>0</v>
      </c>
      <c r="AC90" s="71">
        <f t="shared" si="56"/>
        <v>12.917131727789251</v>
      </c>
      <c r="AD90" s="74">
        <f t="shared" si="67"/>
        <v>12.917131727789251</v>
      </c>
      <c r="AE90" s="73">
        <f t="shared" si="76"/>
        <v>39.009999999999991</v>
      </c>
      <c r="AF90" s="71">
        <f t="shared" si="68"/>
        <v>40.236142664892547</v>
      </c>
      <c r="AG90" s="71">
        <f t="shared" si="57"/>
        <v>60.224834967644618</v>
      </c>
      <c r="AH90" s="71">
        <f t="shared" si="58"/>
        <v>8.6606487148102804</v>
      </c>
      <c r="AI90" s="74">
        <f t="shared" si="69"/>
        <v>68.885483682454904</v>
      </c>
      <c r="AJ90" s="73">
        <f t="shared" si="70"/>
        <v>2.490000000000002</v>
      </c>
      <c r="AK90" s="71">
        <f t="shared" si="59"/>
        <v>10.165483452463739</v>
      </c>
      <c r="AL90" s="71">
        <f t="shared" si="60"/>
        <v>0.90936607363636413</v>
      </c>
      <c r="AM90" s="71">
        <f t="shared" si="71"/>
        <v>0.73761600000000005</v>
      </c>
      <c r="AN90" s="188">
        <f t="shared" si="61"/>
        <v>0.29441599999999996</v>
      </c>
      <c r="AO90" s="74">
        <f t="shared" si="72"/>
        <v>1.9413980736363641</v>
      </c>
      <c r="AP90" s="73">
        <f t="shared" si="62"/>
        <v>3.4445684607438003</v>
      </c>
      <c r="AQ90" s="206">
        <f t="shared" si="63"/>
        <v>12.917131727789251</v>
      </c>
      <c r="AR90" s="206">
        <f t="shared" si="64"/>
        <v>8.6013784318131857E-3</v>
      </c>
      <c r="AS90" s="71">
        <f t="shared" si="65"/>
        <v>4.3999999999999997E-2</v>
      </c>
      <c r="AT90" s="74">
        <f t="shared" si="66"/>
        <v>9.9000000000000001E-6</v>
      </c>
      <c r="AU90" s="73">
        <f t="shared" si="73"/>
        <v>100.15832495084538</v>
      </c>
      <c r="AV90" s="71">
        <f t="shared" si="74"/>
        <v>124.49999999999999</v>
      </c>
      <c r="AW90" s="74">
        <f t="shared" si="75"/>
        <v>55.417487879534512</v>
      </c>
    </row>
    <row r="91" spans="17:49" x14ac:dyDescent="0.25">
      <c r="Q91">
        <v>84</v>
      </c>
      <c r="R91" s="73">
        <f t="shared" si="49"/>
        <v>50</v>
      </c>
      <c r="S91" s="71">
        <f t="shared" si="50"/>
        <v>2.52</v>
      </c>
      <c r="T91" s="71">
        <f t="shared" si="51"/>
        <v>3</v>
      </c>
      <c r="U91" s="74">
        <f t="shared" si="52"/>
        <v>42</v>
      </c>
      <c r="V91" s="73">
        <f>IF(Variable_Management!$B$20=3,2,IF((S91*R91/T91)&lt;((T91*(1-(T91/R91)))/(2*Lm*Fsw)),1,2))</f>
        <v>2</v>
      </c>
      <c r="W91" s="71">
        <f t="shared" si="53"/>
        <v>0.94</v>
      </c>
      <c r="X91" s="74">
        <f t="shared" si="54"/>
        <v>6.0000000000000053E-2</v>
      </c>
      <c r="Y91" s="73">
        <f t="shared" si="55"/>
        <v>0.64090909090909098</v>
      </c>
      <c r="Z91" s="71">
        <f t="shared" si="77"/>
        <v>42.320454545454545</v>
      </c>
      <c r="AA91" s="71">
        <f t="shared" si="78"/>
        <v>42.000407502450507</v>
      </c>
      <c r="AB91" s="71">
        <v>0</v>
      </c>
      <c r="AC91" s="71">
        <f t="shared" si="56"/>
        <v>13.230256727789255</v>
      </c>
      <c r="AD91" s="74">
        <f t="shared" si="67"/>
        <v>13.230256727789255</v>
      </c>
      <c r="AE91" s="73">
        <f t="shared" si="76"/>
        <v>39.479999999999997</v>
      </c>
      <c r="AF91" s="71">
        <f t="shared" si="68"/>
        <v>40.720905890581399</v>
      </c>
      <c r="AG91" s="71">
        <f t="shared" si="57"/>
        <v>61.684748967644644</v>
      </c>
      <c r="AH91" s="71">
        <f t="shared" si="58"/>
        <v>8.7649938800489604</v>
      </c>
      <c r="AI91" s="74">
        <f t="shared" si="69"/>
        <v>70.449742847693599</v>
      </c>
      <c r="AJ91" s="73">
        <f t="shared" si="70"/>
        <v>2.5200000000000022</v>
      </c>
      <c r="AK91" s="71">
        <f t="shared" si="59"/>
        <v>10.28795673699662</v>
      </c>
      <c r="AL91" s="71">
        <f t="shared" si="60"/>
        <v>0.93141007363636441</v>
      </c>
      <c r="AM91" s="71">
        <f t="shared" si="71"/>
        <v>0.73761600000000005</v>
      </c>
      <c r="AN91" s="188">
        <f t="shared" si="61"/>
        <v>0.29793600000000003</v>
      </c>
      <c r="AO91" s="74">
        <f t="shared" si="72"/>
        <v>1.9669620736363644</v>
      </c>
      <c r="AP91" s="73">
        <f t="shared" si="62"/>
        <v>3.5280684607438015</v>
      </c>
      <c r="AQ91" s="206">
        <f t="shared" si="63"/>
        <v>13.230256727789255</v>
      </c>
      <c r="AR91" s="206">
        <f t="shared" si="64"/>
        <v>8.6013784318131857E-3</v>
      </c>
      <c r="AS91" s="71">
        <f t="shared" si="65"/>
        <v>4.3999999999999997E-2</v>
      </c>
      <c r="AT91" s="74">
        <f t="shared" si="66"/>
        <v>9.9000000000000001E-6</v>
      </c>
      <c r="AU91" s="73">
        <f t="shared" si="73"/>
        <v>102.45789811608408</v>
      </c>
      <c r="AV91" s="71">
        <f t="shared" si="74"/>
        <v>126</v>
      </c>
      <c r="AW91" s="74">
        <f t="shared" si="75"/>
        <v>55.152393959247945</v>
      </c>
    </row>
    <row r="92" spans="17:49" x14ac:dyDescent="0.25">
      <c r="Q92">
        <v>85</v>
      </c>
      <c r="R92" s="73">
        <f t="shared" si="49"/>
        <v>50</v>
      </c>
      <c r="S92" s="71">
        <f t="shared" si="50"/>
        <v>2.5499999999999998</v>
      </c>
      <c r="T92" s="71">
        <f t="shared" si="51"/>
        <v>3</v>
      </c>
      <c r="U92" s="74">
        <f t="shared" si="52"/>
        <v>42.499999999999993</v>
      </c>
      <c r="V92" s="73">
        <f>IF(Variable_Management!$B$20=3,2,IF((S92*R92/T92)&lt;((T92*(1-(T92/R92)))/(2*Lm*Fsw)),1,2))</f>
        <v>2</v>
      </c>
      <c r="W92" s="71">
        <f t="shared" si="53"/>
        <v>0.94</v>
      </c>
      <c r="X92" s="74">
        <f t="shared" si="54"/>
        <v>6.0000000000000053E-2</v>
      </c>
      <c r="Y92" s="73">
        <f t="shared" si="55"/>
        <v>0.64090909090909098</v>
      </c>
      <c r="Z92" s="71">
        <f t="shared" si="77"/>
        <v>42.820454545454538</v>
      </c>
      <c r="AA92" s="71">
        <f t="shared" si="78"/>
        <v>42.500402708349718</v>
      </c>
      <c r="AB92" s="71">
        <v>0</v>
      </c>
      <c r="AC92" s="71">
        <f t="shared" si="56"/>
        <v>13.54713172778925</v>
      </c>
      <c r="AD92" s="74">
        <f t="shared" si="67"/>
        <v>13.54713172778925</v>
      </c>
      <c r="AE92" s="73">
        <f t="shared" si="76"/>
        <v>39.949999999999989</v>
      </c>
      <c r="AF92" s="71">
        <f t="shared" si="68"/>
        <v>41.205669228269862</v>
      </c>
      <c r="AG92" s="71">
        <f t="shared" si="57"/>
        <v>63.162146967644595</v>
      </c>
      <c r="AH92" s="71">
        <f t="shared" si="58"/>
        <v>8.8693390452876368</v>
      </c>
      <c r="AI92" s="74">
        <f t="shared" si="69"/>
        <v>72.031486012932234</v>
      </c>
      <c r="AJ92" s="73">
        <f t="shared" si="70"/>
        <v>2.550000000000002</v>
      </c>
      <c r="AK92" s="71">
        <f t="shared" si="59"/>
        <v>10.410430049825708</v>
      </c>
      <c r="AL92" s="71">
        <f t="shared" si="60"/>
        <v>0.95371807363636407</v>
      </c>
      <c r="AM92" s="71">
        <f t="shared" si="71"/>
        <v>0.73761600000000005</v>
      </c>
      <c r="AN92" s="188">
        <f t="shared" si="61"/>
        <v>0.30145599999999995</v>
      </c>
      <c r="AO92" s="74">
        <f t="shared" si="72"/>
        <v>1.992790073636364</v>
      </c>
      <c r="AP92" s="73">
        <f t="shared" si="62"/>
        <v>3.6125684607438004</v>
      </c>
      <c r="AQ92" s="206">
        <f t="shared" si="63"/>
        <v>13.54713172778925</v>
      </c>
      <c r="AR92" s="206">
        <f t="shared" si="64"/>
        <v>8.6013784318131857E-3</v>
      </c>
      <c r="AS92" s="71">
        <f t="shared" si="65"/>
        <v>4.3999999999999997E-2</v>
      </c>
      <c r="AT92" s="74">
        <f t="shared" si="66"/>
        <v>9.9000000000000001E-6</v>
      </c>
      <c r="AU92" s="73">
        <f t="shared" si="73"/>
        <v>104.7837192813227</v>
      </c>
      <c r="AV92" s="71">
        <f t="shared" si="74"/>
        <v>127.49999999999999</v>
      </c>
      <c r="AW92" s="74">
        <f t="shared" si="75"/>
        <v>54.889770318161048</v>
      </c>
    </row>
    <row r="93" spans="17:49" x14ac:dyDescent="0.25">
      <c r="Q93">
        <v>86</v>
      </c>
      <c r="R93" s="73">
        <f t="shared" si="49"/>
        <v>50</v>
      </c>
      <c r="S93" s="71">
        <f t="shared" si="50"/>
        <v>2.58</v>
      </c>
      <c r="T93" s="71">
        <f t="shared" si="51"/>
        <v>3</v>
      </c>
      <c r="U93" s="74">
        <f t="shared" si="52"/>
        <v>43</v>
      </c>
      <c r="V93" s="73">
        <f>IF(Variable_Management!$B$20=3,2,IF((S93*R93/T93)&lt;((T93*(1-(T93/R93)))/(2*Lm*Fsw)),1,2))</f>
        <v>2</v>
      </c>
      <c r="W93" s="71">
        <f t="shared" si="53"/>
        <v>0.94</v>
      </c>
      <c r="X93" s="74">
        <f t="shared" si="54"/>
        <v>6.0000000000000053E-2</v>
      </c>
      <c r="Y93" s="73">
        <f t="shared" si="55"/>
        <v>0.64090909090909098</v>
      </c>
      <c r="Z93" s="71">
        <f t="shared" si="77"/>
        <v>43.320454545454545</v>
      </c>
      <c r="AA93" s="71">
        <f t="shared" si="78"/>
        <v>43.000398025738093</v>
      </c>
      <c r="AB93" s="71">
        <v>0</v>
      </c>
      <c r="AC93" s="71">
        <f t="shared" si="56"/>
        <v>13.867756727789253</v>
      </c>
      <c r="AD93" s="74">
        <f t="shared" si="67"/>
        <v>13.867756727789253</v>
      </c>
      <c r="AE93" s="73">
        <f t="shared" si="76"/>
        <v>40.419999999999995</v>
      </c>
      <c r="AF93" s="71">
        <f t="shared" si="68"/>
        <v>41.690432674051088</v>
      </c>
      <c r="AG93" s="71">
        <f t="shared" si="57"/>
        <v>64.657028967644635</v>
      </c>
      <c r="AH93" s="71">
        <f t="shared" si="58"/>
        <v>8.9736842105263168</v>
      </c>
      <c r="AI93" s="74">
        <f t="shared" si="69"/>
        <v>73.63071317817095</v>
      </c>
      <c r="AJ93" s="73">
        <f t="shared" si="70"/>
        <v>2.5800000000000023</v>
      </c>
      <c r="AK93" s="71">
        <f t="shared" si="59"/>
        <v>10.532903389963954</v>
      </c>
      <c r="AL93" s="71">
        <f t="shared" si="60"/>
        <v>0.97629007363636455</v>
      </c>
      <c r="AM93" s="71">
        <f t="shared" si="71"/>
        <v>0.73761600000000005</v>
      </c>
      <c r="AN93" s="188">
        <f t="shared" si="61"/>
        <v>0.30497600000000002</v>
      </c>
      <c r="AO93" s="74">
        <f t="shared" si="72"/>
        <v>2.0188820736363646</v>
      </c>
      <c r="AP93" s="73">
        <f t="shared" si="62"/>
        <v>3.698068460743801</v>
      </c>
      <c r="AQ93" s="206">
        <f t="shared" si="63"/>
        <v>13.867756727789253</v>
      </c>
      <c r="AR93" s="206">
        <f t="shared" si="64"/>
        <v>8.6013784318131857E-3</v>
      </c>
      <c r="AS93" s="71">
        <f t="shared" si="65"/>
        <v>4.3999999999999997E-2</v>
      </c>
      <c r="AT93" s="74">
        <f t="shared" si="66"/>
        <v>9.9000000000000001E-6</v>
      </c>
      <c r="AU93" s="73">
        <f t="shared" si="73"/>
        <v>107.13578844656143</v>
      </c>
      <c r="AV93" s="71">
        <f t="shared" si="74"/>
        <v>129</v>
      </c>
      <c r="AW93" s="74">
        <f t="shared" si="75"/>
        <v>54.629584464361393</v>
      </c>
    </row>
    <row r="94" spans="17:49" x14ac:dyDescent="0.25">
      <c r="Q94">
        <v>87</v>
      </c>
      <c r="R94" s="73">
        <f t="shared" si="49"/>
        <v>50</v>
      </c>
      <c r="S94" s="71">
        <f t="shared" si="50"/>
        <v>2.61</v>
      </c>
      <c r="T94" s="71">
        <f t="shared" si="51"/>
        <v>3</v>
      </c>
      <c r="U94" s="74">
        <f t="shared" si="52"/>
        <v>43.5</v>
      </c>
      <c r="V94" s="73">
        <f>IF(Variable_Management!$B$20=3,2,IF((S94*R94/T94)&lt;((T94*(1-(T94/R94)))/(2*Lm*Fsw)),1,2))</f>
        <v>2</v>
      </c>
      <c r="W94" s="71">
        <f t="shared" si="53"/>
        <v>0.94</v>
      </c>
      <c r="X94" s="74">
        <f t="shared" si="54"/>
        <v>6.0000000000000053E-2</v>
      </c>
      <c r="Y94" s="73">
        <f t="shared" si="55"/>
        <v>0.64090909090909098</v>
      </c>
      <c r="Z94" s="71">
        <f t="shared" si="77"/>
        <v>43.820454545454545</v>
      </c>
      <c r="AA94" s="71">
        <f t="shared" si="78"/>
        <v>43.500393450771234</v>
      </c>
      <c r="AB94" s="71">
        <v>0</v>
      </c>
      <c r="AC94" s="71">
        <f t="shared" si="56"/>
        <v>14.192131727789256</v>
      </c>
      <c r="AD94" s="74">
        <f t="shared" si="67"/>
        <v>14.192131727789256</v>
      </c>
      <c r="AE94" s="73">
        <f t="shared" si="76"/>
        <v>40.89</v>
      </c>
      <c r="AF94" s="71">
        <f t="shared" si="68"/>
        <v>42.175196224197784</v>
      </c>
      <c r="AG94" s="71">
        <f t="shared" si="57"/>
        <v>66.169394967644649</v>
      </c>
      <c r="AH94" s="71">
        <f t="shared" si="58"/>
        <v>9.078029375764995</v>
      </c>
      <c r="AI94" s="74">
        <f t="shared" si="69"/>
        <v>75.247424343409648</v>
      </c>
      <c r="AJ94" s="73">
        <f t="shared" si="70"/>
        <v>2.6100000000000021</v>
      </c>
      <c r="AK94" s="71">
        <f t="shared" si="59"/>
        <v>10.655376756469673</v>
      </c>
      <c r="AL94" s="71">
        <f t="shared" si="60"/>
        <v>0.99912607363636485</v>
      </c>
      <c r="AM94" s="71">
        <f t="shared" si="71"/>
        <v>0.73761600000000005</v>
      </c>
      <c r="AN94" s="188">
        <f t="shared" si="61"/>
        <v>0.30849599999999999</v>
      </c>
      <c r="AO94" s="74">
        <f t="shared" si="72"/>
        <v>2.0452380736363649</v>
      </c>
      <c r="AP94" s="73">
        <f t="shared" si="62"/>
        <v>3.7845684607438019</v>
      </c>
      <c r="AQ94" s="206">
        <f t="shared" si="63"/>
        <v>14.192131727789256</v>
      </c>
      <c r="AR94" s="206">
        <f t="shared" si="64"/>
        <v>8.6013784318131857E-3</v>
      </c>
      <c r="AS94" s="71">
        <f t="shared" si="65"/>
        <v>4.3999999999999997E-2</v>
      </c>
      <c r="AT94" s="74">
        <f t="shared" si="66"/>
        <v>9.9000000000000001E-6</v>
      </c>
      <c r="AU94" s="73">
        <f t="shared" si="73"/>
        <v>109.51410561180015</v>
      </c>
      <c r="AV94" s="71">
        <f t="shared" si="74"/>
        <v>130.5</v>
      </c>
      <c r="AW94" s="74">
        <f t="shared" si="75"/>
        <v>54.371804385143619</v>
      </c>
    </row>
    <row r="95" spans="17:49" x14ac:dyDescent="0.25">
      <c r="Q95">
        <v>88</v>
      </c>
      <c r="R95" s="73">
        <f t="shared" si="49"/>
        <v>50</v>
      </c>
      <c r="S95" s="71">
        <f t="shared" si="50"/>
        <v>2.6399999999999997</v>
      </c>
      <c r="T95" s="71">
        <f t="shared" si="51"/>
        <v>3</v>
      </c>
      <c r="U95" s="74">
        <f t="shared" si="52"/>
        <v>43.999999999999993</v>
      </c>
      <c r="V95" s="73">
        <f>IF(Variable_Management!$B$20=3,2,IF((S95*R95/T95)&lt;((T95*(1-(T95/R95)))/(2*Lm*Fsw)),1,2))</f>
        <v>2</v>
      </c>
      <c r="W95" s="71">
        <f t="shared" si="53"/>
        <v>0.94</v>
      </c>
      <c r="X95" s="74">
        <f t="shared" si="54"/>
        <v>6.0000000000000053E-2</v>
      </c>
      <c r="Y95" s="73">
        <f t="shared" si="55"/>
        <v>0.64090909090909098</v>
      </c>
      <c r="Z95" s="71">
        <f t="shared" si="77"/>
        <v>44.320454545454538</v>
      </c>
      <c r="AA95" s="71">
        <f t="shared" si="78"/>
        <v>44.000388979779487</v>
      </c>
      <c r="AB95" s="71">
        <v>0</v>
      </c>
      <c r="AC95" s="71">
        <f t="shared" si="56"/>
        <v>14.520256727789251</v>
      </c>
      <c r="AD95" s="74">
        <f t="shared" si="67"/>
        <v>14.520256727789251</v>
      </c>
      <c r="AE95" s="73">
        <f t="shared" si="76"/>
        <v>41.359999999999992</v>
      </c>
      <c r="AF95" s="71">
        <f t="shared" si="68"/>
        <v>42.65995987515209</v>
      </c>
      <c r="AG95" s="71">
        <f t="shared" si="57"/>
        <v>67.699244967644617</v>
      </c>
      <c r="AH95" s="71">
        <f t="shared" si="58"/>
        <v>9.1823745410036697</v>
      </c>
      <c r="AI95" s="74">
        <f t="shared" si="69"/>
        <v>76.881619508648285</v>
      </c>
      <c r="AJ95" s="73">
        <f t="shared" si="70"/>
        <v>2.6400000000000019</v>
      </c>
      <c r="AK95" s="71">
        <f t="shared" si="59"/>
        <v>10.777850148443989</v>
      </c>
      <c r="AL95" s="71">
        <f t="shared" si="60"/>
        <v>1.0222260736363642</v>
      </c>
      <c r="AM95" s="71">
        <f t="shared" si="71"/>
        <v>0.73761600000000005</v>
      </c>
      <c r="AN95" s="188">
        <f t="shared" si="61"/>
        <v>0.31201599999999996</v>
      </c>
      <c r="AO95" s="74">
        <f t="shared" si="72"/>
        <v>2.0718580736363643</v>
      </c>
      <c r="AP95" s="73">
        <f t="shared" si="62"/>
        <v>3.8720684607438001</v>
      </c>
      <c r="AQ95" s="206">
        <f t="shared" si="63"/>
        <v>14.520256727789251</v>
      </c>
      <c r="AR95" s="206">
        <f t="shared" si="64"/>
        <v>8.6013784318131857E-3</v>
      </c>
      <c r="AS95" s="71">
        <f t="shared" si="65"/>
        <v>4.3999999999999997E-2</v>
      </c>
      <c r="AT95" s="74">
        <f t="shared" si="66"/>
        <v>9.9000000000000001E-6</v>
      </c>
      <c r="AU95" s="73">
        <f t="shared" si="73"/>
        <v>111.91867077703876</v>
      </c>
      <c r="AV95" s="71">
        <f t="shared" si="74"/>
        <v>131.99999999999997</v>
      </c>
      <c r="AW95" s="74">
        <f t="shared" si="75"/>
        <v>54.116398543618907</v>
      </c>
    </row>
    <row r="96" spans="17:49" x14ac:dyDescent="0.25">
      <c r="Q96">
        <v>89</v>
      </c>
      <c r="R96" s="73">
        <f t="shared" si="49"/>
        <v>50</v>
      </c>
      <c r="S96" s="71">
        <f t="shared" si="50"/>
        <v>2.67</v>
      </c>
      <c r="T96" s="71">
        <f t="shared" si="51"/>
        <v>3</v>
      </c>
      <c r="U96" s="74">
        <f t="shared" si="52"/>
        <v>44.5</v>
      </c>
      <c r="V96" s="73">
        <f>IF(Variable_Management!$B$20=3,2,IF((S96*R96/T96)&lt;((T96*(1-(T96/R96)))/(2*Lm*Fsw)),1,2))</f>
        <v>2</v>
      </c>
      <c r="W96" s="71">
        <f t="shared" si="53"/>
        <v>0.94</v>
      </c>
      <c r="X96" s="74">
        <f t="shared" si="54"/>
        <v>6.0000000000000053E-2</v>
      </c>
      <c r="Y96" s="73">
        <f t="shared" si="55"/>
        <v>0.64090909090909098</v>
      </c>
      <c r="Z96" s="71">
        <f t="shared" si="77"/>
        <v>44.820454545454545</v>
      </c>
      <c r="AA96" s="71">
        <f t="shared" si="78"/>
        <v>44.500384609258163</v>
      </c>
      <c r="AB96" s="71">
        <v>0</v>
      </c>
      <c r="AC96" s="71">
        <f t="shared" si="56"/>
        <v>14.852131727789255</v>
      </c>
      <c r="AD96" s="74">
        <f t="shared" si="67"/>
        <v>14.852131727789255</v>
      </c>
      <c r="AE96" s="73">
        <f t="shared" si="76"/>
        <v>41.83</v>
      </c>
      <c r="AF96" s="71">
        <f t="shared" si="68"/>
        <v>43.144723623516079</v>
      </c>
      <c r="AG96" s="71">
        <f t="shared" si="57"/>
        <v>69.246578967644624</v>
      </c>
      <c r="AH96" s="71">
        <f t="shared" si="58"/>
        <v>9.2867197062423514</v>
      </c>
      <c r="AI96" s="74">
        <f t="shared" si="69"/>
        <v>78.533298673886975</v>
      </c>
      <c r="AJ96" s="73">
        <f t="shared" si="70"/>
        <v>2.6700000000000026</v>
      </c>
      <c r="AK96" s="71">
        <f t="shared" si="59"/>
        <v>10.900323565028431</v>
      </c>
      <c r="AL96" s="71">
        <f t="shared" si="60"/>
        <v>1.0455900736363644</v>
      </c>
      <c r="AM96" s="71">
        <f t="shared" si="71"/>
        <v>0.73761600000000005</v>
      </c>
      <c r="AN96" s="188">
        <f t="shared" si="61"/>
        <v>0.31553599999999998</v>
      </c>
      <c r="AO96" s="74">
        <f t="shared" si="72"/>
        <v>2.0987420736363642</v>
      </c>
      <c r="AP96" s="73">
        <f t="shared" si="62"/>
        <v>3.9605684607438016</v>
      </c>
      <c r="AQ96" s="206">
        <f t="shared" si="63"/>
        <v>14.852131727789255</v>
      </c>
      <c r="AR96" s="206">
        <f t="shared" si="64"/>
        <v>8.6013784318131857E-3</v>
      </c>
      <c r="AS96" s="71">
        <f t="shared" si="65"/>
        <v>4.3999999999999997E-2</v>
      </c>
      <c r="AT96" s="74">
        <f t="shared" si="66"/>
        <v>9.9000000000000001E-6</v>
      </c>
      <c r="AU96" s="73">
        <f t="shared" si="73"/>
        <v>114.34948394227746</v>
      </c>
      <c r="AV96" s="71">
        <f t="shared" si="74"/>
        <v>133.5</v>
      </c>
      <c r="AW96" s="74">
        <f t="shared" si="75"/>
        <v>53.863335874885777</v>
      </c>
    </row>
    <row r="97" spans="17:49" x14ac:dyDescent="0.25">
      <c r="Q97">
        <v>90</v>
      </c>
      <c r="R97" s="73">
        <f t="shared" si="49"/>
        <v>50</v>
      </c>
      <c r="S97" s="71">
        <f t="shared" si="50"/>
        <v>2.6999999999999997</v>
      </c>
      <c r="T97" s="71">
        <f t="shared" si="51"/>
        <v>3</v>
      </c>
      <c r="U97" s="74">
        <f t="shared" si="52"/>
        <v>45</v>
      </c>
      <c r="V97" s="73">
        <f>IF(Variable_Management!$B$20=3,2,IF((S97*R97/T97)&lt;((T97*(1-(T97/R97)))/(2*Lm*Fsw)),1,2))</f>
        <v>2</v>
      </c>
      <c r="W97" s="71">
        <f t="shared" si="53"/>
        <v>0.94</v>
      </c>
      <c r="X97" s="74">
        <f t="shared" si="54"/>
        <v>6.0000000000000053E-2</v>
      </c>
      <c r="Y97" s="73">
        <f t="shared" si="55"/>
        <v>0.64090909090909098</v>
      </c>
      <c r="Z97" s="71">
        <f t="shared" si="77"/>
        <v>45.320454545454545</v>
      </c>
      <c r="AA97" s="71">
        <f t="shared" si="78"/>
        <v>45.000380335858281</v>
      </c>
      <c r="AB97" s="71">
        <v>0</v>
      </c>
      <c r="AC97" s="71">
        <f t="shared" si="56"/>
        <v>15.187756727789255</v>
      </c>
      <c r="AD97" s="74">
        <f t="shared" si="67"/>
        <v>15.187756727789255</v>
      </c>
      <c r="AE97" s="73">
        <f t="shared" si="76"/>
        <v>42.3</v>
      </c>
      <c r="AF97" s="71">
        <f t="shared" si="68"/>
        <v>43.629487466042804</v>
      </c>
      <c r="AG97" s="71">
        <f t="shared" si="57"/>
        <v>70.811396967644612</v>
      </c>
      <c r="AH97" s="71">
        <f t="shared" si="58"/>
        <v>9.3910648714810279</v>
      </c>
      <c r="AI97" s="74">
        <f t="shared" si="69"/>
        <v>80.202461839125647</v>
      </c>
      <c r="AJ97" s="73">
        <f t="shared" si="70"/>
        <v>2.7000000000000024</v>
      </c>
      <c r="AK97" s="71">
        <f t="shared" si="59"/>
        <v>11.022797005402673</v>
      </c>
      <c r="AL97" s="71">
        <f t="shared" si="60"/>
        <v>1.0692180736363643</v>
      </c>
      <c r="AM97" s="71">
        <f t="shared" si="71"/>
        <v>0.73761600000000005</v>
      </c>
      <c r="AN97" s="188">
        <f t="shared" si="61"/>
        <v>0.31905600000000001</v>
      </c>
      <c r="AO97" s="74">
        <f t="shared" si="72"/>
        <v>2.1258900736363646</v>
      </c>
      <c r="AP97" s="73">
        <f t="shared" si="62"/>
        <v>4.0500684607438018</v>
      </c>
      <c r="AQ97" s="206">
        <f t="shared" si="63"/>
        <v>15.187756727789255</v>
      </c>
      <c r="AR97" s="206">
        <f t="shared" si="64"/>
        <v>8.6013784318131857E-3</v>
      </c>
      <c r="AS97" s="71">
        <f t="shared" si="65"/>
        <v>4.3999999999999997E-2</v>
      </c>
      <c r="AT97" s="74">
        <f t="shared" si="66"/>
        <v>9.9000000000000001E-6</v>
      </c>
      <c r="AU97" s="73">
        <f t="shared" si="73"/>
        <v>116.80654510751613</v>
      </c>
      <c r="AV97" s="71">
        <f t="shared" si="74"/>
        <v>135</v>
      </c>
      <c r="AW97" s="74">
        <f t="shared" si="75"/>
        <v>53.612585781818268</v>
      </c>
    </row>
    <row r="98" spans="17:49" x14ac:dyDescent="0.25">
      <c r="Q98">
        <v>91</v>
      </c>
      <c r="R98" s="73">
        <f t="shared" si="49"/>
        <v>50</v>
      </c>
      <c r="S98" s="71">
        <f t="shared" si="50"/>
        <v>2.73</v>
      </c>
      <c r="T98" s="71">
        <f t="shared" si="51"/>
        <v>3</v>
      </c>
      <c r="U98" s="74">
        <f t="shared" si="52"/>
        <v>45.5</v>
      </c>
      <c r="V98" s="73">
        <f>IF(Variable_Management!$B$20=3,2,IF((S98*R98/T98)&lt;((T98*(1-(T98/R98)))/(2*Lm*Fsw)),1,2))</f>
        <v>2</v>
      </c>
      <c r="W98" s="71">
        <f t="shared" si="53"/>
        <v>0.94</v>
      </c>
      <c r="X98" s="74">
        <f t="shared" si="54"/>
        <v>6.0000000000000053E-2</v>
      </c>
      <c r="Y98" s="73">
        <f t="shared" si="55"/>
        <v>0.64090909090909098</v>
      </c>
      <c r="Z98" s="71">
        <f t="shared" si="77"/>
        <v>45.820454545454545</v>
      </c>
      <c r="AA98" s="71">
        <f t="shared" si="78"/>
        <v>45.500376156378103</v>
      </c>
      <c r="AB98" s="71">
        <v>0</v>
      </c>
      <c r="AC98" s="71">
        <f t="shared" si="56"/>
        <v>15.527131727789255</v>
      </c>
      <c r="AD98" s="74">
        <f t="shared" si="67"/>
        <v>15.527131727789255</v>
      </c>
      <c r="AE98" s="73">
        <f t="shared" si="76"/>
        <v>42.769999999999996</v>
      </c>
      <c r="AF98" s="71">
        <f t="shared" si="68"/>
        <v>44.11425139962806</v>
      </c>
      <c r="AG98" s="71">
        <f t="shared" si="57"/>
        <v>72.393698967644625</v>
      </c>
      <c r="AH98" s="71">
        <f t="shared" si="58"/>
        <v>9.4954100367197061</v>
      </c>
      <c r="AI98" s="74">
        <f t="shared" si="69"/>
        <v>81.889109004364329</v>
      </c>
      <c r="AJ98" s="73">
        <f t="shared" si="70"/>
        <v>2.7300000000000022</v>
      </c>
      <c r="AK98" s="71">
        <f t="shared" si="59"/>
        <v>11.145270468782448</v>
      </c>
      <c r="AL98" s="71">
        <f t="shared" si="60"/>
        <v>1.0931100736363644</v>
      </c>
      <c r="AM98" s="71">
        <f t="shared" si="71"/>
        <v>0.73761600000000005</v>
      </c>
      <c r="AN98" s="188">
        <f t="shared" si="61"/>
        <v>0.32257600000000003</v>
      </c>
      <c r="AO98" s="74">
        <f t="shared" si="72"/>
        <v>2.1533020736363646</v>
      </c>
      <c r="AP98" s="73">
        <f t="shared" si="62"/>
        <v>4.1405684607438014</v>
      </c>
      <c r="AQ98" s="206">
        <f t="shared" si="63"/>
        <v>15.527131727789255</v>
      </c>
      <c r="AR98" s="206">
        <f t="shared" si="64"/>
        <v>8.6013784318131857E-3</v>
      </c>
      <c r="AS98" s="71">
        <f t="shared" si="65"/>
        <v>4.3999999999999997E-2</v>
      </c>
      <c r="AT98" s="74">
        <f t="shared" si="66"/>
        <v>9.9000000000000001E-6</v>
      </c>
      <c r="AU98" s="73">
        <f t="shared" si="73"/>
        <v>119.28985427275481</v>
      </c>
      <c r="AV98" s="71">
        <f t="shared" si="74"/>
        <v>136.5</v>
      </c>
      <c r="AW98" s="74">
        <f t="shared" si="75"/>
        <v>53.364118130520843</v>
      </c>
    </row>
    <row r="99" spans="17:49" x14ac:dyDescent="0.25">
      <c r="Q99">
        <v>92</v>
      </c>
      <c r="R99" s="73">
        <f t="shared" si="49"/>
        <v>50</v>
      </c>
      <c r="S99" s="71">
        <f t="shared" si="50"/>
        <v>2.76</v>
      </c>
      <c r="T99" s="71">
        <f t="shared" si="51"/>
        <v>3</v>
      </c>
      <c r="U99" s="74">
        <f t="shared" si="52"/>
        <v>46</v>
      </c>
      <c r="V99" s="73">
        <f>IF(Variable_Management!$B$20=3,2,IF((S99*R99/T99)&lt;((T99*(1-(T99/R99)))/(2*Lm*Fsw)),1,2))</f>
        <v>2</v>
      </c>
      <c r="W99" s="71">
        <f t="shared" si="53"/>
        <v>0.94</v>
      </c>
      <c r="X99" s="74">
        <f t="shared" si="54"/>
        <v>6.0000000000000053E-2</v>
      </c>
      <c r="Y99" s="73">
        <f t="shared" si="55"/>
        <v>0.64090909090909098</v>
      </c>
      <c r="Z99" s="71">
        <f t="shared" si="77"/>
        <v>46.320454545454545</v>
      </c>
      <c r="AA99" s="71">
        <f t="shared" si="78"/>
        <v>46.000372067755066</v>
      </c>
      <c r="AB99" s="71">
        <v>0</v>
      </c>
      <c r="AC99" s="71">
        <f t="shared" si="56"/>
        <v>15.870256727789252</v>
      </c>
      <c r="AD99" s="74">
        <f t="shared" si="67"/>
        <v>15.870256727789252</v>
      </c>
      <c r="AE99" s="73">
        <f t="shared" si="76"/>
        <v>43.239999999999995</v>
      </c>
      <c r="AF99" s="71">
        <f t="shared" si="68"/>
        <v>44.599015421302589</v>
      </c>
      <c r="AG99" s="71">
        <f t="shared" si="57"/>
        <v>73.993484967644619</v>
      </c>
      <c r="AH99" s="71">
        <f t="shared" si="58"/>
        <v>9.5997552019583843</v>
      </c>
      <c r="AI99" s="74">
        <f t="shared" si="69"/>
        <v>83.593240169603007</v>
      </c>
      <c r="AJ99" s="73">
        <f t="shared" si="70"/>
        <v>2.7600000000000025</v>
      </c>
      <c r="AK99" s="71">
        <f t="shared" si="59"/>
        <v>11.26774395441759</v>
      </c>
      <c r="AL99" s="71">
        <f t="shared" si="60"/>
        <v>1.1172660736363647</v>
      </c>
      <c r="AM99" s="71">
        <f t="shared" si="71"/>
        <v>0.73761600000000005</v>
      </c>
      <c r="AN99" s="188">
        <f t="shared" si="61"/>
        <v>0.326096</v>
      </c>
      <c r="AO99" s="74">
        <f t="shared" si="72"/>
        <v>2.1809780736363646</v>
      </c>
      <c r="AP99" s="73">
        <f t="shared" si="62"/>
        <v>4.2320684607438004</v>
      </c>
      <c r="AQ99" s="206">
        <f t="shared" si="63"/>
        <v>15.870256727789252</v>
      </c>
      <c r="AR99" s="206">
        <f t="shared" si="64"/>
        <v>8.6013784318131857E-3</v>
      </c>
      <c r="AS99" s="71">
        <f t="shared" si="65"/>
        <v>4.3999999999999997E-2</v>
      </c>
      <c r="AT99" s="74">
        <f t="shared" si="66"/>
        <v>9.9000000000000001E-6</v>
      </c>
      <c r="AU99" s="73">
        <f t="shared" si="73"/>
        <v>121.79941143799348</v>
      </c>
      <c r="AV99" s="71">
        <f t="shared" si="74"/>
        <v>138</v>
      </c>
      <c r="AW99" s="74">
        <f t="shared" si="75"/>
        <v>53.117903245495434</v>
      </c>
    </row>
    <row r="100" spans="17:49" x14ac:dyDescent="0.25">
      <c r="Q100">
        <v>93</v>
      </c>
      <c r="R100" s="73">
        <f t="shared" si="49"/>
        <v>50</v>
      </c>
      <c r="S100" s="71">
        <f t="shared" si="50"/>
        <v>2.79</v>
      </c>
      <c r="T100" s="71">
        <f t="shared" si="51"/>
        <v>3</v>
      </c>
      <c r="U100" s="74">
        <f t="shared" si="52"/>
        <v>46.5</v>
      </c>
      <c r="V100" s="73">
        <f>IF(Variable_Management!$B$20=3,2,IF((S100*R100/T100)&lt;((T100*(1-(T100/R100)))/(2*Lm*Fsw)),1,2))</f>
        <v>2</v>
      </c>
      <c r="W100" s="71">
        <f t="shared" si="53"/>
        <v>0.94</v>
      </c>
      <c r="X100" s="74">
        <f t="shared" si="54"/>
        <v>6.0000000000000053E-2</v>
      </c>
      <c r="Y100" s="73">
        <f t="shared" si="55"/>
        <v>0.64090909090909098</v>
      </c>
      <c r="Z100" s="71">
        <f t="shared" si="77"/>
        <v>46.820454545454545</v>
      </c>
      <c r="AA100" s="71">
        <f t="shared" si="78"/>
        <v>46.500368067058361</v>
      </c>
      <c r="AB100" s="71">
        <v>0</v>
      </c>
      <c r="AC100" s="71">
        <f t="shared" si="56"/>
        <v>16.217131727789255</v>
      </c>
      <c r="AD100" s="74">
        <f t="shared" si="67"/>
        <v>16.217131727789255</v>
      </c>
      <c r="AE100" s="73">
        <f t="shared" si="76"/>
        <v>43.71</v>
      </c>
      <c r="AF100" s="71">
        <f t="shared" si="68"/>
        <v>45.083779528224852</v>
      </c>
      <c r="AG100" s="71">
        <f t="shared" si="57"/>
        <v>75.610754967644624</v>
      </c>
      <c r="AH100" s="71">
        <f t="shared" si="58"/>
        <v>9.7041003671970625</v>
      </c>
      <c r="AI100" s="74">
        <f t="shared" si="69"/>
        <v>85.314855334841681</v>
      </c>
      <c r="AJ100" s="73">
        <f t="shared" si="70"/>
        <v>2.7900000000000027</v>
      </c>
      <c r="AK100" s="71">
        <f t="shared" si="59"/>
        <v>11.390217461590192</v>
      </c>
      <c r="AL100" s="71">
        <f t="shared" si="60"/>
        <v>1.1416860736363641</v>
      </c>
      <c r="AM100" s="71">
        <f t="shared" si="71"/>
        <v>0.73761600000000005</v>
      </c>
      <c r="AN100" s="188">
        <f t="shared" si="61"/>
        <v>0.32961600000000002</v>
      </c>
      <c r="AO100" s="74">
        <f t="shared" si="72"/>
        <v>2.2089180736363643</v>
      </c>
      <c r="AP100" s="73">
        <f t="shared" si="62"/>
        <v>4.3245684607438015</v>
      </c>
      <c r="AQ100" s="206">
        <f t="shared" si="63"/>
        <v>16.217131727789255</v>
      </c>
      <c r="AR100" s="206">
        <f t="shared" si="64"/>
        <v>8.6013784318131857E-3</v>
      </c>
      <c r="AS100" s="71">
        <f t="shared" si="65"/>
        <v>4.3999999999999997E-2</v>
      </c>
      <c r="AT100" s="74">
        <f t="shared" si="66"/>
        <v>9.9000000000000001E-6</v>
      </c>
      <c r="AU100" s="73">
        <f t="shared" si="73"/>
        <v>124.33521660323215</v>
      </c>
      <c r="AV100" s="71">
        <f t="shared" si="74"/>
        <v>139.5</v>
      </c>
      <c r="AW100" s="74">
        <f t="shared" si="75"/>
        <v>52.873911904560757</v>
      </c>
    </row>
    <row r="101" spans="17:49" x14ac:dyDescent="0.25">
      <c r="Q101">
        <v>94</v>
      </c>
      <c r="R101" s="73">
        <f t="shared" si="49"/>
        <v>50</v>
      </c>
      <c r="S101" s="71">
        <f t="shared" si="50"/>
        <v>2.82</v>
      </c>
      <c r="T101" s="71">
        <f t="shared" si="51"/>
        <v>3</v>
      </c>
      <c r="U101" s="74">
        <f t="shared" si="52"/>
        <v>47</v>
      </c>
      <c r="V101" s="73">
        <f>IF(Variable_Management!$B$20=3,2,IF((S101*R101/T101)&lt;((T101*(1-(T101/R101)))/(2*Lm*Fsw)),1,2))</f>
        <v>2</v>
      </c>
      <c r="W101" s="71">
        <f t="shared" si="53"/>
        <v>0.94</v>
      </c>
      <c r="X101" s="74">
        <f t="shared" si="54"/>
        <v>6.0000000000000053E-2</v>
      </c>
      <c r="Y101" s="73">
        <f t="shared" si="55"/>
        <v>0.64090909090909098</v>
      </c>
      <c r="Z101" s="71">
        <f t="shared" si="77"/>
        <v>47.320454545454545</v>
      </c>
      <c r="AA101" s="71">
        <f t="shared" si="78"/>
        <v>47.000364151481854</v>
      </c>
      <c r="AB101" s="71">
        <v>0</v>
      </c>
      <c r="AC101" s="71">
        <f t="shared" si="56"/>
        <v>16.567756727789256</v>
      </c>
      <c r="AD101" s="74">
        <f t="shared" si="67"/>
        <v>16.567756727789256</v>
      </c>
      <c r="AE101" s="73">
        <f t="shared" si="76"/>
        <v>44.18</v>
      </c>
      <c r="AF101" s="71">
        <f t="shared" si="68"/>
        <v>45.568543717674217</v>
      </c>
      <c r="AG101" s="71">
        <f t="shared" si="57"/>
        <v>77.245508967644625</v>
      </c>
      <c r="AH101" s="71">
        <f t="shared" si="58"/>
        <v>9.8084455324357407</v>
      </c>
      <c r="AI101" s="74">
        <f t="shared" si="69"/>
        <v>87.053954500080366</v>
      </c>
      <c r="AJ101" s="73">
        <f t="shared" si="70"/>
        <v>2.8200000000000025</v>
      </c>
      <c r="AK101" s="71">
        <f t="shared" si="59"/>
        <v>11.512690989612905</v>
      </c>
      <c r="AL101" s="71">
        <f t="shared" si="60"/>
        <v>1.1663700736363647</v>
      </c>
      <c r="AM101" s="71">
        <f t="shared" si="71"/>
        <v>0.73761600000000005</v>
      </c>
      <c r="AN101" s="188">
        <f t="shared" si="61"/>
        <v>0.33313599999999999</v>
      </c>
      <c r="AO101" s="74">
        <f t="shared" si="72"/>
        <v>2.2371220736363648</v>
      </c>
      <c r="AP101" s="73">
        <f t="shared" si="62"/>
        <v>4.4180684607438012</v>
      </c>
      <c r="AQ101" s="206">
        <f t="shared" si="63"/>
        <v>16.567756727789256</v>
      </c>
      <c r="AR101" s="206">
        <f t="shared" si="64"/>
        <v>8.6013784318131857E-3</v>
      </c>
      <c r="AS101" s="71">
        <f t="shared" si="65"/>
        <v>4.3999999999999997E-2</v>
      </c>
      <c r="AT101" s="74">
        <f t="shared" si="66"/>
        <v>9.9000000000000001E-6</v>
      </c>
      <c r="AU101" s="73">
        <f t="shared" si="73"/>
        <v>126.89726976847086</v>
      </c>
      <c r="AV101" s="71">
        <f t="shared" si="74"/>
        <v>141</v>
      </c>
      <c r="AW101" s="74">
        <f t="shared" si="75"/>
        <v>52.632115333560016</v>
      </c>
    </row>
    <row r="102" spans="17:49" x14ac:dyDescent="0.25">
      <c r="Q102">
        <v>95</v>
      </c>
      <c r="R102" s="73">
        <f t="shared" si="49"/>
        <v>50</v>
      </c>
      <c r="S102" s="71">
        <f t="shared" si="50"/>
        <v>2.85</v>
      </c>
      <c r="T102" s="71">
        <f t="shared" si="51"/>
        <v>3</v>
      </c>
      <c r="U102" s="74">
        <f t="shared" si="52"/>
        <v>47.5</v>
      </c>
      <c r="V102" s="73">
        <f>IF(Variable_Management!$B$20=3,2,IF((S102*R102/T102)&lt;((T102*(1-(T102/R102)))/(2*Lm*Fsw)),1,2))</f>
        <v>2</v>
      </c>
      <c r="W102" s="71">
        <f t="shared" si="53"/>
        <v>0.94</v>
      </c>
      <c r="X102" s="74">
        <f t="shared" si="54"/>
        <v>6.0000000000000053E-2</v>
      </c>
      <c r="Y102" s="73">
        <f t="shared" si="55"/>
        <v>0.64090909090909098</v>
      </c>
      <c r="Z102" s="71">
        <f t="shared" si="77"/>
        <v>47.820454545454545</v>
      </c>
      <c r="AA102" s="71">
        <f t="shared" si="78"/>
        <v>47.500360318337592</v>
      </c>
      <c r="AB102" s="71">
        <v>0</v>
      </c>
      <c r="AC102" s="71">
        <f t="shared" si="56"/>
        <v>16.922131727789253</v>
      </c>
      <c r="AD102" s="74">
        <f t="shared" si="67"/>
        <v>16.922131727789253</v>
      </c>
      <c r="AE102" s="73">
        <f t="shared" si="76"/>
        <v>44.65</v>
      </c>
      <c r="AF102" s="71">
        <f t="shared" si="68"/>
        <v>46.053307987044604</v>
      </c>
      <c r="AG102" s="71">
        <f t="shared" si="57"/>
        <v>78.897746967644622</v>
      </c>
      <c r="AH102" s="71">
        <f t="shared" si="58"/>
        <v>9.9127906976744189</v>
      </c>
      <c r="AI102" s="74">
        <f t="shared" si="69"/>
        <v>88.810537665319046</v>
      </c>
      <c r="AJ102" s="73">
        <f t="shared" si="70"/>
        <v>2.8500000000000023</v>
      </c>
      <c r="AK102" s="71">
        <f t="shared" si="59"/>
        <v>11.635164537827309</v>
      </c>
      <c r="AL102" s="71">
        <f t="shared" si="60"/>
        <v>1.1913180736363649</v>
      </c>
      <c r="AM102" s="71">
        <f t="shared" si="71"/>
        <v>0.73761600000000005</v>
      </c>
      <c r="AN102" s="188">
        <f t="shared" si="61"/>
        <v>0.33665600000000001</v>
      </c>
      <c r="AO102" s="74">
        <f t="shared" si="72"/>
        <v>2.265590073636365</v>
      </c>
      <c r="AP102" s="73">
        <f t="shared" si="62"/>
        <v>4.5125684607438004</v>
      </c>
      <c r="AQ102" s="206">
        <f t="shared" si="63"/>
        <v>16.922131727789253</v>
      </c>
      <c r="AR102" s="206">
        <f t="shared" si="64"/>
        <v>8.6013784318131857E-3</v>
      </c>
      <c r="AS102" s="71">
        <f t="shared" si="65"/>
        <v>4.3999999999999997E-2</v>
      </c>
      <c r="AT102" s="74">
        <f t="shared" si="66"/>
        <v>9.9000000000000001E-6</v>
      </c>
      <c r="AU102" s="73">
        <f t="shared" si="73"/>
        <v>129.48557093370954</v>
      </c>
      <c r="AV102" s="71">
        <f t="shared" si="74"/>
        <v>142.5</v>
      </c>
      <c r="AW102" s="74">
        <f t="shared" si="75"/>
        <v>52.392485200890015</v>
      </c>
    </row>
    <row r="103" spans="17:49" x14ac:dyDescent="0.25">
      <c r="Q103">
        <v>96</v>
      </c>
      <c r="R103" s="73">
        <f t="shared" si="49"/>
        <v>50</v>
      </c>
      <c r="S103" s="71">
        <f t="shared" ref="S103:S134" si="79">Q103*$O$12</f>
        <v>2.88</v>
      </c>
      <c r="T103" s="71">
        <f t="shared" si="51"/>
        <v>3</v>
      </c>
      <c r="U103" s="74">
        <f t="shared" ref="U103:U134" si="80">(R103*S103)/(T103*EFF_est)</f>
        <v>48</v>
      </c>
      <c r="V103" s="73">
        <f>IF(Variable_Management!$B$20=3,2,IF((S103*R103/T103)&lt;((T103*(1-(T103/R103)))/(2*Lm*Fsw)),1,2))</f>
        <v>2</v>
      </c>
      <c r="W103" s="71">
        <f t="shared" ref="W103:W134" si="81">CHOOSE(V103,SQRT((2*S103*Lm*Fsw*(R103-T103))/((T103)^2)),1-(T103/R103))</f>
        <v>0.94</v>
      </c>
      <c r="X103" s="74">
        <f t="shared" ref="X103:X134" si="82">CHOOSE(V103,(Lm*Z103*Fsw)/(R103-T103),1-W103)</f>
        <v>6.0000000000000053E-2</v>
      </c>
      <c r="Y103" s="73">
        <f t="shared" ref="Y103:Y134" si="83">(T103*W103)/(Lm*Fsw)</f>
        <v>0.64090909090909098</v>
      </c>
      <c r="Z103" s="71">
        <f t="shared" si="77"/>
        <v>48.320454545454545</v>
      </c>
      <c r="AA103" s="71">
        <f t="shared" si="78"/>
        <v>48.000356565049607</v>
      </c>
      <c r="AB103" s="71">
        <v>0</v>
      </c>
      <c r="AC103" s="71">
        <f t="shared" ref="AC103:AC134" si="84">(AA103^2)*Rdcr</f>
        <v>17.280256727789254</v>
      </c>
      <c r="AD103" s="74">
        <f t="shared" si="67"/>
        <v>17.280256727789254</v>
      </c>
      <c r="AE103" s="73">
        <f t="shared" si="76"/>
        <v>45.12</v>
      </c>
      <c r="AF103" s="71">
        <f t="shared" si="68"/>
        <v>46.538072333838521</v>
      </c>
      <c r="AG103" s="71">
        <f t="shared" ref="AG103:AG134" si="85">(AF103^2)*RDS_on</f>
        <v>80.567468967644615</v>
      </c>
      <c r="AH103" s="71">
        <f t="shared" ref="AH103:AH134" si="86">((R103*U103)/2)*Fsw*(tr_sw+tf_sw)</f>
        <v>10.017135862913097</v>
      </c>
      <c r="AI103" s="74">
        <f t="shared" si="69"/>
        <v>90.584604830557709</v>
      </c>
      <c r="AJ103" s="73">
        <f t="shared" si="70"/>
        <v>2.8800000000000026</v>
      </c>
      <c r="AK103" s="71">
        <f t="shared" ref="AK103:AK134" si="87">CHOOSE(V103,Z103*SQRT(X103/3),SQRT(X103*((Z103^2)+((Y103^2)/3)-(Y103*Z103))))</f>
        <v>11.757638105602425</v>
      </c>
      <c r="AL103" s="71">
        <f t="shared" ref="AL103:AL134" si="88">(AK103^2)*RDS_on_HS</f>
        <v>1.2165300736363649</v>
      </c>
      <c r="AM103" s="71">
        <f t="shared" si="71"/>
        <v>0.73761600000000005</v>
      </c>
      <c r="AN103" s="188">
        <f t="shared" ref="AN103:AN134" si="89">Vd_rect*t_dead*Fsw*Z103</f>
        <v>0.34017600000000003</v>
      </c>
      <c r="AO103" s="74">
        <f t="shared" si="72"/>
        <v>2.2943220736363648</v>
      </c>
      <c r="AP103" s="73">
        <f t="shared" ref="AP103:AP134" si="90">(AA103^2)*R_cs</f>
        <v>4.6080684607438016</v>
      </c>
      <c r="AQ103" s="206">
        <f t="shared" ref="AQ103:AQ134" si="91">Rdcr*AA103^2</f>
        <v>17.280256727789254</v>
      </c>
      <c r="AR103" s="206">
        <f t="shared" ref="AR103:AR134" si="92">ABS(7.759*10^-3*Fsw^0.9458*(0.00787*Y103)^2.304)</f>
        <v>8.6013784318131857E-3</v>
      </c>
      <c r="AS103" s="71">
        <f t="shared" ref="AS103:AS134" si="93">(Qg_tot+Qg_tot_HS)*Vcc*Fsw</f>
        <v>4.3999999999999997E-2</v>
      </c>
      <c r="AT103" s="74">
        <f t="shared" ref="AT103:AT134" si="94">IQ*T103</f>
        <v>9.9000000000000001E-6</v>
      </c>
      <c r="AU103" s="73">
        <f t="shared" si="73"/>
        <v>132.1001200989482</v>
      </c>
      <c r="AV103" s="71">
        <f t="shared" si="74"/>
        <v>144</v>
      </c>
      <c r="AW103" s="74">
        <f t="shared" si="75"/>
        <v>52.154993611880208</v>
      </c>
    </row>
    <row r="104" spans="17:49" x14ac:dyDescent="0.25">
      <c r="Q104">
        <v>97</v>
      </c>
      <c r="R104" s="73">
        <f t="shared" si="49"/>
        <v>50</v>
      </c>
      <c r="S104" s="71">
        <f t="shared" si="79"/>
        <v>2.9099999999999997</v>
      </c>
      <c r="T104" s="71">
        <f t="shared" si="51"/>
        <v>3</v>
      </c>
      <c r="U104" s="74">
        <f t="shared" si="80"/>
        <v>48.499999999999993</v>
      </c>
      <c r="V104" s="73">
        <f>IF(Variable_Management!$B$20=3,2,IF((S104*R104/T104)&lt;((T104*(1-(T104/R104)))/(2*Lm*Fsw)),1,2))</f>
        <v>2</v>
      </c>
      <c r="W104" s="71">
        <f t="shared" si="81"/>
        <v>0.94</v>
      </c>
      <c r="X104" s="74">
        <f t="shared" si="82"/>
        <v>6.0000000000000053E-2</v>
      </c>
      <c r="Y104" s="73">
        <f t="shared" si="83"/>
        <v>0.64090909090909098</v>
      </c>
      <c r="Z104" s="71">
        <f t="shared" si="77"/>
        <v>48.820454545454538</v>
      </c>
      <c r="AA104" s="71">
        <f t="shared" si="78"/>
        <v>48.500352889148132</v>
      </c>
      <c r="AB104" s="71">
        <v>0</v>
      </c>
      <c r="AC104" s="71">
        <f t="shared" si="84"/>
        <v>17.642131727789245</v>
      </c>
      <c r="AD104" s="74">
        <f t="shared" si="67"/>
        <v>17.642131727789245</v>
      </c>
      <c r="AE104" s="73">
        <f t="shared" si="76"/>
        <v>45.589999999999989</v>
      </c>
      <c r="AF104" s="71">
        <f t="shared" si="68"/>
        <v>47.022836755661451</v>
      </c>
      <c r="AG104" s="71">
        <f t="shared" si="85"/>
        <v>82.254674967644604</v>
      </c>
      <c r="AH104" s="71">
        <f t="shared" si="86"/>
        <v>10.121481028151774</v>
      </c>
      <c r="AI104" s="74">
        <f t="shared" si="69"/>
        <v>92.376155995796381</v>
      </c>
      <c r="AJ104" s="73">
        <f t="shared" si="70"/>
        <v>2.9100000000000024</v>
      </c>
      <c r="AK104" s="71">
        <f t="shared" si="87"/>
        <v>11.880111692333289</v>
      </c>
      <c r="AL104" s="71">
        <f t="shared" si="88"/>
        <v>1.2420060736363645</v>
      </c>
      <c r="AM104" s="71">
        <f t="shared" ref="AM104:AM135" si="95">CHOOSE(V104,(R104+Vd_rect)*Qrr*Fsw,(R104+Vd_rect)*Qrr*Fsw)</f>
        <v>0.73761600000000005</v>
      </c>
      <c r="AN104" s="188">
        <f t="shared" si="89"/>
        <v>0.34369599999999995</v>
      </c>
      <c r="AO104" s="74">
        <f t="shared" si="72"/>
        <v>2.3233180736363646</v>
      </c>
      <c r="AP104" s="73">
        <f t="shared" si="90"/>
        <v>4.7045684607437988</v>
      </c>
      <c r="AQ104" s="206">
        <f t="shared" si="91"/>
        <v>17.642131727789245</v>
      </c>
      <c r="AR104" s="206">
        <f t="shared" si="92"/>
        <v>8.6013784318131857E-3</v>
      </c>
      <c r="AS104" s="71">
        <f t="shared" si="93"/>
        <v>4.3999999999999997E-2</v>
      </c>
      <c r="AT104" s="74">
        <f t="shared" si="94"/>
        <v>9.9000000000000001E-6</v>
      </c>
      <c r="AU104" s="73">
        <f t="shared" si="73"/>
        <v>134.74091726418683</v>
      </c>
      <c r="AV104" s="71">
        <f t="shared" si="74"/>
        <v>145.49999999999997</v>
      </c>
      <c r="AW104" s="74">
        <f t="shared" si="75"/>
        <v>51.919613103048476</v>
      </c>
    </row>
    <row r="105" spans="17:49" x14ac:dyDescent="0.25">
      <c r="Q105">
        <v>98</v>
      </c>
      <c r="R105" s="73">
        <f t="shared" si="49"/>
        <v>50</v>
      </c>
      <c r="S105" s="71">
        <f t="shared" si="79"/>
        <v>2.94</v>
      </c>
      <c r="T105" s="71">
        <f t="shared" si="51"/>
        <v>3</v>
      </c>
      <c r="U105" s="74">
        <f t="shared" si="80"/>
        <v>49</v>
      </c>
      <c r="V105" s="73">
        <f>IF(Variable_Management!$B$20=3,2,IF((S105*R105/T105)&lt;((T105*(1-(T105/R105)))/(2*Lm*Fsw)),1,2))</f>
        <v>2</v>
      </c>
      <c r="W105" s="71">
        <f t="shared" si="81"/>
        <v>0.94</v>
      </c>
      <c r="X105" s="74">
        <f t="shared" si="82"/>
        <v>6.0000000000000053E-2</v>
      </c>
      <c r="Y105" s="73">
        <f t="shared" si="83"/>
        <v>0.64090909090909098</v>
      </c>
      <c r="Z105" s="71">
        <f t="shared" si="77"/>
        <v>49.320454545454545</v>
      </c>
      <c r="AA105" s="71">
        <f t="shared" si="78"/>
        <v>49.000349288264267</v>
      </c>
      <c r="AB105" s="71">
        <v>0</v>
      </c>
      <c r="AC105" s="71">
        <f t="shared" si="84"/>
        <v>18.007756727789253</v>
      </c>
      <c r="AD105" s="74">
        <f t="shared" si="67"/>
        <v>18.007756727789253</v>
      </c>
      <c r="AE105" s="73">
        <f t="shared" si="76"/>
        <v>46.059999999999995</v>
      </c>
      <c r="AF105" s="71">
        <f t="shared" si="68"/>
        <v>47.507601250216652</v>
      </c>
      <c r="AG105" s="71">
        <f t="shared" si="85"/>
        <v>83.959364967644646</v>
      </c>
      <c r="AH105" s="71">
        <f t="shared" si="86"/>
        <v>10.225826193390454</v>
      </c>
      <c r="AI105" s="74">
        <f t="shared" si="69"/>
        <v>94.185191161035107</v>
      </c>
      <c r="AJ105" s="73">
        <f t="shared" si="70"/>
        <v>2.9400000000000026</v>
      </c>
      <c r="AK105" s="71">
        <f t="shared" si="87"/>
        <v>12.002585297439639</v>
      </c>
      <c r="AL105" s="71">
        <f t="shared" si="88"/>
        <v>1.267746073636365</v>
      </c>
      <c r="AM105" s="71">
        <f t="shared" si="95"/>
        <v>0.73761600000000005</v>
      </c>
      <c r="AN105" s="188">
        <f t="shared" si="89"/>
        <v>0.34721600000000002</v>
      </c>
      <c r="AO105" s="74">
        <f t="shared" si="72"/>
        <v>2.3525780736363653</v>
      </c>
      <c r="AP105" s="73">
        <f t="shared" si="90"/>
        <v>4.8020684607438007</v>
      </c>
      <c r="AQ105" s="206">
        <f t="shared" si="91"/>
        <v>18.007756727789253</v>
      </c>
      <c r="AR105" s="206">
        <f t="shared" si="92"/>
        <v>8.6013784318131857E-3</v>
      </c>
      <c r="AS105" s="71">
        <f t="shared" si="93"/>
        <v>4.3999999999999997E-2</v>
      </c>
      <c r="AT105" s="74">
        <f t="shared" si="94"/>
        <v>9.9000000000000001E-6</v>
      </c>
      <c r="AU105" s="73">
        <f t="shared" si="73"/>
        <v>137.4079624294256</v>
      </c>
      <c r="AV105" s="71">
        <f t="shared" si="74"/>
        <v>147</v>
      </c>
      <c r="AW105" s="74">
        <f t="shared" si="75"/>
        <v>51.686316636257082</v>
      </c>
    </row>
    <row r="106" spans="17:49" x14ac:dyDescent="0.25">
      <c r="Q106">
        <v>99</v>
      </c>
      <c r="R106" s="73">
        <f t="shared" si="49"/>
        <v>50</v>
      </c>
      <c r="S106" s="71">
        <f t="shared" si="79"/>
        <v>2.9699999999999998</v>
      </c>
      <c r="T106" s="71">
        <f t="shared" si="51"/>
        <v>3</v>
      </c>
      <c r="U106" s="74">
        <f t="shared" si="80"/>
        <v>49.5</v>
      </c>
      <c r="V106" s="73">
        <f>IF(Variable_Management!$B$20=3,2,IF((S106*R106/T106)&lt;((T106*(1-(T106/R106)))/(2*Lm*Fsw)),1,2))</f>
        <v>2</v>
      </c>
      <c r="W106" s="71">
        <f t="shared" si="81"/>
        <v>0.94</v>
      </c>
      <c r="X106" s="74">
        <f t="shared" si="82"/>
        <v>6.0000000000000053E-2</v>
      </c>
      <c r="Y106" s="73">
        <f t="shared" si="83"/>
        <v>0.64090909090909098</v>
      </c>
      <c r="Z106" s="71">
        <f t="shared" si="77"/>
        <v>49.820454545454545</v>
      </c>
      <c r="AA106" s="71">
        <f t="shared" si="78"/>
        <v>49.500345760124752</v>
      </c>
      <c r="AB106" s="71">
        <v>0</v>
      </c>
      <c r="AC106" s="71">
        <f t="shared" si="84"/>
        <v>18.377131727789251</v>
      </c>
      <c r="AD106" s="74">
        <f t="shared" si="67"/>
        <v>18.377131727789251</v>
      </c>
      <c r="AE106" s="73">
        <f t="shared" si="76"/>
        <v>46.529999999999994</v>
      </c>
      <c r="AF106" s="71">
        <f t="shared" si="68"/>
        <v>47.992365815300111</v>
      </c>
      <c r="AG106" s="71">
        <f t="shared" si="85"/>
        <v>85.681538967644627</v>
      </c>
      <c r="AH106" s="71">
        <f t="shared" si="86"/>
        <v>10.330171358629132</v>
      </c>
      <c r="AI106" s="74">
        <f t="shared" si="69"/>
        <v>96.011710326273757</v>
      </c>
      <c r="AJ106" s="73">
        <f t="shared" si="70"/>
        <v>2.9700000000000024</v>
      </c>
      <c r="AK106" s="71">
        <f t="shared" si="87"/>
        <v>12.125058920364642</v>
      </c>
      <c r="AL106" s="71">
        <f t="shared" si="88"/>
        <v>1.293750073636365</v>
      </c>
      <c r="AM106" s="71">
        <f t="shared" si="95"/>
        <v>0.73761600000000005</v>
      </c>
      <c r="AN106" s="188">
        <f t="shared" si="89"/>
        <v>0.35073599999999999</v>
      </c>
      <c r="AO106" s="74">
        <f t="shared" si="72"/>
        <v>2.3821020736363647</v>
      </c>
      <c r="AP106" s="73">
        <f t="shared" si="90"/>
        <v>4.9005684607438011</v>
      </c>
      <c r="AQ106" s="206">
        <f t="shared" si="91"/>
        <v>18.377131727789251</v>
      </c>
      <c r="AR106" s="206">
        <f t="shared" si="92"/>
        <v>8.6013784318131857E-3</v>
      </c>
      <c r="AS106" s="71">
        <f t="shared" si="93"/>
        <v>4.3999999999999997E-2</v>
      </c>
      <c r="AT106" s="74">
        <f t="shared" si="94"/>
        <v>9.9000000000000001E-6</v>
      </c>
      <c r="AU106" s="73">
        <f t="shared" si="73"/>
        <v>140.10125559466422</v>
      </c>
      <c r="AV106" s="71">
        <f t="shared" si="74"/>
        <v>148.5</v>
      </c>
      <c r="AW106" s="74">
        <f t="shared" si="75"/>
        <v>51.455077592789763</v>
      </c>
    </row>
    <row r="107" spans="17:49" x14ac:dyDescent="0.25">
      <c r="Q107">
        <v>100</v>
      </c>
      <c r="R107" s="73">
        <f t="shared" si="49"/>
        <v>50</v>
      </c>
      <c r="S107" s="71">
        <f t="shared" si="79"/>
        <v>3</v>
      </c>
      <c r="T107" s="71">
        <f t="shared" si="51"/>
        <v>3</v>
      </c>
      <c r="U107" s="74">
        <f t="shared" si="80"/>
        <v>50</v>
      </c>
      <c r="V107" s="73">
        <f>IF(Variable_Management!$B$20=3,2,IF((S107*R107/T107)&lt;((T107*(1-(T107/R107)))/(2*Lm*Fsw)),1,2))</f>
        <v>2</v>
      </c>
      <c r="W107" s="71">
        <f t="shared" si="81"/>
        <v>0.94</v>
      </c>
      <c r="X107" s="74">
        <f t="shared" si="82"/>
        <v>6.0000000000000053E-2</v>
      </c>
      <c r="Y107" s="73">
        <f t="shared" si="83"/>
        <v>0.64090909090909098</v>
      </c>
      <c r="Z107" s="71">
        <f t="shared" si="77"/>
        <v>50.320454545454545</v>
      </c>
      <c r="AA107" s="71">
        <f t="shared" si="78"/>
        <v>50.000342302547296</v>
      </c>
      <c r="AB107" s="71">
        <v>0</v>
      </c>
      <c r="AC107" s="71">
        <f t="shared" si="84"/>
        <v>18.750256727789257</v>
      </c>
      <c r="AD107" s="74">
        <f t="shared" si="67"/>
        <v>18.750256727789257</v>
      </c>
      <c r="AE107" s="73">
        <f t="shared" si="76"/>
        <v>47</v>
      </c>
      <c r="AF107" s="71">
        <f t="shared" si="68"/>
        <v>48.477130448796018</v>
      </c>
      <c r="AG107" s="71">
        <f t="shared" si="85"/>
        <v>87.421196967644605</v>
      </c>
      <c r="AH107" s="71">
        <f t="shared" si="86"/>
        <v>10.43451652386781</v>
      </c>
      <c r="AI107" s="74">
        <f t="shared" si="69"/>
        <v>97.855713491512418</v>
      </c>
      <c r="AJ107" s="73">
        <f t="shared" si="70"/>
        <v>3.0000000000000027</v>
      </c>
      <c r="AK107" s="71">
        <f t="shared" si="87"/>
        <v>12.247532560573747</v>
      </c>
      <c r="AL107" s="71">
        <f t="shared" si="88"/>
        <v>1.3200180736363645</v>
      </c>
      <c r="AM107" s="71">
        <f t="shared" si="95"/>
        <v>0.73761600000000005</v>
      </c>
      <c r="AN107" s="188">
        <f t="shared" si="89"/>
        <v>0.35425600000000002</v>
      </c>
      <c r="AO107" s="74">
        <f t="shared" si="72"/>
        <v>2.4118900736363647</v>
      </c>
      <c r="AP107" s="73">
        <f t="shared" si="90"/>
        <v>5.000068460743802</v>
      </c>
      <c r="AQ107" s="206">
        <f t="shared" si="91"/>
        <v>18.750256727789257</v>
      </c>
      <c r="AR107" s="206">
        <f t="shared" si="92"/>
        <v>8.6013784318131857E-3</v>
      </c>
      <c r="AS107" s="71">
        <f t="shared" si="93"/>
        <v>4.3999999999999997E-2</v>
      </c>
      <c r="AT107" s="74">
        <f t="shared" si="94"/>
        <v>9.9000000000000001E-6</v>
      </c>
      <c r="AU107" s="73">
        <f t="shared" si="73"/>
        <v>142.82079675990292</v>
      </c>
      <c r="AV107" s="71">
        <f t="shared" si="74"/>
        <v>150</v>
      </c>
      <c r="AW107" s="74">
        <f t="shared" si="75"/>
        <v>51.225869767368962</v>
      </c>
    </row>
    <row r="108" spans="17:49" x14ac:dyDescent="0.25">
      <c r="Q108">
        <v>101</v>
      </c>
      <c r="R108" s="73">
        <f t="shared" si="49"/>
        <v>50</v>
      </c>
      <c r="S108" s="71">
        <f t="shared" si="79"/>
        <v>3.03</v>
      </c>
      <c r="T108" s="71">
        <f t="shared" si="51"/>
        <v>3</v>
      </c>
      <c r="U108" s="74">
        <f t="shared" si="80"/>
        <v>50.5</v>
      </c>
      <c r="V108" s="73">
        <f>IF(Variable_Management!$B$20=3,2,IF((S108*R108/T108)&lt;((T108*(1-(T108/R108)))/(2*Lm*Fsw)),1,2))</f>
        <v>2</v>
      </c>
      <c r="W108" s="71">
        <f t="shared" si="81"/>
        <v>0.94</v>
      </c>
      <c r="X108" s="74">
        <f t="shared" si="82"/>
        <v>6.0000000000000053E-2</v>
      </c>
      <c r="Y108" s="73">
        <f t="shared" si="83"/>
        <v>0.64090909090909098</v>
      </c>
      <c r="Z108" s="71">
        <f t="shared" si="77"/>
        <v>50.820454545454545</v>
      </c>
      <c r="AA108" s="71">
        <f t="shared" si="78"/>
        <v>50.500338913436025</v>
      </c>
      <c r="AB108" s="71">
        <v>0</v>
      </c>
      <c r="AC108" s="71">
        <f t="shared" si="84"/>
        <v>19.127131727789255</v>
      </c>
      <c r="AD108" s="74">
        <f t="shared" si="67"/>
        <v>19.127131727789255</v>
      </c>
      <c r="AE108" s="73">
        <f t="shared" si="76"/>
        <v>47.47</v>
      </c>
      <c r="AF108" s="71">
        <f t="shared" si="68"/>
        <v>48.961895148672362</v>
      </c>
      <c r="AG108" s="71">
        <f t="shared" si="85"/>
        <v>89.178338967644606</v>
      </c>
      <c r="AH108" s="71">
        <f t="shared" si="86"/>
        <v>10.538861689106488</v>
      </c>
      <c r="AI108" s="74">
        <f t="shared" si="69"/>
        <v>99.717200656751089</v>
      </c>
      <c r="AJ108" s="73">
        <f t="shared" si="70"/>
        <v>3.0300000000000029</v>
      </c>
      <c r="AK108" s="71">
        <f t="shared" si="87"/>
        <v>12.370006217553577</v>
      </c>
      <c r="AL108" s="71">
        <f t="shared" si="88"/>
        <v>1.3465500736363647</v>
      </c>
      <c r="AM108" s="71">
        <f t="shared" si="95"/>
        <v>0.73761600000000005</v>
      </c>
      <c r="AN108" s="188">
        <f t="shared" si="89"/>
        <v>0.35777600000000004</v>
      </c>
      <c r="AO108" s="74">
        <f t="shared" si="72"/>
        <v>2.4419420736363646</v>
      </c>
      <c r="AP108" s="73">
        <f t="shared" si="90"/>
        <v>5.1005684607438013</v>
      </c>
      <c r="AQ108" s="206">
        <f t="shared" si="91"/>
        <v>19.127131727789255</v>
      </c>
      <c r="AR108" s="206">
        <f t="shared" si="92"/>
        <v>8.6013784318131857E-3</v>
      </c>
      <c r="AS108" s="71">
        <f t="shared" si="93"/>
        <v>4.3999999999999997E-2</v>
      </c>
      <c r="AT108" s="74">
        <f t="shared" si="94"/>
        <v>9.9000000000000001E-6</v>
      </c>
      <c r="AU108" s="73">
        <f t="shared" si="73"/>
        <v>145.56658592514157</v>
      </c>
      <c r="AV108" s="71">
        <f t="shared" si="74"/>
        <v>151.5</v>
      </c>
      <c r="AW108" s="74">
        <f t="shared" si="75"/>
        <v>50.99866736213032</v>
      </c>
    </row>
    <row r="109" spans="17:49" x14ac:dyDescent="0.25">
      <c r="Q109">
        <v>102</v>
      </c>
      <c r="R109" s="73">
        <f t="shared" si="49"/>
        <v>50</v>
      </c>
      <c r="S109" s="71">
        <f t="shared" si="79"/>
        <v>3.06</v>
      </c>
      <c r="T109" s="71">
        <f t="shared" si="51"/>
        <v>3</v>
      </c>
      <c r="U109" s="74">
        <f t="shared" si="80"/>
        <v>51</v>
      </c>
      <c r="V109" s="73">
        <f>IF(Variable_Management!$B$20=3,2,IF((S109*R109/T109)&lt;((T109*(1-(T109/R109)))/(2*Lm*Fsw)),1,2))</f>
        <v>2</v>
      </c>
      <c r="W109" s="71">
        <f t="shared" si="81"/>
        <v>0.94</v>
      </c>
      <c r="X109" s="74">
        <f t="shared" si="82"/>
        <v>6.0000000000000053E-2</v>
      </c>
      <c r="Y109" s="73">
        <f t="shared" si="83"/>
        <v>0.64090909090909098</v>
      </c>
      <c r="Z109" s="71">
        <f t="shared" si="77"/>
        <v>51.320454545454545</v>
      </c>
      <c r="AA109" s="71">
        <f t="shared" si="78"/>
        <v>51.000335590777254</v>
      </c>
      <c r="AB109" s="71">
        <v>0</v>
      </c>
      <c r="AC109" s="71">
        <f t="shared" si="84"/>
        <v>19.507756727789257</v>
      </c>
      <c r="AD109" s="74">
        <f t="shared" si="67"/>
        <v>19.507756727789257</v>
      </c>
      <c r="AE109" s="73">
        <f t="shared" si="76"/>
        <v>47.94</v>
      </c>
      <c r="AF109" s="71">
        <f t="shared" si="68"/>
        <v>49.446659912976791</v>
      </c>
      <c r="AG109" s="71">
        <f t="shared" si="85"/>
        <v>90.952964967644604</v>
      </c>
      <c r="AH109" s="71">
        <f t="shared" si="86"/>
        <v>10.643206854345166</v>
      </c>
      <c r="AI109" s="74">
        <f t="shared" si="69"/>
        <v>101.59617182198977</v>
      </c>
      <c r="AJ109" s="73">
        <f t="shared" si="70"/>
        <v>3.0600000000000027</v>
      </c>
      <c r="AK109" s="71">
        <f t="shared" si="87"/>
        <v>12.492479890810879</v>
      </c>
      <c r="AL109" s="71">
        <f t="shared" si="88"/>
        <v>1.373346073636365</v>
      </c>
      <c r="AM109" s="71">
        <f t="shared" si="95"/>
        <v>0.73761600000000005</v>
      </c>
      <c r="AN109" s="188">
        <f t="shared" si="89"/>
        <v>0.36129600000000001</v>
      </c>
      <c r="AO109" s="74">
        <f t="shared" si="72"/>
        <v>2.4722580736363651</v>
      </c>
      <c r="AP109" s="73">
        <f t="shared" si="90"/>
        <v>5.2020684607438028</v>
      </c>
      <c r="AQ109" s="206">
        <f t="shared" si="91"/>
        <v>19.507756727789257</v>
      </c>
      <c r="AR109" s="206">
        <f t="shared" si="92"/>
        <v>8.6013784318131857E-3</v>
      </c>
      <c r="AS109" s="71">
        <f t="shared" si="93"/>
        <v>4.3999999999999997E-2</v>
      </c>
      <c r="AT109" s="74">
        <f t="shared" si="94"/>
        <v>9.9000000000000001E-6</v>
      </c>
      <c r="AU109" s="73">
        <f t="shared" si="73"/>
        <v>148.33862309038028</v>
      </c>
      <c r="AV109" s="71">
        <f t="shared" si="74"/>
        <v>153</v>
      </c>
      <c r="AW109" s="74">
        <f t="shared" si="75"/>
        <v>50.773444980569529</v>
      </c>
    </row>
    <row r="110" spans="17:49" x14ac:dyDescent="0.25">
      <c r="Q110">
        <v>103</v>
      </c>
      <c r="R110" s="73">
        <f t="shared" si="49"/>
        <v>50</v>
      </c>
      <c r="S110" s="71">
        <f t="shared" si="79"/>
        <v>3.09</v>
      </c>
      <c r="T110" s="71">
        <f t="shared" si="51"/>
        <v>3</v>
      </c>
      <c r="U110" s="74">
        <f t="shared" si="80"/>
        <v>51.5</v>
      </c>
      <c r="V110" s="73">
        <f>IF(Variable_Management!$B$20=3,2,IF((S110*R110/T110)&lt;((T110*(1-(T110/R110)))/(2*Lm*Fsw)),1,2))</f>
        <v>2</v>
      </c>
      <c r="W110" s="71">
        <f t="shared" si="81"/>
        <v>0.94</v>
      </c>
      <c r="X110" s="74">
        <f t="shared" si="82"/>
        <v>6.0000000000000053E-2</v>
      </c>
      <c r="Y110" s="73">
        <f t="shared" si="83"/>
        <v>0.64090909090909098</v>
      </c>
      <c r="Z110" s="71">
        <f t="shared" si="77"/>
        <v>51.820454545454545</v>
      </c>
      <c r="AA110" s="71">
        <f t="shared" si="78"/>
        <v>51.500332332635494</v>
      </c>
      <c r="AB110" s="71">
        <v>0</v>
      </c>
      <c r="AC110" s="71">
        <f t="shared" si="84"/>
        <v>19.892131727789256</v>
      </c>
      <c r="AD110" s="74">
        <f t="shared" si="67"/>
        <v>19.892131727789256</v>
      </c>
      <c r="AE110" s="73">
        <f t="shared" si="76"/>
        <v>48.41</v>
      </c>
      <c r="AF110" s="71">
        <f t="shared" si="68"/>
        <v>49.931424739832799</v>
      </c>
      <c r="AG110" s="71">
        <f t="shared" si="85"/>
        <v>92.745074967644655</v>
      </c>
      <c r="AH110" s="71">
        <f t="shared" si="86"/>
        <v>10.747552019583845</v>
      </c>
      <c r="AI110" s="74">
        <f t="shared" si="69"/>
        <v>103.4926269872285</v>
      </c>
      <c r="AJ110" s="73">
        <f t="shared" si="70"/>
        <v>3.0900000000000025</v>
      </c>
      <c r="AK110" s="71">
        <f t="shared" si="87"/>
        <v>12.614953579871557</v>
      </c>
      <c r="AL110" s="71">
        <f t="shared" si="88"/>
        <v>1.4004060736363653</v>
      </c>
      <c r="AM110" s="71">
        <f t="shared" si="95"/>
        <v>0.73761600000000005</v>
      </c>
      <c r="AN110" s="188">
        <f t="shared" si="89"/>
        <v>0.36481600000000003</v>
      </c>
      <c r="AO110" s="74">
        <f t="shared" si="72"/>
        <v>2.5028380736363651</v>
      </c>
      <c r="AP110" s="73">
        <f t="shared" si="90"/>
        <v>5.3045684607438019</v>
      </c>
      <c r="AQ110" s="206">
        <f t="shared" si="91"/>
        <v>19.892131727789256</v>
      </c>
      <c r="AR110" s="206">
        <f t="shared" si="92"/>
        <v>8.6013784318131857E-3</v>
      </c>
      <c r="AS110" s="71">
        <f t="shared" si="93"/>
        <v>4.3999999999999997E-2</v>
      </c>
      <c r="AT110" s="74">
        <f t="shared" si="94"/>
        <v>9.9000000000000001E-6</v>
      </c>
      <c r="AU110" s="73">
        <f t="shared" si="73"/>
        <v>151.13690825561903</v>
      </c>
      <c r="AV110" s="71">
        <f t="shared" si="74"/>
        <v>154.5</v>
      </c>
      <c r="AW110" s="74">
        <f t="shared" si="75"/>
        <v>50.550177621475001</v>
      </c>
    </row>
    <row r="111" spans="17:49" x14ac:dyDescent="0.25">
      <c r="Q111">
        <v>104</v>
      </c>
      <c r="R111" s="73">
        <f t="shared" si="49"/>
        <v>50</v>
      </c>
      <c r="S111" s="71">
        <f t="shared" si="79"/>
        <v>3.12</v>
      </c>
      <c r="T111" s="71">
        <f t="shared" si="51"/>
        <v>3</v>
      </c>
      <c r="U111" s="74">
        <f t="shared" si="80"/>
        <v>52</v>
      </c>
      <c r="V111" s="73">
        <f>IF(Variable_Management!$B$20=3,2,IF((S111*R111/T111)&lt;((T111*(1-(T111/R111)))/(2*Lm*Fsw)),1,2))</f>
        <v>2</v>
      </c>
      <c r="W111" s="71">
        <f t="shared" si="81"/>
        <v>0.94</v>
      </c>
      <c r="X111" s="74">
        <f t="shared" si="82"/>
        <v>6.0000000000000053E-2</v>
      </c>
      <c r="Y111" s="73">
        <f t="shared" si="83"/>
        <v>0.64090909090909098</v>
      </c>
      <c r="Z111" s="71">
        <f t="shared" si="77"/>
        <v>52.320454545454545</v>
      </c>
      <c r="AA111" s="71">
        <f t="shared" si="78"/>
        <v>52.000329137149706</v>
      </c>
      <c r="AB111" s="71">
        <v>0</v>
      </c>
      <c r="AC111" s="71">
        <f t="shared" si="84"/>
        <v>20.280256727789254</v>
      </c>
      <c r="AD111" s="74">
        <f t="shared" si="67"/>
        <v>20.280256727789254</v>
      </c>
      <c r="AE111" s="73">
        <f t="shared" si="76"/>
        <v>48.879999999999995</v>
      </c>
      <c r="AF111" s="71">
        <f t="shared" si="68"/>
        <v>50.416189627436012</v>
      </c>
      <c r="AG111" s="71">
        <f t="shared" si="85"/>
        <v>94.554668967644631</v>
      </c>
      <c r="AH111" s="71">
        <f t="shared" si="86"/>
        <v>10.851897184822523</v>
      </c>
      <c r="AI111" s="74">
        <f t="shared" si="69"/>
        <v>105.40656615246715</v>
      </c>
      <c r="AJ111" s="73">
        <f t="shared" si="70"/>
        <v>3.1200000000000028</v>
      </c>
      <c r="AK111" s="71">
        <f t="shared" si="87"/>
        <v>12.73742728427975</v>
      </c>
      <c r="AL111" s="71">
        <f t="shared" si="88"/>
        <v>1.4277300736363652</v>
      </c>
      <c r="AM111" s="71">
        <f t="shared" si="95"/>
        <v>0.73761600000000005</v>
      </c>
      <c r="AN111" s="188">
        <f t="shared" si="89"/>
        <v>0.368336</v>
      </c>
      <c r="AO111" s="74">
        <f t="shared" si="72"/>
        <v>2.5336820736363652</v>
      </c>
      <c r="AP111" s="73">
        <f t="shared" si="90"/>
        <v>5.4080684607438014</v>
      </c>
      <c r="AQ111" s="206">
        <f t="shared" si="91"/>
        <v>20.280256727789254</v>
      </c>
      <c r="AR111" s="206">
        <f t="shared" si="92"/>
        <v>8.6013784318131857E-3</v>
      </c>
      <c r="AS111" s="71">
        <f t="shared" si="93"/>
        <v>4.3999999999999997E-2</v>
      </c>
      <c r="AT111" s="74">
        <f t="shared" si="94"/>
        <v>9.9000000000000001E-6</v>
      </c>
      <c r="AU111" s="73">
        <f t="shared" si="73"/>
        <v>153.96144142085768</v>
      </c>
      <c r="AV111" s="71">
        <f t="shared" si="74"/>
        <v>156</v>
      </c>
      <c r="AW111" s="74">
        <f t="shared" si="75"/>
        <v>50.328840672858789</v>
      </c>
    </row>
    <row r="112" spans="17:49" x14ac:dyDescent="0.25">
      <c r="Q112">
        <v>105</v>
      </c>
      <c r="R112" s="73">
        <f t="shared" si="49"/>
        <v>50</v>
      </c>
      <c r="S112" s="71">
        <f t="shared" si="79"/>
        <v>3.15</v>
      </c>
      <c r="T112" s="71">
        <f t="shared" si="51"/>
        <v>3</v>
      </c>
      <c r="U112" s="74">
        <f t="shared" si="80"/>
        <v>52.5</v>
      </c>
      <c r="V112" s="73">
        <f>IF(Variable_Management!$B$20=3,2,IF((S112*R112/T112)&lt;((T112*(1-(T112/R112)))/(2*Lm*Fsw)),1,2))</f>
        <v>2</v>
      </c>
      <c r="W112" s="71">
        <f t="shared" si="81"/>
        <v>0.94</v>
      </c>
      <c r="X112" s="74">
        <f t="shared" si="82"/>
        <v>6.0000000000000053E-2</v>
      </c>
      <c r="Y112" s="73">
        <f t="shared" si="83"/>
        <v>0.64090909090909098</v>
      </c>
      <c r="Z112" s="71">
        <f t="shared" si="77"/>
        <v>52.820454545454545</v>
      </c>
      <c r="AA112" s="71">
        <f t="shared" si="78"/>
        <v>52.500326002529746</v>
      </c>
      <c r="AB112" s="71">
        <v>0</v>
      </c>
      <c r="AC112" s="71">
        <f t="shared" si="84"/>
        <v>20.67213172778926</v>
      </c>
      <c r="AD112" s="74">
        <f t="shared" si="67"/>
        <v>20.67213172778926</v>
      </c>
      <c r="AE112" s="73">
        <f t="shared" si="76"/>
        <v>49.349999999999994</v>
      </c>
      <c r="AF112" s="71">
        <f t="shared" si="68"/>
        <v>50.900954574050836</v>
      </c>
      <c r="AG112" s="71">
        <f t="shared" si="85"/>
        <v>96.381746967644645</v>
      </c>
      <c r="AH112" s="71">
        <f t="shared" si="86"/>
        <v>10.956242350061201</v>
      </c>
      <c r="AI112" s="74">
        <f t="shared" si="69"/>
        <v>107.33798931770585</v>
      </c>
      <c r="AJ112" s="73">
        <f t="shared" si="70"/>
        <v>3.150000000000003</v>
      </c>
      <c r="AK112" s="71">
        <f t="shared" si="87"/>
        <v>12.859901003596963</v>
      </c>
      <c r="AL112" s="71">
        <f t="shared" si="88"/>
        <v>1.4553180736363651</v>
      </c>
      <c r="AM112" s="71">
        <f t="shared" si="95"/>
        <v>0.73761600000000005</v>
      </c>
      <c r="AN112" s="188">
        <f t="shared" si="89"/>
        <v>0.37185600000000002</v>
      </c>
      <c r="AO112" s="74">
        <f t="shared" si="72"/>
        <v>2.5647900736363654</v>
      </c>
      <c r="AP112" s="73">
        <f t="shared" si="90"/>
        <v>5.5125684607438021</v>
      </c>
      <c r="AQ112" s="206">
        <f t="shared" si="91"/>
        <v>20.67213172778926</v>
      </c>
      <c r="AR112" s="206">
        <f t="shared" si="92"/>
        <v>8.6013784318131857E-3</v>
      </c>
      <c r="AS112" s="71">
        <f t="shared" si="93"/>
        <v>4.3999999999999997E-2</v>
      </c>
      <c r="AT112" s="74">
        <f t="shared" si="94"/>
        <v>9.9000000000000001E-6</v>
      </c>
      <c r="AU112" s="73">
        <f t="shared" si="73"/>
        <v>156.81222258609637</v>
      </c>
      <c r="AV112" s="71">
        <f t="shared" si="74"/>
        <v>157.5</v>
      </c>
      <c r="AW112" s="74">
        <f t="shared" si="75"/>
        <v>50.109409905896243</v>
      </c>
    </row>
    <row r="113" spans="17:49" x14ac:dyDescent="0.25">
      <c r="Q113">
        <v>106</v>
      </c>
      <c r="R113" s="73">
        <f t="shared" si="49"/>
        <v>50</v>
      </c>
      <c r="S113" s="71">
        <f t="shared" si="79"/>
        <v>3.1799999999999997</v>
      </c>
      <c r="T113" s="71">
        <f t="shared" si="51"/>
        <v>3</v>
      </c>
      <c r="U113" s="74">
        <f t="shared" si="80"/>
        <v>53</v>
      </c>
      <c r="V113" s="73">
        <f>IF(Variable_Management!$B$20=3,2,IF((S113*R113/T113)&lt;((T113*(1-(T113/R113)))/(2*Lm*Fsw)),1,2))</f>
        <v>2</v>
      </c>
      <c r="W113" s="71">
        <f t="shared" si="81"/>
        <v>0.94</v>
      </c>
      <c r="X113" s="74">
        <f t="shared" si="82"/>
        <v>6.0000000000000053E-2</v>
      </c>
      <c r="Y113" s="73">
        <f t="shared" si="83"/>
        <v>0.64090909090909098</v>
      </c>
      <c r="Z113" s="71">
        <f t="shared" si="77"/>
        <v>53.320454545454545</v>
      </c>
      <c r="AA113" s="71">
        <f t="shared" si="78"/>
        <v>53.000322927053006</v>
      </c>
      <c r="AB113" s="71">
        <v>0</v>
      </c>
      <c r="AC113" s="71">
        <f t="shared" si="84"/>
        <v>21.067756727789252</v>
      </c>
      <c r="AD113" s="74">
        <f t="shared" si="67"/>
        <v>21.067756727789252</v>
      </c>
      <c r="AE113" s="73">
        <f t="shared" si="76"/>
        <v>49.82</v>
      </c>
      <c r="AF113" s="71">
        <f t="shared" si="68"/>
        <v>51.385719578007141</v>
      </c>
      <c r="AG113" s="71">
        <f t="shared" si="85"/>
        <v>98.226308967644627</v>
      </c>
      <c r="AH113" s="71">
        <f t="shared" si="86"/>
        <v>11.060587515299879</v>
      </c>
      <c r="AI113" s="74">
        <f t="shared" si="69"/>
        <v>109.28689648294451</v>
      </c>
      <c r="AJ113" s="73">
        <f t="shared" si="70"/>
        <v>3.1800000000000028</v>
      </c>
      <c r="AK113" s="71">
        <f t="shared" si="87"/>
        <v>12.982374737401251</v>
      </c>
      <c r="AL113" s="71">
        <f t="shared" si="88"/>
        <v>1.4831700736363651</v>
      </c>
      <c r="AM113" s="71">
        <f t="shared" si="95"/>
        <v>0.73761600000000005</v>
      </c>
      <c r="AN113" s="188">
        <f t="shared" si="89"/>
        <v>0.37537599999999999</v>
      </c>
      <c r="AO113" s="74">
        <f t="shared" si="72"/>
        <v>2.5961620736363651</v>
      </c>
      <c r="AP113" s="73">
        <f t="shared" si="90"/>
        <v>5.6180684607438005</v>
      </c>
      <c r="AQ113" s="206">
        <f t="shared" si="91"/>
        <v>21.067756727789252</v>
      </c>
      <c r="AR113" s="206">
        <f t="shared" si="92"/>
        <v>8.6013784318131857E-3</v>
      </c>
      <c r="AS113" s="71">
        <f t="shared" si="93"/>
        <v>4.3999999999999997E-2</v>
      </c>
      <c r="AT113" s="74">
        <f t="shared" si="94"/>
        <v>9.9000000000000001E-6</v>
      </c>
      <c r="AU113" s="73">
        <f t="shared" si="73"/>
        <v>159.68925175133504</v>
      </c>
      <c r="AV113" s="71">
        <f t="shared" si="74"/>
        <v>159</v>
      </c>
      <c r="AW113" s="74">
        <f t="shared" si="75"/>
        <v>49.891861468884294</v>
      </c>
    </row>
    <row r="114" spans="17:49" x14ac:dyDescent="0.25">
      <c r="Q114">
        <v>107</v>
      </c>
      <c r="R114" s="73">
        <f t="shared" si="49"/>
        <v>50</v>
      </c>
      <c r="S114" s="71">
        <f t="shared" si="79"/>
        <v>3.21</v>
      </c>
      <c r="T114" s="71">
        <f t="shared" si="51"/>
        <v>3</v>
      </c>
      <c r="U114" s="74">
        <f t="shared" si="80"/>
        <v>53.5</v>
      </c>
      <c r="V114" s="73">
        <f>IF(Variable_Management!$B$20=3,2,IF((S114*R114/T114)&lt;((T114*(1-(T114/R114)))/(2*Lm*Fsw)),1,2))</f>
        <v>2</v>
      </c>
      <c r="W114" s="71">
        <f t="shared" si="81"/>
        <v>0.94</v>
      </c>
      <c r="X114" s="74">
        <f t="shared" si="82"/>
        <v>6.0000000000000053E-2</v>
      </c>
      <c r="Y114" s="73">
        <f t="shared" si="83"/>
        <v>0.64090909090909098</v>
      </c>
      <c r="Z114" s="71">
        <f t="shared" si="77"/>
        <v>53.820454545454545</v>
      </c>
      <c r="AA114" s="71">
        <f t="shared" si="78"/>
        <v>53.500319909061297</v>
      </c>
      <c r="AB114" s="71">
        <v>0</v>
      </c>
      <c r="AC114" s="71">
        <f t="shared" si="84"/>
        <v>21.467131727789251</v>
      </c>
      <c r="AD114" s="74">
        <f t="shared" si="67"/>
        <v>21.467131727789251</v>
      </c>
      <c r="AE114" s="73">
        <f t="shared" si="76"/>
        <v>50.29</v>
      </c>
      <c r="AF114" s="71">
        <f t="shared" si="68"/>
        <v>51.870484637697253</v>
      </c>
      <c r="AG114" s="71">
        <f t="shared" si="85"/>
        <v>100.08835496764463</v>
      </c>
      <c r="AH114" s="71">
        <f t="shared" si="86"/>
        <v>11.164932680538556</v>
      </c>
      <c r="AI114" s="74">
        <f t="shared" si="69"/>
        <v>111.25328764818319</v>
      </c>
      <c r="AJ114" s="73">
        <f t="shared" si="70"/>
        <v>3.2100000000000026</v>
      </c>
      <c r="AK114" s="71">
        <f t="shared" si="87"/>
        <v>13.104848485286437</v>
      </c>
      <c r="AL114" s="71">
        <f t="shared" si="88"/>
        <v>1.5112860736363654</v>
      </c>
      <c r="AM114" s="71">
        <f t="shared" si="95"/>
        <v>0.73761600000000005</v>
      </c>
      <c r="AN114" s="188">
        <f t="shared" si="89"/>
        <v>0.37889600000000001</v>
      </c>
      <c r="AO114" s="74">
        <f t="shared" si="72"/>
        <v>2.6277980736363657</v>
      </c>
      <c r="AP114" s="73">
        <f t="shared" si="90"/>
        <v>5.724568460743801</v>
      </c>
      <c r="AQ114" s="206">
        <f t="shared" si="91"/>
        <v>21.467131727789251</v>
      </c>
      <c r="AR114" s="206">
        <f t="shared" si="92"/>
        <v>8.6013784318131857E-3</v>
      </c>
      <c r="AS114" s="71">
        <f t="shared" si="93"/>
        <v>4.3999999999999997E-2</v>
      </c>
      <c r="AT114" s="74">
        <f t="shared" si="94"/>
        <v>9.9000000000000001E-6</v>
      </c>
      <c r="AU114" s="73">
        <f t="shared" si="73"/>
        <v>162.59252891657368</v>
      </c>
      <c r="AV114" s="71">
        <f t="shared" si="74"/>
        <v>160.5</v>
      </c>
      <c r="AW114" s="74">
        <f t="shared" si="75"/>
        <v>49.676171881226942</v>
      </c>
    </row>
    <row r="115" spans="17:49" x14ac:dyDescent="0.25">
      <c r="Q115">
        <v>108</v>
      </c>
      <c r="R115" s="73">
        <f t="shared" si="49"/>
        <v>50</v>
      </c>
      <c r="S115" s="71">
        <f t="shared" si="79"/>
        <v>3.2399999999999998</v>
      </c>
      <c r="T115" s="71">
        <f t="shared" si="51"/>
        <v>3</v>
      </c>
      <c r="U115" s="74">
        <f t="shared" si="80"/>
        <v>54</v>
      </c>
      <c r="V115" s="73">
        <f>IF(Variable_Management!$B$20=3,2,IF((S115*R115/T115)&lt;((T115*(1-(T115/R115)))/(2*Lm*Fsw)),1,2))</f>
        <v>2</v>
      </c>
      <c r="W115" s="71">
        <f t="shared" si="81"/>
        <v>0.94</v>
      </c>
      <c r="X115" s="74">
        <f t="shared" si="82"/>
        <v>6.0000000000000053E-2</v>
      </c>
      <c r="Y115" s="73">
        <f t="shared" si="83"/>
        <v>0.64090909090909098</v>
      </c>
      <c r="Z115" s="71">
        <f t="shared" si="77"/>
        <v>54.320454545454545</v>
      </c>
      <c r="AA115" s="71">
        <f t="shared" si="78"/>
        <v>54.000316946957831</v>
      </c>
      <c r="AB115" s="71">
        <v>0</v>
      </c>
      <c r="AC115" s="71">
        <f t="shared" si="84"/>
        <v>21.870256727789258</v>
      </c>
      <c r="AD115" s="74">
        <f t="shared" si="67"/>
        <v>21.870256727789258</v>
      </c>
      <c r="AE115" s="73">
        <f t="shared" si="76"/>
        <v>50.76</v>
      </c>
      <c r="AF115" s="71">
        <f t="shared" si="68"/>
        <v>52.35524975157302</v>
      </c>
      <c r="AG115" s="71">
        <f t="shared" si="85"/>
        <v>101.96788496764464</v>
      </c>
      <c r="AH115" s="71">
        <f t="shared" si="86"/>
        <v>11.269277845777234</v>
      </c>
      <c r="AI115" s="74">
        <f t="shared" si="69"/>
        <v>113.23716281342188</v>
      </c>
      <c r="AJ115" s="73">
        <f t="shared" si="70"/>
        <v>3.2400000000000029</v>
      </c>
      <c r="AK115" s="71">
        <f t="shared" si="87"/>
        <v>13.227322246861387</v>
      </c>
      <c r="AL115" s="71">
        <f t="shared" si="88"/>
        <v>1.5396660736363648</v>
      </c>
      <c r="AM115" s="71">
        <f t="shared" si="95"/>
        <v>0.73761600000000005</v>
      </c>
      <c r="AN115" s="188">
        <f t="shared" si="89"/>
        <v>0.38241600000000003</v>
      </c>
      <c r="AO115" s="74">
        <f t="shared" si="72"/>
        <v>2.6596980736363651</v>
      </c>
      <c r="AP115" s="73">
        <f t="shared" si="90"/>
        <v>5.8320684607438027</v>
      </c>
      <c r="AQ115" s="206">
        <f t="shared" si="91"/>
        <v>21.870256727789258</v>
      </c>
      <c r="AR115" s="206">
        <f t="shared" si="92"/>
        <v>8.6013784318131857E-3</v>
      </c>
      <c r="AS115" s="71">
        <f t="shared" si="93"/>
        <v>4.3999999999999997E-2</v>
      </c>
      <c r="AT115" s="74">
        <f t="shared" si="94"/>
        <v>9.9000000000000001E-6</v>
      </c>
      <c r="AU115" s="73">
        <f t="shared" si="73"/>
        <v>165.52205408181243</v>
      </c>
      <c r="AV115" s="71">
        <f t="shared" si="74"/>
        <v>162</v>
      </c>
      <c r="AW115" s="74">
        <f t="shared" si="75"/>
        <v>49.46231802745524</v>
      </c>
    </row>
    <row r="116" spans="17:49" x14ac:dyDescent="0.25">
      <c r="Q116">
        <v>109</v>
      </c>
      <c r="R116" s="73">
        <f t="shared" si="49"/>
        <v>50</v>
      </c>
      <c r="S116" s="71">
        <f t="shared" si="79"/>
        <v>3.27</v>
      </c>
      <c r="T116" s="71">
        <f t="shared" si="51"/>
        <v>3</v>
      </c>
      <c r="U116" s="74">
        <f t="shared" si="80"/>
        <v>54.5</v>
      </c>
      <c r="V116" s="73">
        <f>IF(Variable_Management!$B$20=3,2,IF((S116*R116/T116)&lt;((T116*(1-(T116/R116)))/(2*Lm*Fsw)),1,2))</f>
        <v>2</v>
      </c>
      <c r="W116" s="71">
        <f t="shared" si="81"/>
        <v>0.94</v>
      </c>
      <c r="X116" s="74">
        <f t="shared" si="82"/>
        <v>6.0000000000000053E-2</v>
      </c>
      <c r="Y116" s="73">
        <f t="shared" si="83"/>
        <v>0.64090909090909098</v>
      </c>
      <c r="Z116" s="71">
        <f t="shared" si="77"/>
        <v>54.820454545454545</v>
      </c>
      <c r="AA116" s="71">
        <f t="shared" si="78"/>
        <v>54.500314039204405</v>
      </c>
      <c r="AB116" s="71">
        <v>0</v>
      </c>
      <c r="AC116" s="71">
        <f t="shared" si="84"/>
        <v>22.277131727789254</v>
      </c>
      <c r="AD116" s="74">
        <f t="shared" si="67"/>
        <v>22.277131727789254</v>
      </c>
      <c r="AE116" s="73">
        <f t="shared" si="76"/>
        <v>51.23</v>
      </c>
      <c r="AF116" s="71">
        <f t="shared" si="68"/>
        <v>52.840014918143112</v>
      </c>
      <c r="AG116" s="71">
        <f t="shared" si="85"/>
        <v>103.86489896764463</v>
      </c>
      <c r="AH116" s="71">
        <f t="shared" si="86"/>
        <v>11.373623011015912</v>
      </c>
      <c r="AI116" s="74">
        <f t="shared" si="69"/>
        <v>115.23852197866054</v>
      </c>
      <c r="AJ116" s="73">
        <f t="shared" si="70"/>
        <v>3.2700000000000031</v>
      </c>
      <c r="AK116" s="71">
        <f t="shared" si="87"/>
        <v>13.349796021749327</v>
      </c>
      <c r="AL116" s="71">
        <f t="shared" si="88"/>
        <v>1.5683100736363649</v>
      </c>
      <c r="AM116" s="71">
        <f t="shared" si="95"/>
        <v>0.73761600000000005</v>
      </c>
      <c r="AN116" s="188">
        <f t="shared" si="89"/>
        <v>0.385936</v>
      </c>
      <c r="AO116" s="74">
        <f t="shared" si="72"/>
        <v>2.691862073636365</v>
      </c>
      <c r="AP116" s="73">
        <f t="shared" si="90"/>
        <v>5.9405684607438021</v>
      </c>
      <c r="AQ116" s="206">
        <f t="shared" si="91"/>
        <v>22.277131727789254</v>
      </c>
      <c r="AR116" s="206">
        <f t="shared" si="92"/>
        <v>8.6013784318131857E-3</v>
      </c>
      <c r="AS116" s="71">
        <f t="shared" si="93"/>
        <v>4.3999999999999997E-2</v>
      </c>
      <c r="AT116" s="74">
        <f t="shared" si="94"/>
        <v>9.9000000000000001E-6</v>
      </c>
      <c r="AU116" s="73">
        <f t="shared" si="73"/>
        <v>168.47782724705107</v>
      </c>
      <c r="AV116" s="71">
        <f t="shared" si="74"/>
        <v>163.5</v>
      </c>
      <c r="AW116" s="74">
        <f t="shared" si="75"/>
        <v>49.250277151288977</v>
      </c>
    </row>
    <row r="117" spans="17:49" x14ac:dyDescent="0.25">
      <c r="Q117">
        <v>110</v>
      </c>
      <c r="R117" s="73">
        <f t="shared" si="49"/>
        <v>50</v>
      </c>
      <c r="S117" s="71">
        <f t="shared" si="79"/>
        <v>3.3</v>
      </c>
      <c r="T117" s="71">
        <f t="shared" si="51"/>
        <v>3</v>
      </c>
      <c r="U117" s="74">
        <f t="shared" si="80"/>
        <v>55</v>
      </c>
      <c r="V117" s="73">
        <f>IF(Variable_Management!$B$20=3,2,IF((S117*R117/T117)&lt;((T117*(1-(T117/R117)))/(2*Lm*Fsw)),1,2))</f>
        <v>2</v>
      </c>
      <c r="W117" s="71">
        <f t="shared" si="81"/>
        <v>0.94</v>
      </c>
      <c r="X117" s="74">
        <f t="shared" si="82"/>
        <v>6.0000000000000053E-2</v>
      </c>
      <c r="Y117" s="73">
        <f t="shared" si="83"/>
        <v>0.64090909090909098</v>
      </c>
      <c r="Z117" s="71">
        <f t="shared" si="77"/>
        <v>55.320454545454545</v>
      </c>
      <c r="AA117" s="71">
        <f t="shared" si="78"/>
        <v>55.000311184318775</v>
      </c>
      <c r="AB117" s="71">
        <v>0</v>
      </c>
      <c r="AC117" s="71">
        <f t="shared" si="84"/>
        <v>22.687756727789257</v>
      </c>
      <c r="AD117" s="74">
        <f t="shared" si="67"/>
        <v>22.687756727789257</v>
      </c>
      <c r="AE117" s="73">
        <f t="shared" si="76"/>
        <v>51.699999999999996</v>
      </c>
      <c r="AF117" s="71">
        <f t="shared" si="68"/>
        <v>53.324780135970421</v>
      </c>
      <c r="AG117" s="71">
        <f t="shared" si="85"/>
        <v>105.77939696764459</v>
      </c>
      <c r="AH117" s="71">
        <f t="shared" si="86"/>
        <v>11.47796817625459</v>
      </c>
      <c r="AI117" s="74">
        <f t="shared" si="69"/>
        <v>117.25736514389918</v>
      </c>
      <c r="AJ117" s="73">
        <f t="shared" si="70"/>
        <v>3.3000000000000029</v>
      </c>
      <c r="AK117" s="71">
        <f t="shared" si="87"/>
        <v>13.472269809587178</v>
      </c>
      <c r="AL117" s="71">
        <f t="shared" si="88"/>
        <v>1.5972180736363646</v>
      </c>
      <c r="AM117" s="71">
        <f t="shared" si="95"/>
        <v>0.73761600000000005</v>
      </c>
      <c r="AN117" s="188">
        <f t="shared" si="89"/>
        <v>0.38945600000000002</v>
      </c>
      <c r="AO117" s="74">
        <f t="shared" si="72"/>
        <v>2.7242900736363644</v>
      </c>
      <c r="AP117" s="73">
        <f t="shared" si="90"/>
        <v>6.0500684607438018</v>
      </c>
      <c r="AQ117" s="206">
        <f t="shared" si="91"/>
        <v>22.687756727789257</v>
      </c>
      <c r="AR117" s="206">
        <f t="shared" si="92"/>
        <v>8.6013784318131857E-3</v>
      </c>
      <c r="AS117" s="71">
        <f t="shared" si="93"/>
        <v>4.3999999999999997E-2</v>
      </c>
      <c r="AT117" s="74">
        <f t="shared" si="94"/>
        <v>9.9000000000000001E-6</v>
      </c>
      <c r="AU117" s="73">
        <f t="shared" si="73"/>
        <v>171.45984841228972</v>
      </c>
      <c r="AV117" s="71">
        <f t="shared" si="74"/>
        <v>165</v>
      </c>
      <c r="AW117" s="74">
        <f t="shared" si="75"/>
        <v>49.04002684974553</v>
      </c>
    </row>
    <row r="118" spans="17:49" x14ac:dyDescent="0.25">
      <c r="Q118">
        <v>111</v>
      </c>
      <c r="R118" s="73">
        <f t="shared" si="49"/>
        <v>50</v>
      </c>
      <c r="S118" s="71">
        <f t="shared" si="79"/>
        <v>3.33</v>
      </c>
      <c r="T118" s="71">
        <f t="shared" si="51"/>
        <v>3</v>
      </c>
      <c r="U118" s="74">
        <f t="shared" si="80"/>
        <v>55.5</v>
      </c>
      <c r="V118" s="73">
        <f>IF(Variable_Management!$B$20=3,2,IF((S118*R118/T118)&lt;((T118*(1-(T118/R118)))/(2*Lm*Fsw)),1,2))</f>
        <v>2</v>
      </c>
      <c r="W118" s="71">
        <f t="shared" si="81"/>
        <v>0.94</v>
      </c>
      <c r="X118" s="74">
        <f t="shared" si="82"/>
        <v>6.0000000000000053E-2</v>
      </c>
      <c r="Y118" s="73">
        <f t="shared" si="83"/>
        <v>0.64090909090909098</v>
      </c>
      <c r="Z118" s="71">
        <f t="shared" si="77"/>
        <v>55.820454545454545</v>
      </c>
      <c r="AA118" s="71">
        <f t="shared" si="78"/>
        <v>55.500308380872092</v>
      </c>
      <c r="AB118" s="71">
        <v>0</v>
      </c>
      <c r="AC118" s="71">
        <f t="shared" si="84"/>
        <v>23.102131727789256</v>
      </c>
      <c r="AD118" s="74">
        <f t="shared" si="67"/>
        <v>23.102131727789256</v>
      </c>
      <c r="AE118" s="73">
        <f t="shared" si="76"/>
        <v>52.169999999999995</v>
      </c>
      <c r="AF118" s="71">
        <f t="shared" si="68"/>
        <v>53.809545403669652</v>
      </c>
      <c r="AG118" s="71">
        <f t="shared" si="85"/>
        <v>107.71137896764461</v>
      </c>
      <c r="AH118" s="71">
        <f t="shared" si="86"/>
        <v>11.582313341493268</v>
      </c>
      <c r="AI118" s="74">
        <f t="shared" si="69"/>
        <v>119.29369230913787</v>
      </c>
      <c r="AJ118" s="73">
        <f t="shared" si="70"/>
        <v>3.3300000000000027</v>
      </c>
      <c r="AK118" s="71">
        <f t="shared" si="87"/>
        <v>13.594743610024949</v>
      </c>
      <c r="AL118" s="71">
        <f t="shared" si="88"/>
        <v>1.626390073636365</v>
      </c>
      <c r="AM118" s="71">
        <f t="shared" si="95"/>
        <v>0.73761600000000005</v>
      </c>
      <c r="AN118" s="188">
        <f t="shared" si="89"/>
        <v>0.39297599999999999</v>
      </c>
      <c r="AO118" s="74">
        <f t="shared" si="72"/>
        <v>2.7569820736363653</v>
      </c>
      <c r="AP118" s="73">
        <f t="shared" si="90"/>
        <v>6.1605684607438018</v>
      </c>
      <c r="AQ118" s="206">
        <f t="shared" si="91"/>
        <v>23.102131727789256</v>
      </c>
      <c r="AR118" s="206">
        <f t="shared" si="92"/>
        <v>8.6013784318131857E-3</v>
      </c>
      <c r="AS118" s="71">
        <f t="shared" si="93"/>
        <v>4.3999999999999997E-2</v>
      </c>
      <c r="AT118" s="74">
        <f t="shared" si="94"/>
        <v>9.9000000000000001E-6</v>
      </c>
      <c r="AU118" s="73">
        <f t="shared" si="73"/>
        <v>174.4681175775284</v>
      </c>
      <c r="AV118" s="71">
        <f t="shared" si="74"/>
        <v>166.5</v>
      </c>
      <c r="AW118" s="74">
        <f t="shared" si="75"/>
        <v>48.831545067301398</v>
      </c>
    </row>
    <row r="119" spans="17:49" x14ac:dyDescent="0.25">
      <c r="Q119">
        <v>112</v>
      </c>
      <c r="R119" s="73">
        <f t="shared" si="49"/>
        <v>50</v>
      </c>
      <c r="S119" s="71">
        <f t="shared" si="79"/>
        <v>3.36</v>
      </c>
      <c r="T119" s="71">
        <f t="shared" si="51"/>
        <v>3</v>
      </c>
      <c r="U119" s="74">
        <f t="shared" si="80"/>
        <v>56</v>
      </c>
      <c r="V119" s="73">
        <f>IF(Variable_Management!$B$20=3,2,IF((S119*R119/T119)&lt;((T119*(1-(T119/R119)))/(2*Lm*Fsw)),1,2))</f>
        <v>2</v>
      </c>
      <c r="W119" s="71">
        <f t="shared" si="81"/>
        <v>0.94</v>
      </c>
      <c r="X119" s="74">
        <f t="shared" si="82"/>
        <v>6.0000000000000053E-2</v>
      </c>
      <c r="Y119" s="73">
        <f t="shared" si="83"/>
        <v>0.64090909090909098</v>
      </c>
      <c r="Z119" s="71">
        <f t="shared" si="77"/>
        <v>56.320454545454545</v>
      </c>
      <c r="AA119" s="71">
        <f t="shared" si="78"/>
        <v>56.00030562748654</v>
      </c>
      <c r="AB119" s="71">
        <v>0</v>
      </c>
      <c r="AC119" s="71">
        <f t="shared" si="84"/>
        <v>23.520256727789256</v>
      </c>
      <c r="AD119" s="74">
        <f t="shared" si="67"/>
        <v>23.520256727789256</v>
      </c>
      <c r="AE119" s="73">
        <f t="shared" si="76"/>
        <v>52.64</v>
      </c>
      <c r="AF119" s="71">
        <f t="shared" si="68"/>
        <v>54.294310719904956</v>
      </c>
      <c r="AG119" s="71">
        <f t="shared" si="85"/>
        <v>109.66084496764462</v>
      </c>
      <c r="AH119" s="71">
        <f t="shared" si="86"/>
        <v>11.686658506731947</v>
      </c>
      <c r="AI119" s="74">
        <f t="shared" si="69"/>
        <v>121.34750347437657</v>
      </c>
      <c r="AJ119" s="73">
        <f t="shared" si="70"/>
        <v>3.360000000000003</v>
      </c>
      <c r="AK119" s="71">
        <f t="shared" si="87"/>
        <v>13.717217422725144</v>
      </c>
      <c r="AL119" s="71">
        <f t="shared" si="88"/>
        <v>1.6558260736363652</v>
      </c>
      <c r="AM119" s="71">
        <f t="shared" si="95"/>
        <v>0.73761600000000005</v>
      </c>
      <c r="AN119" s="188">
        <f t="shared" si="89"/>
        <v>0.39649600000000002</v>
      </c>
      <c r="AO119" s="74">
        <f t="shared" si="72"/>
        <v>2.7899380736363653</v>
      </c>
      <c r="AP119" s="73">
        <f t="shared" si="90"/>
        <v>6.2720684607438013</v>
      </c>
      <c r="AQ119" s="206">
        <f t="shared" si="91"/>
        <v>23.520256727789256</v>
      </c>
      <c r="AR119" s="206">
        <f t="shared" si="92"/>
        <v>8.6013784318131857E-3</v>
      </c>
      <c r="AS119" s="71">
        <f t="shared" si="93"/>
        <v>4.3999999999999997E-2</v>
      </c>
      <c r="AT119" s="74">
        <f t="shared" si="94"/>
        <v>9.9000000000000001E-6</v>
      </c>
      <c r="AU119" s="73">
        <f t="shared" si="73"/>
        <v>177.50263474276707</v>
      </c>
      <c r="AV119" s="71">
        <f t="shared" si="74"/>
        <v>168</v>
      </c>
      <c r="AW119" s="74">
        <f t="shared" si="75"/>
        <v>48.624810090110891</v>
      </c>
    </row>
    <row r="120" spans="17:49" x14ac:dyDescent="0.25">
      <c r="Q120">
        <v>113</v>
      </c>
      <c r="R120" s="73">
        <f t="shared" si="49"/>
        <v>50</v>
      </c>
      <c r="S120" s="71">
        <f t="shared" si="79"/>
        <v>3.3899999999999997</v>
      </c>
      <c r="T120" s="71">
        <f t="shared" si="51"/>
        <v>3</v>
      </c>
      <c r="U120" s="74">
        <f t="shared" si="80"/>
        <v>56.499999999999993</v>
      </c>
      <c r="V120" s="73">
        <f>IF(Variable_Management!$B$20=3,2,IF((S120*R120/T120)&lt;((T120*(1-(T120/R120)))/(2*Lm*Fsw)),1,2))</f>
        <v>2</v>
      </c>
      <c r="W120" s="71">
        <f t="shared" si="81"/>
        <v>0.94</v>
      </c>
      <c r="X120" s="74">
        <f t="shared" si="82"/>
        <v>6.0000000000000053E-2</v>
      </c>
      <c r="Y120" s="73">
        <f t="shared" si="83"/>
        <v>0.64090909090909098</v>
      </c>
      <c r="Z120" s="71">
        <f t="shared" si="77"/>
        <v>56.820454545454538</v>
      </c>
      <c r="AA120" s="71">
        <f t="shared" si="78"/>
        <v>56.500302922833079</v>
      </c>
      <c r="AB120" s="71">
        <v>0</v>
      </c>
      <c r="AC120" s="71">
        <f t="shared" si="84"/>
        <v>23.942131727789253</v>
      </c>
      <c r="AD120" s="74">
        <f t="shared" si="67"/>
        <v>23.942131727789253</v>
      </c>
      <c r="AE120" s="73">
        <f t="shared" si="76"/>
        <v>53.109999999999992</v>
      </c>
      <c r="AF120" s="71">
        <f t="shared" si="68"/>
        <v>54.779076083387764</v>
      </c>
      <c r="AG120" s="71">
        <f t="shared" si="85"/>
        <v>111.62779496764458</v>
      </c>
      <c r="AH120" s="71">
        <f t="shared" si="86"/>
        <v>11.791003671970623</v>
      </c>
      <c r="AI120" s="74">
        <f t="shared" si="69"/>
        <v>123.4187986396152</v>
      </c>
      <c r="AJ120" s="73">
        <f t="shared" si="70"/>
        <v>3.3900000000000028</v>
      </c>
      <c r="AK120" s="71">
        <f t="shared" si="87"/>
        <v>13.839691247362209</v>
      </c>
      <c r="AL120" s="71">
        <f t="shared" si="88"/>
        <v>1.6855260736363644</v>
      </c>
      <c r="AM120" s="71">
        <f t="shared" si="95"/>
        <v>0.73761600000000005</v>
      </c>
      <c r="AN120" s="188">
        <f t="shared" si="89"/>
        <v>0.40001599999999998</v>
      </c>
      <c r="AO120" s="74">
        <f t="shared" si="72"/>
        <v>2.8231580736363644</v>
      </c>
      <c r="AP120" s="73">
        <f t="shared" si="90"/>
        <v>6.3845684607438011</v>
      </c>
      <c r="AQ120" s="206">
        <f t="shared" si="91"/>
        <v>23.942131727789253</v>
      </c>
      <c r="AR120" s="206">
        <f t="shared" si="92"/>
        <v>8.6013784318131857E-3</v>
      </c>
      <c r="AS120" s="71">
        <f t="shared" si="93"/>
        <v>4.3999999999999997E-2</v>
      </c>
      <c r="AT120" s="74">
        <f t="shared" si="94"/>
        <v>9.9000000000000001E-6</v>
      </c>
      <c r="AU120" s="73">
        <f t="shared" si="73"/>
        <v>180.56339990800569</v>
      </c>
      <c r="AV120" s="71">
        <f t="shared" si="74"/>
        <v>169.49999999999997</v>
      </c>
      <c r="AW120" s="74">
        <f t="shared" si="75"/>
        <v>48.419800540285976</v>
      </c>
    </row>
    <row r="121" spans="17:49" x14ac:dyDescent="0.25">
      <c r="Q121">
        <v>114</v>
      </c>
      <c r="R121" s="73">
        <f t="shared" si="49"/>
        <v>50</v>
      </c>
      <c r="S121" s="71">
        <f t="shared" si="79"/>
        <v>3.42</v>
      </c>
      <c r="T121" s="71">
        <f t="shared" si="51"/>
        <v>3</v>
      </c>
      <c r="U121" s="74">
        <f t="shared" si="80"/>
        <v>57</v>
      </c>
      <c r="V121" s="73">
        <f>IF(Variable_Management!$B$20=3,2,IF((S121*R121/T121)&lt;((T121*(1-(T121/R121)))/(2*Lm*Fsw)),1,2))</f>
        <v>2</v>
      </c>
      <c r="W121" s="71">
        <f t="shared" si="81"/>
        <v>0.94</v>
      </c>
      <c r="X121" s="74">
        <f t="shared" si="82"/>
        <v>6.0000000000000053E-2</v>
      </c>
      <c r="Y121" s="73">
        <f t="shared" si="83"/>
        <v>0.64090909090909098</v>
      </c>
      <c r="Z121" s="71">
        <f t="shared" si="77"/>
        <v>57.320454545454545</v>
      </c>
      <c r="AA121" s="71">
        <f t="shared" si="78"/>
        <v>57.000300265629313</v>
      </c>
      <c r="AB121" s="71">
        <v>0</v>
      </c>
      <c r="AC121" s="71">
        <f t="shared" si="84"/>
        <v>24.36775672778926</v>
      </c>
      <c r="AD121" s="74">
        <f t="shared" si="67"/>
        <v>24.36775672778926</v>
      </c>
      <c r="AE121" s="73">
        <f t="shared" si="76"/>
        <v>53.58</v>
      </c>
      <c r="AF121" s="71">
        <f t="shared" si="68"/>
        <v>55.263841492874761</v>
      </c>
      <c r="AG121" s="71">
        <f t="shared" si="85"/>
        <v>113.61222896764461</v>
      </c>
      <c r="AH121" s="71">
        <f t="shared" si="86"/>
        <v>11.895348837209303</v>
      </c>
      <c r="AI121" s="74">
        <f t="shared" si="69"/>
        <v>125.50757780485391</v>
      </c>
      <c r="AJ121" s="73">
        <f t="shared" si="70"/>
        <v>3.420000000000003</v>
      </c>
      <c r="AK121" s="71">
        <f t="shared" si="87"/>
        <v>13.962165083622033</v>
      </c>
      <c r="AL121" s="71">
        <f t="shared" si="88"/>
        <v>1.7154900736363654</v>
      </c>
      <c r="AM121" s="71">
        <f t="shared" si="95"/>
        <v>0.73761600000000005</v>
      </c>
      <c r="AN121" s="188">
        <f t="shared" si="89"/>
        <v>0.40353600000000001</v>
      </c>
      <c r="AO121" s="74">
        <f t="shared" si="72"/>
        <v>2.8566420736363654</v>
      </c>
      <c r="AP121" s="73">
        <f t="shared" si="90"/>
        <v>6.4980684607438022</v>
      </c>
      <c r="AQ121" s="206">
        <f t="shared" si="91"/>
        <v>24.36775672778926</v>
      </c>
      <c r="AR121" s="206">
        <f t="shared" si="92"/>
        <v>8.6013784318131857E-3</v>
      </c>
      <c r="AS121" s="71">
        <f t="shared" si="93"/>
        <v>4.3999999999999997E-2</v>
      </c>
      <c r="AT121" s="74">
        <f t="shared" si="94"/>
        <v>9.9000000000000001E-6</v>
      </c>
      <c r="AU121" s="73">
        <f t="shared" si="73"/>
        <v>183.65041307324447</v>
      </c>
      <c r="AV121" s="71">
        <f t="shared" si="74"/>
        <v>171</v>
      </c>
      <c r="AW121" s="74">
        <f t="shared" si="75"/>
        <v>48.216495370240573</v>
      </c>
    </row>
    <row r="122" spans="17:49" x14ac:dyDescent="0.25">
      <c r="Q122">
        <v>115</v>
      </c>
      <c r="R122" s="73">
        <f t="shared" si="49"/>
        <v>50</v>
      </c>
      <c r="S122" s="71">
        <f t="shared" si="79"/>
        <v>3.4499999999999997</v>
      </c>
      <c r="T122" s="71">
        <f t="shared" si="51"/>
        <v>3</v>
      </c>
      <c r="U122" s="74">
        <f t="shared" si="80"/>
        <v>57.5</v>
      </c>
      <c r="V122" s="73">
        <f>IF(Variable_Management!$B$20=3,2,IF((S122*R122/T122)&lt;((T122*(1-(T122/R122)))/(2*Lm*Fsw)),1,2))</f>
        <v>2</v>
      </c>
      <c r="W122" s="71">
        <f t="shared" si="81"/>
        <v>0.94</v>
      </c>
      <c r="X122" s="74">
        <f t="shared" si="82"/>
        <v>6.0000000000000053E-2</v>
      </c>
      <c r="Y122" s="73">
        <f t="shared" si="83"/>
        <v>0.64090909090909098</v>
      </c>
      <c r="Z122" s="71">
        <f t="shared" si="77"/>
        <v>57.820454545454545</v>
      </c>
      <c r="AA122" s="71">
        <f t="shared" si="78"/>
        <v>57.500297654637414</v>
      </c>
      <c r="AB122" s="71">
        <v>0</v>
      </c>
      <c r="AC122" s="71">
        <f t="shared" si="84"/>
        <v>24.797131727789257</v>
      </c>
      <c r="AD122" s="74">
        <f t="shared" si="67"/>
        <v>24.797131727789257</v>
      </c>
      <c r="AE122" s="73">
        <f t="shared" si="76"/>
        <v>54.05</v>
      </c>
      <c r="AF122" s="71">
        <f t="shared" si="68"/>
        <v>55.748606947165833</v>
      </c>
      <c r="AG122" s="71">
        <f t="shared" si="85"/>
        <v>115.61414696764463</v>
      </c>
      <c r="AH122" s="71">
        <f t="shared" si="86"/>
        <v>11.999694002447981</v>
      </c>
      <c r="AI122" s="74">
        <f t="shared" si="69"/>
        <v>127.61384097009261</v>
      </c>
      <c r="AJ122" s="73">
        <f t="shared" si="70"/>
        <v>3.4500000000000028</v>
      </c>
      <c r="AK122" s="71">
        <f t="shared" si="87"/>
        <v>14.084638931201404</v>
      </c>
      <c r="AL122" s="71">
        <f t="shared" si="88"/>
        <v>1.7457180736363653</v>
      </c>
      <c r="AM122" s="71">
        <f t="shared" si="95"/>
        <v>0.73761600000000005</v>
      </c>
      <c r="AN122" s="188">
        <f t="shared" si="89"/>
        <v>0.40705600000000003</v>
      </c>
      <c r="AO122" s="74">
        <f t="shared" si="72"/>
        <v>2.8903900736363655</v>
      </c>
      <c r="AP122" s="73">
        <f t="shared" si="90"/>
        <v>6.6125684607438018</v>
      </c>
      <c r="AQ122" s="206">
        <f t="shared" si="91"/>
        <v>24.797131727789257</v>
      </c>
      <c r="AR122" s="206">
        <f t="shared" si="92"/>
        <v>8.6013784318131857E-3</v>
      </c>
      <c r="AS122" s="71">
        <f t="shared" si="93"/>
        <v>4.3999999999999997E-2</v>
      </c>
      <c r="AT122" s="74">
        <f t="shared" si="94"/>
        <v>9.9000000000000001E-6</v>
      </c>
      <c r="AU122" s="73">
        <f t="shared" si="73"/>
        <v>186.76367423848313</v>
      </c>
      <c r="AV122" s="71">
        <f t="shared" si="74"/>
        <v>172.5</v>
      </c>
      <c r="AW122" s="74">
        <f t="shared" si="75"/>
        <v>48.014873857102685</v>
      </c>
    </row>
    <row r="123" spans="17:49" x14ac:dyDescent="0.25">
      <c r="Q123">
        <v>116</v>
      </c>
      <c r="R123" s="73">
        <f t="shared" si="49"/>
        <v>50</v>
      </c>
      <c r="S123" s="71">
        <f t="shared" si="79"/>
        <v>3.48</v>
      </c>
      <c r="T123" s="71">
        <f t="shared" si="51"/>
        <v>3</v>
      </c>
      <c r="U123" s="74">
        <f t="shared" si="80"/>
        <v>58</v>
      </c>
      <c r="V123" s="73">
        <f>IF(Variable_Management!$B$20=3,2,IF((S123*R123/T123)&lt;((T123*(1-(T123/R123)))/(2*Lm*Fsw)),1,2))</f>
        <v>2</v>
      </c>
      <c r="W123" s="71">
        <f t="shared" si="81"/>
        <v>0.94</v>
      </c>
      <c r="X123" s="74">
        <f t="shared" si="82"/>
        <v>6.0000000000000053E-2</v>
      </c>
      <c r="Y123" s="73">
        <f t="shared" si="83"/>
        <v>0.64090909090909098</v>
      </c>
      <c r="Z123" s="71">
        <f t="shared" si="77"/>
        <v>58.320454545454545</v>
      </c>
      <c r="AA123" s="71">
        <f t="shared" si="78"/>
        <v>58.00029508866227</v>
      </c>
      <c r="AB123" s="71">
        <v>0</v>
      </c>
      <c r="AC123" s="71">
        <f t="shared" si="84"/>
        <v>25.230256727789254</v>
      </c>
      <c r="AD123" s="74">
        <f t="shared" si="67"/>
        <v>25.230256727789254</v>
      </c>
      <c r="AE123" s="73">
        <f t="shared" si="76"/>
        <v>54.519999999999996</v>
      </c>
      <c r="AF123" s="71">
        <f t="shared" si="68"/>
        <v>56.233372445102269</v>
      </c>
      <c r="AG123" s="71">
        <f t="shared" si="85"/>
        <v>117.63354896764466</v>
      </c>
      <c r="AH123" s="71">
        <f t="shared" si="86"/>
        <v>12.104039167686659</v>
      </c>
      <c r="AI123" s="74">
        <f t="shared" si="69"/>
        <v>129.73758813533132</v>
      </c>
      <c r="AJ123" s="73">
        <f t="shared" si="70"/>
        <v>3.4800000000000031</v>
      </c>
      <c r="AK123" s="71">
        <f t="shared" si="87"/>
        <v>14.207112789807583</v>
      </c>
      <c r="AL123" s="71">
        <f t="shared" si="88"/>
        <v>1.7762100736363651</v>
      </c>
      <c r="AM123" s="71">
        <f t="shared" si="95"/>
        <v>0.73761600000000005</v>
      </c>
      <c r="AN123" s="188">
        <f t="shared" si="89"/>
        <v>0.410576</v>
      </c>
      <c r="AO123" s="74">
        <f t="shared" si="72"/>
        <v>2.9244020736363652</v>
      </c>
      <c r="AP123" s="73">
        <f t="shared" si="90"/>
        <v>6.7280684607438017</v>
      </c>
      <c r="AQ123" s="206">
        <f t="shared" si="91"/>
        <v>25.230256727789254</v>
      </c>
      <c r="AR123" s="206">
        <f t="shared" si="92"/>
        <v>8.6013784318131857E-3</v>
      </c>
      <c r="AS123" s="71">
        <f t="shared" si="93"/>
        <v>4.3999999999999997E-2</v>
      </c>
      <c r="AT123" s="74">
        <f t="shared" si="94"/>
        <v>9.9000000000000001E-6</v>
      </c>
      <c r="AU123" s="73">
        <f t="shared" si="73"/>
        <v>189.90318340372184</v>
      </c>
      <c r="AV123" s="71">
        <f t="shared" si="74"/>
        <v>174</v>
      </c>
      <c r="AW123" s="74">
        <f t="shared" si="75"/>
        <v>47.814915597196283</v>
      </c>
    </row>
    <row r="124" spans="17:49" x14ac:dyDescent="0.25">
      <c r="Q124">
        <v>117</v>
      </c>
      <c r="R124" s="73">
        <f t="shared" si="49"/>
        <v>50</v>
      </c>
      <c r="S124" s="71">
        <f t="shared" si="79"/>
        <v>3.51</v>
      </c>
      <c r="T124" s="71">
        <f t="shared" si="51"/>
        <v>3</v>
      </c>
      <c r="U124" s="74">
        <f t="shared" si="80"/>
        <v>58.5</v>
      </c>
      <c r="V124" s="73">
        <f>IF(Variable_Management!$B$20=3,2,IF((S124*R124/T124)&lt;((T124*(1-(T124/R124)))/(2*Lm*Fsw)),1,2))</f>
        <v>2</v>
      </c>
      <c r="W124" s="71">
        <f t="shared" si="81"/>
        <v>0.94</v>
      </c>
      <c r="X124" s="74">
        <f t="shared" si="82"/>
        <v>6.0000000000000053E-2</v>
      </c>
      <c r="Y124" s="73">
        <f t="shared" si="83"/>
        <v>0.64090909090909098</v>
      </c>
      <c r="Z124" s="71">
        <f t="shared" si="77"/>
        <v>58.820454545454545</v>
      </c>
      <c r="AA124" s="71">
        <f t="shared" si="78"/>
        <v>58.500292566549618</v>
      </c>
      <c r="AB124" s="71">
        <v>0</v>
      </c>
      <c r="AC124" s="71">
        <f t="shared" si="84"/>
        <v>25.667131727789251</v>
      </c>
      <c r="AD124" s="74">
        <f t="shared" si="67"/>
        <v>25.667131727789251</v>
      </c>
      <c r="AE124" s="73">
        <f t="shared" si="76"/>
        <v>54.989999999999995</v>
      </c>
      <c r="AF124" s="71">
        <f t="shared" si="68"/>
        <v>56.718137985564958</v>
      </c>
      <c r="AG124" s="71">
        <f t="shared" si="85"/>
        <v>119.67043496764462</v>
      </c>
      <c r="AH124" s="71">
        <f t="shared" si="86"/>
        <v>12.208384332925338</v>
      </c>
      <c r="AI124" s="74">
        <f t="shared" si="69"/>
        <v>131.87881930056997</v>
      </c>
      <c r="AJ124" s="73">
        <f t="shared" si="70"/>
        <v>3.5100000000000033</v>
      </c>
      <c r="AK124" s="71">
        <f t="shared" si="87"/>
        <v>14.329586659157837</v>
      </c>
      <c r="AL124" s="71">
        <f t="shared" si="88"/>
        <v>1.8069660736363655</v>
      </c>
      <c r="AM124" s="71">
        <f t="shared" si="95"/>
        <v>0.73761600000000005</v>
      </c>
      <c r="AN124" s="188">
        <f t="shared" si="89"/>
        <v>0.41409600000000002</v>
      </c>
      <c r="AO124" s="74">
        <f t="shared" si="72"/>
        <v>2.9586780736363654</v>
      </c>
      <c r="AP124" s="73">
        <f t="shared" si="90"/>
        <v>6.8445684607438011</v>
      </c>
      <c r="AQ124" s="206">
        <f t="shared" si="91"/>
        <v>25.667131727789251</v>
      </c>
      <c r="AR124" s="206">
        <f t="shared" si="92"/>
        <v>8.6013784318131857E-3</v>
      </c>
      <c r="AS124" s="71">
        <f t="shared" si="93"/>
        <v>4.3999999999999997E-2</v>
      </c>
      <c r="AT124" s="74">
        <f t="shared" si="94"/>
        <v>9.9000000000000001E-6</v>
      </c>
      <c r="AU124" s="73">
        <f t="shared" si="73"/>
        <v>193.06894056896047</v>
      </c>
      <c r="AV124" s="71">
        <f t="shared" si="74"/>
        <v>175.5</v>
      </c>
      <c r="AW124" s="74">
        <f t="shared" si="75"/>
        <v>47.61660050059573</v>
      </c>
    </row>
    <row r="125" spans="17:49" x14ac:dyDescent="0.25">
      <c r="Q125">
        <v>118</v>
      </c>
      <c r="R125" s="73">
        <f t="shared" si="49"/>
        <v>50</v>
      </c>
      <c r="S125" s="71">
        <f t="shared" si="79"/>
        <v>3.54</v>
      </c>
      <c r="T125" s="71">
        <f t="shared" si="51"/>
        <v>3</v>
      </c>
      <c r="U125" s="74">
        <f t="shared" si="80"/>
        <v>59</v>
      </c>
      <c r="V125" s="73">
        <f>IF(Variable_Management!$B$20=3,2,IF((S125*R125/T125)&lt;((T125*(1-(T125/R125)))/(2*Lm*Fsw)),1,2))</f>
        <v>2</v>
      </c>
      <c r="W125" s="71">
        <f t="shared" si="81"/>
        <v>0.94</v>
      </c>
      <c r="X125" s="74">
        <f t="shared" si="82"/>
        <v>6.0000000000000053E-2</v>
      </c>
      <c r="Y125" s="73">
        <f t="shared" si="83"/>
        <v>0.64090909090909098</v>
      </c>
      <c r="Z125" s="71">
        <f t="shared" si="77"/>
        <v>59.320454545454545</v>
      </c>
      <c r="AA125" s="71">
        <f t="shared" si="78"/>
        <v>59.000290087184325</v>
      </c>
      <c r="AB125" s="71">
        <v>0</v>
      </c>
      <c r="AC125" s="71">
        <f t="shared" si="84"/>
        <v>26.107756727789255</v>
      </c>
      <c r="AD125" s="74">
        <f t="shared" si="67"/>
        <v>26.107756727789255</v>
      </c>
      <c r="AE125" s="73">
        <f t="shared" si="76"/>
        <v>55.459999999999994</v>
      </c>
      <c r="AF125" s="71">
        <f t="shared" si="68"/>
        <v>57.202903567472745</v>
      </c>
      <c r="AG125" s="71">
        <f t="shared" si="85"/>
        <v>121.72480496764463</v>
      </c>
      <c r="AH125" s="71">
        <f t="shared" si="86"/>
        <v>12.312729498164016</v>
      </c>
      <c r="AI125" s="74">
        <f t="shared" si="69"/>
        <v>134.03753446580865</v>
      </c>
      <c r="AJ125" s="73">
        <f t="shared" si="70"/>
        <v>3.5400000000000031</v>
      </c>
      <c r="AK125" s="71">
        <f t="shared" si="87"/>
        <v>14.452060538979008</v>
      </c>
      <c r="AL125" s="71">
        <f t="shared" si="88"/>
        <v>1.8379860736363653</v>
      </c>
      <c r="AM125" s="71">
        <f t="shared" si="95"/>
        <v>0.73761600000000005</v>
      </c>
      <c r="AN125" s="188">
        <f t="shared" si="89"/>
        <v>0.41761599999999999</v>
      </c>
      <c r="AO125" s="74">
        <f t="shared" si="72"/>
        <v>2.9932180736363652</v>
      </c>
      <c r="AP125" s="73">
        <f t="shared" si="90"/>
        <v>6.9620684607438017</v>
      </c>
      <c r="AQ125" s="206">
        <f t="shared" si="91"/>
        <v>26.107756727789255</v>
      </c>
      <c r="AR125" s="206">
        <f t="shared" si="92"/>
        <v>8.6013784318131857E-3</v>
      </c>
      <c r="AS125" s="71">
        <f t="shared" si="93"/>
        <v>4.3999999999999997E-2</v>
      </c>
      <c r="AT125" s="74">
        <f t="shared" si="94"/>
        <v>9.9000000000000001E-6</v>
      </c>
      <c r="AU125" s="73">
        <f t="shared" si="73"/>
        <v>196.26094573419917</v>
      </c>
      <c r="AV125" s="71">
        <f t="shared" si="74"/>
        <v>177</v>
      </c>
      <c r="AW125" s="74">
        <f t="shared" si="75"/>
        <v>47.419908785754004</v>
      </c>
    </row>
    <row r="126" spans="17:49" x14ac:dyDescent="0.25">
      <c r="Q126">
        <v>119</v>
      </c>
      <c r="R126" s="73">
        <f t="shared" si="49"/>
        <v>50</v>
      </c>
      <c r="S126" s="71">
        <f t="shared" si="79"/>
        <v>3.57</v>
      </c>
      <c r="T126" s="71">
        <f t="shared" si="51"/>
        <v>3</v>
      </c>
      <c r="U126" s="74">
        <f t="shared" si="80"/>
        <v>59.5</v>
      </c>
      <c r="V126" s="73">
        <f>IF(Variable_Management!$B$20=3,2,IF((S126*R126/T126)&lt;((T126*(1-(T126/R126)))/(2*Lm*Fsw)),1,2))</f>
        <v>2</v>
      </c>
      <c r="W126" s="71">
        <f t="shared" si="81"/>
        <v>0.94</v>
      </c>
      <c r="X126" s="74">
        <f t="shared" si="82"/>
        <v>6.0000000000000053E-2</v>
      </c>
      <c r="Y126" s="73">
        <f t="shared" si="83"/>
        <v>0.64090909090909098</v>
      </c>
      <c r="Z126" s="71">
        <f t="shared" si="77"/>
        <v>59.820454545454545</v>
      </c>
      <c r="AA126" s="71">
        <f t="shared" si="78"/>
        <v>59.500287649488726</v>
      </c>
      <c r="AB126" s="71">
        <v>0</v>
      </c>
      <c r="AC126" s="71">
        <f t="shared" si="84"/>
        <v>26.552131727789256</v>
      </c>
      <c r="AD126" s="74">
        <f t="shared" si="67"/>
        <v>26.552131727789256</v>
      </c>
      <c r="AE126" s="73">
        <f t="shared" si="76"/>
        <v>55.93</v>
      </c>
      <c r="AF126" s="71">
        <f t="shared" si="68"/>
        <v>57.687669189780806</v>
      </c>
      <c r="AG126" s="71">
        <f t="shared" si="85"/>
        <v>123.79665896764459</v>
      </c>
      <c r="AH126" s="71">
        <f t="shared" si="86"/>
        <v>12.417074663402694</v>
      </c>
      <c r="AI126" s="74">
        <f t="shared" si="69"/>
        <v>136.21373363104729</v>
      </c>
      <c r="AJ126" s="73">
        <f t="shared" si="70"/>
        <v>3.5700000000000029</v>
      </c>
      <c r="AK126" s="71">
        <f t="shared" si="87"/>
        <v>14.57453442900713</v>
      </c>
      <c r="AL126" s="71">
        <f t="shared" si="88"/>
        <v>1.869270073636365</v>
      </c>
      <c r="AM126" s="71">
        <f t="shared" si="95"/>
        <v>0.73761600000000005</v>
      </c>
      <c r="AN126" s="188">
        <f t="shared" si="89"/>
        <v>0.42113600000000001</v>
      </c>
      <c r="AO126" s="74">
        <f t="shared" si="72"/>
        <v>3.028022073636365</v>
      </c>
      <c r="AP126" s="73">
        <f t="shared" si="90"/>
        <v>7.0805684607438018</v>
      </c>
      <c r="AQ126" s="206">
        <f t="shared" si="91"/>
        <v>26.552131727789256</v>
      </c>
      <c r="AR126" s="206">
        <f t="shared" si="92"/>
        <v>8.6013784318131857E-3</v>
      </c>
      <c r="AS126" s="71">
        <f t="shared" si="93"/>
        <v>4.3999999999999997E-2</v>
      </c>
      <c r="AT126" s="74">
        <f t="shared" si="94"/>
        <v>9.9000000000000001E-6</v>
      </c>
      <c r="AU126" s="73">
        <f t="shared" si="73"/>
        <v>199.47919889943782</v>
      </c>
      <c r="AV126" s="71">
        <f t="shared" si="74"/>
        <v>178.5</v>
      </c>
      <c r="AW126" s="74">
        <f t="shared" si="75"/>
        <v>47.224820974206651</v>
      </c>
    </row>
    <row r="127" spans="17:49" x14ac:dyDescent="0.25">
      <c r="Q127">
        <v>120</v>
      </c>
      <c r="R127" s="73">
        <f t="shared" si="49"/>
        <v>50</v>
      </c>
      <c r="S127" s="71">
        <f t="shared" si="79"/>
        <v>3.5999999999999996</v>
      </c>
      <c r="T127" s="71">
        <f t="shared" si="51"/>
        <v>3</v>
      </c>
      <c r="U127" s="74">
        <f t="shared" si="80"/>
        <v>59.999999999999993</v>
      </c>
      <c r="V127" s="73">
        <f>IF(Variable_Management!$B$20=3,2,IF((S127*R127/T127)&lt;((T127*(1-(T127/R127)))/(2*Lm*Fsw)),1,2))</f>
        <v>2</v>
      </c>
      <c r="W127" s="71">
        <f t="shared" si="81"/>
        <v>0.94</v>
      </c>
      <c r="X127" s="74">
        <f t="shared" si="82"/>
        <v>6.0000000000000053E-2</v>
      </c>
      <c r="Y127" s="73">
        <f t="shared" si="83"/>
        <v>0.64090909090909098</v>
      </c>
      <c r="Z127" s="71">
        <f t="shared" si="77"/>
        <v>60.320454545454538</v>
      </c>
      <c r="AA127" s="71">
        <f t="shared" si="78"/>
        <v>60.000285252421094</v>
      </c>
      <c r="AB127" s="71">
        <v>0</v>
      </c>
      <c r="AC127" s="71">
        <f t="shared" si="84"/>
        <v>27.000256727789253</v>
      </c>
      <c r="AD127" s="74">
        <f t="shared" si="67"/>
        <v>27.000256727789253</v>
      </c>
      <c r="AE127" s="73">
        <f t="shared" si="76"/>
        <v>56.399999999999991</v>
      </c>
      <c r="AF127" s="71">
        <f t="shared" si="68"/>
        <v>58.172434851479139</v>
      </c>
      <c r="AG127" s="71">
        <f t="shared" si="85"/>
        <v>125.88599696764456</v>
      </c>
      <c r="AH127" s="71">
        <f t="shared" si="86"/>
        <v>12.521419828641369</v>
      </c>
      <c r="AI127" s="74">
        <f t="shared" si="69"/>
        <v>138.40741679628593</v>
      </c>
      <c r="AJ127" s="73">
        <f t="shared" si="70"/>
        <v>3.6000000000000028</v>
      </c>
      <c r="AK127" s="71">
        <f t="shared" si="87"/>
        <v>14.697008328987032</v>
      </c>
      <c r="AL127" s="71">
        <f t="shared" si="88"/>
        <v>1.9008180736363651</v>
      </c>
      <c r="AM127" s="71">
        <f t="shared" si="95"/>
        <v>0.73761600000000005</v>
      </c>
      <c r="AN127" s="188">
        <f t="shared" si="89"/>
        <v>0.42465599999999998</v>
      </c>
      <c r="AO127" s="74">
        <f t="shared" si="72"/>
        <v>3.0630900736363653</v>
      </c>
      <c r="AP127" s="73">
        <f t="shared" si="90"/>
        <v>7.2000684607438004</v>
      </c>
      <c r="AQ127" s="206">
        <f t="shared" si="91"/>
        <v>27.000256727789253</v>
      </c>
      <c r="AR127" s="206">
        <f t="shared" si="92"/>
        <v>8.6013784318131857E-3</v>
      </c>
      <c r="AS127" s="71">
        <f t="shared" si="93"/>
        <v>4.3999999999999997E-2</v>
      </c>
      <c r="AT127" s="74">
        <f t="shared" si="94"/>
        <v>9.9000000000000001E-6</v>
      </c>
      <c r="AU127" s="73">
        <f t="shared" si="73"/>
        <v>202.72370006467645</v>
      </c>
      <c r="AV127" s="71">
        <f t="shared" si="74"/>
        <v>179.99999999999997</v>
      </c>
      <c r="AW127" s="74">
        <f t="shared" si="75"/>
        <v>47.031317885352223</v>
      </c>
    </row>
    <row r="128" spans="17:49" x14ac:dyDescent="0.25">
      <c r="Q128">
        <v>121</v>
      </c>
      <c r="R128" s="73">
        <f t="shared" si="49"/>
        <v>50</v>
      </c>
      <c r="S128" s="71">
        <f t="shared" si="79"/>
        <v>3.63</v>
      </c>
      <c r="T128" s="71">
        <f t="shared" si="51"/>
        <v>3</v>
      </c>
      <c r="U128" s="74">
        <f t="shared" si="80"/>
        <v>60.5</v>
      </c>
      <c r="V128" s="73">
        <f>IF(Variable_Management!$B$20=3,2,IF((S128*R128/T128)&lt;((T128*(1-(T128/R128)))/(2*Lm*Fsw)),1,2))</f>
        <v>2</v>
      </c>
      <c r="W128" s="71">
        <f t="shared" si="81"/>
        <v>0.94</v>
      </c>
      <c r="X128" s="74">
        <f t="shared" si="82"/>
        <v>6.0000000000000053E-2</v>
      </c>
      <c r="Y128" s="73">
        <f t="shared" si="83"/>
        <v>0.64090909090909098</v>
      </c>
      <c r="Z128" s="71">
        <f t="shared" si="77"/>
        <v>60.820454545454545</v>
      </c>
      <c r="AA128" s="71">
        <f t="shared" si="78"/>
        <v>60.500282894974141</v>
      </c>
      <c r="AB128" s="71">
        <v>0</v>
      </c>
      <c r="AC128" s="71">
        <f t="shared" si="84"/>
        <v>27.452131727789254</v>
      </c>
      <c r="AD128" s="74">
        <f t="shared" si="67"/>
        <v>27.452131727789254</v>
      </c>
      <c r="AE128" s="73">
        <f t="shared" si="76"/>
        <v>56.87</v>
      </c>
      <c r="AF128" s="71">
        <f t="shared" si="68"/>
        <v>58.65720055159116</v>
      </c>
      <c r="AG128" s="71">
        <f t="shared" si="85"/>
        <v>127.99281896764462</v>
      </c>
      <c r="AH128" s="71">
        <f t="shared" si="86"/>
        <v>12.62576499388005</v>
      </c>
      <c r="AI128" s="74">
        <f t="shared" si="69"/>
        <v>140.61858396152468</v>
      </c>
      <c r="AJ128" s="73">
        <f t="shared" si="70"/>
        <v>3.6300000000000034</v>
      </c>
      <c r="AK128" s="71">
        <f t="shared" si="87"/>
        <v>14.819482238671979</v>
      </c>
      <c r="AL128" s="71">
        <f t="shared" si="88"/>
        <v>1.9326300736363653</v>
      </c>
      <c r="AM128" s="71">
        <f t="shared" si="95"/>
        <v>0.73761600000000005</v>
      </c>
      <c r="AN128" s="188">
        <f t="shared" si="89"/>
        <v>0.428176</v>
      </c>
      <c r="AO128" s="74">
        <f t="shared" si="72"/>
        <v>3.0984220736363652</v>
      </c>
      <c r="AP128" s="73">
        <f t="shared" si="90"/>
        <v>7.320568460743802</v>
      </c>
      <c r="AQ128" s="206">
        <f t="shared" si="91"/>
        <v>27.452131727789254</v>
      </c>
      <c r="AR128" s="206">
        <f t="shared" si="92"/>
        <v>8.6013784318131857E-3</v>
      </c>
      <c r="AS128" s="71">
        <f t="shared" si="93"/>
        <v>4.3999999999999997E-2</v>
      </c>
      <c r="AT128" s="74">
        <f t="shared" si="94"/>
        <v>9.9000000000000001E-6</v>
      </c>
      <c r="AU128" s="73">
        <f t="shared" si="73"/>
        <v>205.9944492299152</v>
      </c>
      <c r="AV128" s="71">
        <f t="shared" si="74"/>
        <v>181.5</v>
      </c>
      <c r="AW128" s="74">
        <f t="shared" si="75"/>
        <v>46.839380631310448</v>
      </c>
    </row>
    <row r="129" spans="17:49" x14ac:dyDescent="0.25">
      <c r="Q129">
        <v>122</v>
      </c>
      <c r="R129" s="73">
        <f t="shared" si="49"/>
        <v>50</v>
      </c>
      <c r="S129" s="71">
        <f t="shared" si="79"/>
        <v>3.6599999999999997</v>
      </c>
      <c r="T129" s="71">
        <f t="shared" si="51"/>
        <v>3</v>
      </c>
      <c r="U129" s="74">
        <f t="shared" si="80"/>
        <v>60.999999999999993</v>
      </c>
      <c r="V129" s="73">
        <f>IF(Variable_Management!$B$20=3,2,IF((S129*R129/T129)&lt;((T129*(1-(T129/R129)))/(2*Lm*Fsw)),1,2))</f>
        <v>2</v>
      </c>
      <c r="W129" s="71">
        <f t="shared" si="81"/>
        <v>0.94</v>
      </c>
      <c r="X129" s="74">
        <f t="shared" si="82"/>
        <v>6.0000000000000053E-2</v>
      </c>
      <c r="Y129" s="73">
        <f t="shared" si="83"/>
        <v>0.64090909090909098</v>
      </c>
      <c r="Z129" s="71">
        <f t="shared" si="77"/>
        <v>61.320454545454538</v>
      </c>
      <c r="AA129" s="71">
        <f t="shared" si="78"/>
        <v>61.00028057617358</v>
      </c>
      <c r="AB129" s="71">
        <v>0</v>
      </c>
      <c r="AC129" s="71">
        <f t="shared" si="84"/>
        <v>27.907756727789248</v>
      </c>
      <c r="AD129" s="74">
        <f t="shared" si="67"/>
        <v>27.907756727789248</v>
      </c>
      <c r="AE129" s="73">
        <f t="shared" si="76"/>
        <v>57.339999999999989</v>
      </c>
      <c r="AF129" s="71">
        <f t="shared" si="68"/>
        <v>59.141966289172238</v>
      </c>
      <c r="AG129" s="71">
        <f t="shared" si="85"/>
        <v>130.1171249676446</v>
      </c>
      <c r="AH129" s="71">
        <f t="shared" si="86"/>
        <v>12.730110159118725</v>
      </c>
      <c r="AI129" s="74">
        <f t="shared" si="69"/>
        <v>142.84723512676334</v>
      </c>
      <c r="AJ129" s="73">
        <f t="shared" si="70"/>
        <v>3.6600000000000028</v>
      </c>
      <c r="AK129" s="71">
        <f t="shared" si="87"/>
        <v>14.941956157823318</v>
      </c>
      <c r="AL129" s="71">
        <f t="shared" si="88"/>
        <v>1.9647060736363651</v>
      </c>
      <c r="AM129" s="71">
        <f t="shared" si="95"/>
        <v>0.73761600000000005</v>
      </c>
      <c r="AN129" s="188">
        <f t="shared" si="89"/>
        <v>0.43169599999999997</v>
      </c>
      <c r="AO129" s="74">
        <f t="shared" si="72"/>
        <v>3.1340180736363652</v>
      </c>
      <c r="AP129" s="73">
        <f t="shared" si="90"/>
        <v>7.4420684607437995</v>
      </c>
      <c r="AQ129" s="206">
        <f t="shared" si="91"/>
        <v>27.907756727789248</v>
      </c>
      <c r="AR129" s="206">
        <f t="shared" si="92"/>
        <v>8.6013784318131857E-3</v>
      </c>
      <c r="AS129" s="71">
        <f t="shared" si="93"/>
        <v>4.3999999999999997E-2</v>
      </c>
      <c r="AT129" s="74">
        <f t="shared" si="94"/>
        <v>9.9000000000000001E-6</v>
      </c>
      <c r="AU129" s="73">
        <f t="shared" si="73"/>
        <v>209.2914463951538</v>
      </c>
      <c r="AV129" s="71">
        <f t="shared" si="74"/>
        <v>182.99999999999997</v>
      </c>
      <c r="AW129" s="74">
        <f t="shared" si="75"/>
        <v>46.648990611858693</v>
      </c>
    </row>
    <row r="130" spans="17:49" x14ac:dyDescent="0.25">
      <c r="Q130">
        <v>123</v>
      </c>
      <c r="R130" s="73">
        <f t="shared" si="49"/>
        <v>50</v>
      </c>
      <c r="S130" s="71">
        <f t="shared" si="79"/>
        <v>3.69</v>
      </c>
      <c r="T130" s="71">
        <f t="shared" si="51"/>
        <v>3</v>
      </c>
      <c r="U130" s="74">
        <f t="shared" si="80"/>
        <v>61.5</v>
      </c>
      <c r="V130" s="73">
        <f>IF(Variable_Management!$B$20=3,2,IF((S130*R130/T130)&lt;((T130*(1-(T130/R130)))/(2*Lm*Fsw)),1,2))</f>
        <v>2</v>
      </c>
      <c r="W130" s="71">
        <f t="shared" si="81"/>
        <v>0.94</v>
      </c>
      <c r="X130" s="74">
        <f t="shared" si="82"/>
        <v>6.0000000000000053E-2</v>
      </c>
      <c r="Y130" s="73">
        <f t="shared" si="83"/>
        <v>0.64090909090909098</v>
      </c>
      <c r="Z130" s="71">
        <f t="shared" si="77"/>
        <v>61.820454545454545</v>
      </c>
      <c r="AA130" s="71">
        <f t="shared" si="78"/>
        <v>61.500278295076853</v>
      </c>
      <c r="AB130" s="71">
        <v>0</v>
      </c>
      <c r="AC130" s="71">
        <f t="shared" si="84"/>
        <v>28.367131727789257</v>
      </c>
      <c r="AD130" s="74">
        <f t="shared" si="67"/>
        <v>28.367131727789257</v>
      </c>
      <c r="AE130" s="73">
        <f t="shared" si="76"/>
        <v>57.809999999999995</v>
      </c>
      <c r="AF130" s="71">
        <f t="shared" si="68"/>
        <v>59.626732063308538</v>
      </c>
      <c r="AG130" s="71">
        <f t="shared" si="85"/>
        <v>132.25891496764464</v>
      </c>
      <c r="AH130" s="71">
        <f t="shared" si="86"/>
        <v>12.834455324357405</v>
      </c>
      <c r="AI130" s="74">
        <f t="shared" si="69"/>
        <v>145.09337029200205</v>
      </c>
      <c r="AJ130" s="73">
        <f t="shared" si="70"/>
        <v>3.6900000000000031</v>
      </c>
      <c r="AK130" s="71">
        <f t="shared" si="87"/>
        <v>15.064430086210173</v>
      </c>
      <c r="AL130" s="71">
        <f t="shared" si="88"/>
        <v>1.9970460736363653</v>
      </c>
      <c r="AM130" s="71">
        <f t="shared" si="95"/>
        <v>0.73761600000000005</v>
      </c>
      <c r="AN130" s="188">
        <f t="shared" si="89"/>
        <v>0.43521599999999999</v>
      </c>
      <c r="AO130" s="74">
        <f t="shared" si="72"/>
        <v>3.1698780736363656</v>
      </c>
      <c r="AP130" s="73">
        <f t="shared" si="90"/>
        <v>7.5645684607438026</v>
      </c>
      <c r="AQ130" s="206">
        <f t="shared" si="91"/>
        <v>28.367131727789257</v>
      </c>
      <c r="AR130" s="206">
        <f t="shared" si="92"/>
        <v>8.6013784318131857E-3</v>
      </c>
      <c r="AS130" s="71">
        <f t="shared" si="93"/>
        <v>4.3999999999999997E-2</v>
      </c>
      <c r="AT130" s="74">
        <f t="shared" si="94"/>
        <v>9.9000000000000001E-6</v>
      </c>
      <c r="AU130" s="73">
        <f t="shared" si="73"/>
        <v>212.61469156039257</v>
      </c>
      <c r="AV130" s="71">
        <f t="shared" si="74"/>
        <v>184.5</v>
      </c>
      <c r="AW130" s="74">
        <f t="shared" si="75"/>
        <v>46.460129509447157</v>
      </c>
    </row>
    <row r="131" spans="17:49" x14ac:dyDescent="0.25">
      <c r="Q131">
        <v>124</v>
      </c>
      <c r="R131" s="73">
        <f t="shared" si="49"/>
        <v>50</v>
      </c>
      <c r="S131" s="71">
        <f t="shared" si="79"/>
        <v>3.7199999999999998</v>
      </c>
      <c r="T131" s="71">
        <f t="shared" si="51"/>
        <v>3</v>
      </c>
      <c r="U131" s="74">
        <f t="shared" si="80"/>
        <v>62</v>
      </c>
      <c r="V131" s="73">
        <f>IF(Variable_Management!$B$20=3,2,IF((S131*R131/T131)&lt;((T131*(1-(T131/R131)))/(2*Lm*Fsw)),1,2))</f>
        <v>2</v>
      </c>
      <c r="W131" s="71">
        <f t="shared" si="81"/>
        <v>0.94</v>
      </c>
      <c r="X131" s="74">
        <f t="shared" si="82"/>
        <v>6.0000000000000053E-2</v>
      </c>
      <c r="Y131" s="73">
        <f t="shared" si="83"/>
        <v>0.64090909090909098</v>
      </c>
      <c r="Z131" s="71">
        <f t="shared" si="77"/>
        <v>62.320454545454545</v>
      </c>
      <c r="AA131" s="71">
        <f t="shared" si="78"/>
        <v>62.000276050771745</v>
      </c>
      <c r="AB131" s="71">
        <v>0</v>
      </c>
      <c r="AC131" s="71">
        <f t="shared" si="84"/>
        <v>28.830256727789251</v>
      </c>
      <c r="AD131" s="74">
        <f t="shared" si="67"/>
        <v>28.830256727789251</v>
      </c>
      <c r="AE131" s="73">
        <f t="shared" si="76"/>
        <v>58.279999999999994</v>
      </c>
      <c r="AF131" s="71">
        <f t="shared" si="68"/>
        <v>60.111497873115646</v>
      </c>
      <c r="AG131" s="71">
        <f t="shared" si="85"/>
        <v>134.41818896764462</v>
      </c>
      <c r="AH131" s="71">
        <f t="shared" si="86"/>
        <v>12.938800489596083</v>
      </c>
      <c r="AI131" s="74">
        <f t="shared" si="69"/>
        <v>147.3569894572407</v>
      </c>
      <c r="AJ131" s="73">
        <f t="shared" si="70"/>
        <v>3.7200000000000033</v>
      </c>
      <c r="AK131" s="71">
        <f t="shared" si="87"/>
        <v>15.186904023609099</v>
      </c>
      <c r="AL131" s="71">
        <f t="shared" si="88"/>
        <v>2.0296500736363656</v>
      </c>
      <c r="AM131" s="71">
        <f t="shared" si="95"/>
        <v>0.73761600000000005</v>
      </c>
      <c r="AN131" s="188">
        <f t="shared" si="89"/>
        <v>0.43873600000000001</v>
      </c>
      <c r="AO131" s="74">
        <f t="shared" si="72"/>
        <v>3.2060020736363657</v>
      </c>
      <c r="AP131" s="73">
        <f t="shared" si="90"/>
        <v>7.6880684607438008</v>
      </c>
      <c r="AQ131" s="206">
        <f t="shared" si="91"/>
        <v>28.830256727789251</v>
      </c>
      <c r="AR131" s="206">
        <f t="shared" si="92"/>
        <v>8.6013784318131857E-3</v>
      </c>
      <c r="AS131" s="71">
        <f t="shared" si="93"/>
        <v>4.3999999999999997E-2</v>
      </c>
      <c r="AT131" s="74">
        <f t="shared" si="94"/>
        <v>9.9000000000000001E-6</v>
      </c>
      <c r="AU131" s="73">
        <f t="shared" si="73"/>
        <v>215.96418472563121</v>
      </c>
      <c r="AV131" s="71">
        <f t="shared" si="74"/>
        <v>186</v>
      </c>
      <c r="AW131" s="74">
        <f t="shared" si="75"/>
        <v>46.272779284293222</v>
      </c>
    </row>
    <row r="132" spans="17:49" x14ac:dyDescent="0.25">
      <c r="Q132">
        <v>125</v>
      </c>
      <c r="R132" s="73">
        <f t="shared" si="49"/>
        <v>50</v>
      </c>
      <c r="S132" s="71">
        <f t="shared" si="79"/>
        <v>3.75</v>
      </c>
      <c r="T132" s="71">
        <f t="shared" si="51"/>
        <v>3</v>
      </c>
      <c r="U132" s="74">
        <f t="shared" si="80"/>
        <v>62.5</v>
      </c>
      <c r="V132" s="73">
        <f>IF(Variable_Management!$B$20=3,2,IF((S132*R132/T132)&lt;((T132*(1-(T132/R132)))/(2*Lm*Fsw)),1,2))</f>
        <v>2</v>
      </c>
      <c r="W132" s="71">
        <f t="shared" si="81"/>
        <v>0.94</v>
      </c>
      <c r="X132" s="74">
        <f t="shared" si="82"/>
        <v>6.0000000000000053E-2</v>
      </c>
      <c r="Y132" s="73">
        <f t="shared" si="83"/>
        <v>0.64090909090909098</v>
      </c>
      <c r="Z132" s="71">
        <f t="shared" si="77"/>
        <v>62.820454545454545</v>
      </c>
      <c r="AA132" s="71">
        <f t="shared" si="78"/>
        <v>62.500273842375286</v>
      </c>
      <c r="AB132" s="71">
        <v>0</v>
      </c>
      <c r="AC132" s="71">
        <f t="shared" si="84"/>
        <v>29.29713172778925</v>
      </c>
      <c r="AD132" s="74">
        <f t="shared" si="67"/>
        <v>29.29713172778925</v>
      </c>
      <c r="AE132" s="73">
        <f t="shared" si="76"/>
        <v>58.75</v>
      </c>
      <c r="AF132" s="71">
        <f t="shared" si="68"/>
        <v>60.596263717737472</v>
      </c>
      <c r="AG132" s="71">
        <f t="shared" si="85"/>
        <v>136.59494696764466</v>
      </c>
      <c r="AH132" s="71">
        <f t="shared" si="86"/>
        <v>13.043145654834762</v>
      </c>
      <c r="AI132" s="74">
        <f t="shared" si="69"/>
        <v>149.63809262247943</v>
      </c>
      <c r="AJ132" s="73">
        <f t="shared" si="70"/>
        <v>3.7500000000000036</v>
      </c>
      <c r="AK132" s="71">
        <f t="shared" si="87"/>
        <v>15.30937796980381</v>
      </c>
      <c r="AL132" s="71">
        <f t="shared" si="88"/>
        <v>2.0625180736363653</v>
      </c>
      <c r="AM132" s="71">
        <f t="shared" si="95"/>
        <v>0.73761600000000005</v>
      </c>
      <c r="AN132" s="188">
        <f t="shared" si="89"/>
        <v>0.44225600000000004</v>
      </c>
      <c r="AO132" s="74">
        <f t="shared" si="72"/>
        <v>3.2423900736363653</v>
      </c>
      <c r="AP132" s="73">
        <f t="shared" si="90"/>
        <v>7.8125684607438011</v>
      </c>
      <c r="AQ132" s="206">
        <f t="shared" si="91"/>
        <v>29.29713172778925</v>
      </c>
      <c r="AR132" s="206">
        <f t="shared" si="92"/>
        <v>8.6013784318131857E-3</v>
      </c>
      <c r="AS132" s="71">
        <f t="shared" si="93"/>
        <v>4.3999999999999997E-2</v>
      </c>
      <c r="AT132" s="74">
        <f t="shared" si="94"/>
        <v>9.9000000000000001E-6</v>
      </c>
      <c r="AU132" s="73">
        <f t="shared" si="73"/>
        <v>219.33992589086995</v>
      </c>
      <c r="AV132" s="71">
        <f t="shared" si="74"/>
        <v>187.5</v>
      </c>
      <c r="AW132" s="74">
        <f t="shared" si="75"/>
        <v>46.086922169554882</v>
      </c>
    </row>
    <row r="133" spans="17:49" x14ac:dyDescent="0.25">
      <c r="Q133">
        <v>126</v>
      </c>
      <c r="R133" s="73">
        <f t="shared" si="49"/>
        <v>50</v>
      </c>
      <c r="S133" s="71">
        <f t="shared" si="79"/>
        <v>3.78</v>
      </c>
      <c r="T133" s="71">
        <f t="shared" si="51"/>
        <v>3</v>
      </c>
      <c r="U133" s="74">
        <f t="shared" si="80"/>
        <v>63</v>
      </c>
      <c r="V133" s="73">
        <f>IF(Variable_Management!$B$20=3,2,IF((S133*R133/T133)&lt;((T133*(1-(T133/R133)))/(2*Lm*Fsw)),1,2))</f>
        <v>2</v>
      </c>
      <c r="W133" s="71">
        <f t="shared" si="81"/>
        <v>0.94</v>
      </c>
      <c r="X133" s="74">
        <f t="shared" si="82"/>
        <v>6.0000000000000053E-2</v>
      </c>
      <c r="Y133" s="73">
        <f t="shared" si="83"/>
        <v>0.64090909090909098</v>
      </c>
      <c r="Z133" s="71">
        <f t="shared" si="77"/>
        <v>63.320454545454545</v>
      </c>
      <c r="AA133" s="71">
        <f t="shared" si="78"/>
        <v>63.000271669032514</v>
      </c>
      <c r="AB133" s="71">
        <v>0</v>
      </c>
      <c r="AC133" s="71">
        <f t="shared" si="84"/>
        <v>29.767756727789255</v>
      </c>
      <c r="AD133" s="74">
        <f t="shared" si="67"/>
        <v>29.767756727789255</v>
      </c>
      <c r="AE133" s="73">
        <f t="shared" si="76"/>
        <v>59.22</v>
      </c>
      <c r="AF133" s="71">
        <f t="shared" si="68"/>
        <v>61.081029596345104</v>
      </c>
      <c r="AG133" s="71">
        <f t="shared" si="85"/>
        <v>138.78918896764463</v>
      </c>
      <c r="AH133" s="71">
        <f t="shared" si="86"/>
        <v>13.14749082007344</v>
      </c>
      <c r="AI133" s="74">
        <f t="shared" si="69"/>
        <v>151.93667978771808</v>
      </c>
      <c r="AJ133" s="73">
        <f t="shared" si="70"/>
        <v>3.7800000000000034</v>
      </c>
      <c r="AK133" s="71">
        <f t="shared" si="87"/>
        <v>15.431851924584887</v>
      </c>
      <c r="AL133" s="71">
        <f t="shared" si="88"/>
        <v>2.0956500736363655</v>
      </c>
      <c r="AM133" s="71">
        <f t="shared" si="95"/>
        <v>0.73761600000000005</v>
      </c>
      <c r="AN133" s="188">
        <f t="shared" si="89"/>
        <v>0.44577600000000001</v>
      </c>
      <c r="AO133" s="74">
        <f t="shared" si="72"/>
        <v>3.2790420736363655</v>
      </c>
      <c r="AP133" s="73">
        <f t="shared" si="90"/>
        <v>7.9380684607438017</v>
      </c>
      <c r="AQ133" s="206">
        <f t="shared" si="91"/>
        <v>29.767756727789255</v>
      </c>
      <c r="AR133" s="206">
        <f t="shared" si="92"/>
        <v>8.6013784318131857E-3</v>
      </c>
      <c r="AS133" s="71">
        <f t="shared" si="93"/>
        <v>4.3999999999999997E-2</v>
      </c>
      <c r="AT133" s="74">
        <f t="shared" si="94"/>
        <v>9.9000000000000001E-6</v>
      </c>
      <c r="AU133" s="73">
        <f t="shared" si="73"/>
        <v>222.74191505610858</v>
      </c>
      <c r="AV133" s="71">
        <f t="shared" si="74"/>
        <v>189</v>
      </c>
      <c r="AW133" s="74">
        <f t="shared" si="75"/>
        <v>45.902540666583512</v>
      </c>
    </row>
    <row r="134" spans="17:49" x14ac:dyDescent="0.25">
      <c r="Q134">
        <v>127</v>
      </c>
      <c r="R134" s="73">
        <f t="shared" si="49"/>
        <v>50</v>
      </c>
      <c r="S134" s="71">
        <f t="shared" si="79"/>
        <v>3.81</v>
      </c>
      <c r="T134" s="71">
        <f t="shared" si="51"/>
        <v>3</v>
      </c>
      <c r="U134" s="74">
        <f t="shared" si="80"/>
        <v>63.5</v>
      </c>
      <c r="V134" s="73">
        <f>IF(Variable_Management!$B$20=3,2,IF((S134*R134/T134)&lt;((T134*(1-(T134/R134)))/(2*Lm*Fsw)),1,2))</f>
        <v>2</v>
      </c>
      <c r="W134" s="71">
        <f t="shared" si="81"/>
        <v>0.94</v>
      </c>
      <c r="X134" s="74">
        <f t="shared" si="82"/>
        <v>6.0000000000000053E-2</v>
      </c>
      <c r="Y134" s="73">
        <f t="shared" si="83"/>
        <v>0.64090909090909098</v>
      </c>
      <c r="Z134" s="71">
        <f t="shared" si="77"/>
        <v>63.820454545454545</v>
      </c>
      <c r="AA134" s="71">
        <f t="shared" si="78"/>
        <v>63.500269529915386</v>
      </c>
      <c r="AB134" s="71">
        <v>0</v>
      </c>
      <c r="AC134" s="71">
        <f t="shared" si="84"/>
        <v>30.24213172778925</v>
      </c>
      <c r="AD134" s="74">
        <f t="shared" si="67"/>
        <v>30.24213172778925</v>
      </c>
      <c r="AE134" s="73">
        <f t="shared" si="76"/>
        <v>59.69</v>
      </c>
      <c r="AF134" s="71">
        <f t="shared" si="68"/>
        <v>61.565795508135736</v>
      </c>
      <c r="AG134" s="71">
        <f t="shared" si="85"/>
        <v>141.00091496764463</v>
      </c>
      <c r="AH134" s="71">
        <f t="shared" si="86"/>
        <v>13.251835985312118</v>
      </c>
      <c r="AI134" s="74">
        <f t="shared" si="69"/>
        <v>154.25275095295675</v>
      </c>
      <c r="AJ134" s="73">
        <f t="shared" si="70"/>
        <v>3.8100000000000032</v>
      </c>
      <c r="AK134" s="71">
        <f t="shared" si="87"/>
        <v>15.554325887749499</v>
      </c>
      <c r="AL134" s="71">
        <f t="shared" si="88"/>
        <v>2.1290460736363657</v>
      </c>
      <c r="AM134" s="71">
        <f t="shared" si="95"/>
        <v>0.73761600000000005</v>
      </c>
      <c r="AN134" s="188">
        <f t="shared" si="89"/>
        <v>0.44929600000000003</v>
      </c>
      <c r="AO134" s="74">
        <f t="shared" si="72"/>
        <v>3.3159580736363656</v>
      </c>
      <c r="AP134" s="73">
        <f t="shared" si="90"/>
        <v>8.0645684607438</v>
      </c>
      <c r="AQ134" s="206">
        <f t="shared" si="91"/>
        <v>30.24213172778925</v>
      </c>
      <c r="AR134" s="206">
        <f t="shared" si="92"/>
        <v>8.6013784318131857E-3</v>
      </c>
      <c r="AS134" s="71">
        <f t="shared" si="93"/>
        <v>4.3999999999999997E-2</v>
      </c>
      <c r="AT134" s="74">
        <f t="shared" si="94"/>
        <v>9.9000000000000001E-6</v>
      </c>
      <c r="AU134" s="73">
        <f t="shared" si="73"/>
        <v>226.17015222134725</v>
      </c>
      <c r="AV134" s="71">
        <f t="shared" si="74"/>
        <v>190.5</v>
      </c>
      <c r="AW134" s="74">
        <f t="shared" si="75"/>
        <v>45.719617540255406</v>
      </c>
    </row>
    <row r="135" spans="17:49" x14ac:dyDescent="0.25">
      <c r="Q135">
        <v>128</v>
      </c>
      <c r="R135" s="73">
        <f t="shared" ref="R135:R157" si="96">VOUT</f>
        <v>50</v>
      </c>
      <c r="S135" s="71">
        <f t="shared" ref="S135:S157" si="97">Q135*$O$12</f>
        <v>3.84</v>
      </c>
      <c r="T135" s="71">
        <f t="shared" ref="T135:T157" si="98">VIN_var</f>
        <v>3</v>
      </c>
      <c r="U135" s="74">
        <f t="shared" ref="U135:U157" si="99">(R135*S135)/(T135*EFF_est)</f>
        <v>64</v>
      </c>
      <c r="V135" s="73">
        <f>IF(Variable_Management!$B$20=3,2,IF((S135*R135/T135)&lt;((T135*(1-(T135/R135)))/(2*Lm*Fsw)),1,2))</f>
        <v>2</v>
      </c>
      <c r="W135" s="71">
        <f t="shared" ref="W135:W157" si="100">CHOOSE(V135,SQRT((2*S135*Lm*Fsw*(R135-T135))/((T135)^2)),1-(T135/R135))</f>
        <v>0.94</v>
      </c>
      <c r="X135" s="74">
        <f t="shared" ref="X135:X157" si="101">CHOOSE(V135,(Lm*Z135*Fsw)/(R135-T135),1-W135)</f>
        <v>6.0000000000000053E-2</v>
      </c>
      <c r="Y135" s="73">
        <f t="shared" ref="Y135:Y157" si="102">(T135*W135)/(Lm*Fsw)</f>
        <v>0.64090909090909098</v>
      </c>
      <c r="Z135" s="71">
        <f t="shared" si="77"/>
        <v>64.320454545454552</v>
      </c>
      <c r="AA135" s="71">
        <f t="shared" si="78"/>
        <v>64.000267424221761</v>
      </c>
      <c r="AB135" s="71">
        <v>0</v>
      </c>
      <c r="AC135" s="71">
        <f t="shared" ref="AC135:AC157" si="103">(AA135^2)*Rdcr</f>
        <v>30.720256727789256</v>
      </c>
      <c r="AD135" s="74">
        <f t="shared" si="67"/>
        <v>30.720256727789256</v>
      </c>
      <c r="AE135" s="73">
        <f t="shared" si="76"/>
        <v>60.16</v>
      </c>
      <c r="AF135" s="71">
        <f t="shared" si="68"/>
        <v>62.050561452331657</v>
      </c>
      <c r="AG135" s="71">
        <f t="shared" ref="AG135:AG157" si="104">(AF135^2)*RDS_on</f>
        <v>143.23012496764466</v>
      </c>
      <c r="AH135" s="71">
        <f t="shared" ref="AH135:AH157" si="105">((R135*U135)/2)*Fsw*(tr_sw+tf_sw)</f>
        <v>13.356181150550796</v>
      </c>
      <c r="AI135" s="74">
        <f t="shared" si="69"/>
        <v>156.58630611819547</v>
      </c>
      <c r="AJ135" s="73">
        <f t="shared" si="70"/>
        <v>3.8400000000000034</v>
      </c>
      <c r="AK135" s="71">
        <f t="shared" ref="AK135:AK157" si="106">CHOOSE(V135,Z135*SQRT(X135/3),SQRT(X135*((Z135^2)+((Y135^2)/3)-(Y135*Z135))))</f>
        <v>15.676799859101166</v>
      </c>
      <c r="AL135" s="71">
        <f t="shared" ref="AL135:AL157" si="107">(AK135^2)*RDS_on_HS</f>
        <v>2.1627060736363664</v>
      </c>
      <c r="AM135" s="71">
        <f t="shared" si="95"/>
        <v>0.73761600000000005</v>
      </c>
      <c r="AN135" s="188">
        <f t="shared" ref="AN135:AN157" si="108">Vd_rect*t_dead*Fsw*Z135</f>
        <v>0.45281600000000005</v>
      </c>
      <c r="AO135" s="74">
        <f t="shared" si="72"/>
        <v>3.3531380736363663</v>
      </c>
      <c r="AP135" s="73">
        <f t="shared" ref="AP135:AP157" si="109">(AA135^2)*R_cs</f>
        <v>8.1920684607438012</v>
      </c>
      <c r="AQ135" s="206">
        <f t="shared" ref="AQ135:AQ157" si="110">Rdcr*AA135^2</f>
        <v>30.720256727789256</v>
      </c>
      <c r="AR135" s="206">
        <f t="shared" ref="AR135:AR157" si="111">ABS(7.759*10^-3*Fsw^0.9458*(0.00787*Y135)^2.304)</f>
        <v>8.6013784318131857E-3</v>
      </c>
      <c r="AS135" s="71">
        <f t="shared" ref="AS135:AS157" si="112">(Qg_tot+Qg_tot_HS)*Vcc*Fsw</f>
        <v>4.3999999999999997E-2</v>
      </c>
      <c r="AT135" s="74">
        <f t="shared" ref="AT135:AT157" si="113">IQ*T135</f>
        <v>9.9000000000000001E-6</v>
      </c>
      <c r="AU135" s="73">
        <f t="shared" si="73"/>
        <v>229.62463738658599</v>
      </c>
      <c r="AV135" s="71">
        <f t="shared" si="74"/>
        <v>192</v>
      </c>
      <c r="AW135" s="74">
        <f t="shared" si="75"/>
        <v>45.538135814382201</v>
      </c>
    </row>
    <row r="136" spans="17:49" x14ac:dyDescent="0.25">
      <c r="Q136">
        <v>129</v>
      </c>
      <c r="R136" s="73">
        <f t="shared" si="96"/>
        <v>50</v>
      </c>
      <c r="S136" s="71">
        <f t="shared" si="97"/>
        <v>3.8699999999999997</v>
      </c>
      <c r="T136" s="71">
        <f t="shared" si="98"/>
        <v>3</v>
      </c>
      <c r="U136" s="74">
        <f t="shared" si="99"/>
        <v>64.499999999999986</v>
      </c>
      <c r="V136" s="73">
        <f>IF(Variable_Management!$B$20=3,2,IF((S136*R136/T136)&lt;((T136*(1-(T136/R136)))/(2*Lm*Fsw)),1,2))</f>
        <v>2</v>
      </c>
      <c r="W136" s="71">
        <f t="shared" si="100"/>
        <v>0.94</v>
      </c>
      <c r="X136" s="74">
        <f t="shared" si="101"/>
        <v>6.0000000000000053E-2</v>
      </c>
      <c r="Y136" s="73">
        <f t="shared" si="102"/>
        <v>0.64090909090909098</v>
      </c>
      <c r="Z136" s="71">
        <f t="shared" si="77"/>
        <v>64.820454545454538</v>
      </c>
      <c r="AA136" s="71">
        <f t="shared" si="78"/>
        <v>64.50026535117432</v>
      </c>
      <c r="AB136" s="71">
        <v>0</v>
      </c>
      <c r="AC136" s="71">
        <f t="shared" si="103"/>
        <v>31.20213172778924</v>
      </c>
      <c r="AD136" s="74">
        <f t="shared" ref="AD136:AD157" si="114">AB136+AC136</f>
        <v>31.20213172778924</v>
      </c>
      <c r="AE136" s="73">
        <f t="shared" si="76"/>
        <v>60.629999999999981</v>
      </c>
      <c r="AF136" s="71">
        <f t="shared" ref="AF136:AF157" si="115">CHOOSE(V136,Z136*SQRT(W136/3),SQRT(W136*((Z136^2)+((Y136^2)/3)-(Z136*Y136))))</f>
        <v>62.53532742817923</v>
      </c>
      <c r="AG136" s="71">
        <f t="shared" si="104"/>
        <v>145.47681896764459</v>
      </c>
      <c r="AH136" s="71">
        <f t="shared" si="105"/>
        <v>13.460526315789471</v>
      </c>
      <c r="AI136" s="74">
        <f t="shared" ref="AI136:AI157" si="116">AG136+AH136</f>
        <v>158.93734528343407</v>
      </c>
      <c r="AJ136" s="73">
        <f t="shared" ref="AJ136:AJ156" si="117">X136*U136</f>
        <v>3.8700000000000028</v>
      </c>
      <c r="AK136" s="71">
        <f t="shared" si="106"/>
        <v>15.799273838449482</v>
      </c>
      <c r="AL136" s="71">
        <f t="shared" si="107"/>
        <v>2.1966300736363653</v>
      </c>
      <c r="AM136" s="71">
        <f t="shared" ref="AM136:AM157" si="118">CHOOSE(V136,(R136+Vd_rect)*Qrr*Fsw,(R136+Vd_rect)*Qrr*Fsw)</f>
        <v>0.73761600000000005</v>
      </c>
      <c r="AN136" s="188">
        <f t="shared" si="108"/>
        <v>0.45633599999999996</v>
      </c>
      <c r="AO136" s="74">
        <f t="shared" ref="AO136:AO157" si="119">AL136+AM136+AN136</f>
        <v>3.3905820736363652</v>
      </c>
      <c r="AP136" s="73">
        <f t="shared" si="109"/>
        <v>8.3205684607437984</v>
      </c>
      <c r="AQ136" s="206">
        <f t="shared" si="110"/>
        <v>31.20213172778924</v>
      </c>
      <c r="AR136" s="206">
        <f t="shared" si="111"/>
        <v>8.6013784318131857E-3</v>
      </c>
      <c r="AS136" s="71">
        <f t="shared" si="112"/>
        <v>4.3999999999999997E-2</v>
      </c>
      <c r="AT136" s="74">
        <f t="shared" si="113"/>
        <v>9.9000000000000001E-6</v>
      </c>
      <c r="AU136" s="73">
        <f t="shared" ref="AU136:AU157" si="120">AP136+AO136+AI136+AD136+AS136+AT136+AQ136+AR136</f>
        <v>233.10537055182454</v>
      </c>
      <c r="AV136" s="71">
        <f t="shared" ref="AV136:AV157" si="121">R136*S136</f>
        <v>193.49999999999997</v>
      </c>
      <c r="AW136" s="74">
        <f t="shared" ref="AW136:AW156" si="122">(AV136/(AV136+AU136))*100</f>
        <v>45.358078767199522</v>
      </c>
    </row>
    <row r="137" spans="17:49" x14ac:dyDescent="0.25">
      <c r="Q137">
        <v>130</v>
      </c>
      <c r="R137" s="73">
        <f t="shared" si="96"/>
        <v>50</v>
      </c>
      <c r="S137" s="71">
        <f t="shared" si="97"/>
        <v>3.9</v>
      </c>
      <c r="T137" s="71">
        <f t="shared" si="98"/>
        <v>3</v>
      </c>
      <c r="U137" s="74">
        <f t="shared" si="99"/>
        <v>65</v>
      </c>
      <c r="V137" s="73">
        <f>IF(Variable_Management!$B$20=3,2,IF((S137*R137/T137)&lt;((T137*(1-(T137/R137)))/(2*Lm*Fsw)),1,2))</f>
        <v>2</v>
      </c>
      <c r="W137" s="71">
        <f t="shared" si="100"/>
        <v>0.94</v>
      </c>
      <c r="X137" s="74">
        <f t="shared" si="101"/>
        <v>6.0000000000000053E-2</v>
      </c>
      <c r="Y137" s="73">
        <f t="shared" si="102"/>
        <v>0.64090909090909098</v>
      </c>
      <c r="Z137" s="71">
        <f t="shared" si="77"/>
        <v>65.320454545454552</v>
      </c>
      <c r="AA137" s="71">
        <f t="shared" si="78"/>
        <v>65.000263310019761</v>
      </c>
      <c r="AB137" s="71">
        <v>0</v>
      </c>
      <c r="AC137" s="71">
        <f t="shared" si="103"/>
        <v>31.687756727789253</v>
      </c>
      <c r="AD137" s="74">
        <f t="shared" si="114"/>
        <v>31.687756727789253</v>
      </c>
      <c r="AE137" s="73">
        <f t="shared" ref="AE137:AE157" si="123">U137*W137</f>
        <v>61.099999999999994</v>
      </c>
      <c r="AF137" s="71">
        <f t="shared" si="115"/>
        <v>63.020093434948087</v>
      </c>
      <c r="AG137" s="71">
        <f t="shared" si="104"/>
        <v>147.74099696764463</v>
      </c>
      <c r="AH137" s="71">
        <f t="shared" si="105"/>
        <v>13.564871481028153</v>
      </c>
      <c r="AI137" s="74">
        <f t="shared" si="116"/>
        <v>161.30586844867278</v>
      </c>
      <c r="AJ137" s="73">
        <f t="shared" si="117"/>
        <v>3.9000000000000035</v>
      </c>
      <c r="AK137" s="71">
        <f t="shared" si="106"/>
        <v>15.921747825609923</v>
      </c>
      <c r="AL137" s="71">
        <f t="shared" si="107"/>
        <v>2.2308180736363661</v>
      </c>
      <c r="AM137" s="71">
        <f t="shared" si="118"/>
        <v>0.73761600000000005</v>
      </c>
      <c r="AN137" s="188">
        <f t="shared" si="108"/>
        <v>0.45985600000000004</v>
      </c>
      <c r="AO137" s="74">
        <f t="shared" si="119"/>
        <v>3.428290073636366</v>
      </c>
      <c r="AP137" s="73">
        <f t="shared" si="109"/>
        <v>8.4500684607438021</v>
      </c>
      <c r="AQ137" s="206">
        <f t="shared" si="110"/>
        <v>31.687756727789253</v>
      </c>
      <c r="AR137" s="206">
        <f t="shared" si="111"/>
        <v>8.6013784318131857E-3</v>
      </c>
      <c r="AS137" s="71">
        <f t="shared" si="112"/>
        <v>4.3999999999999997E-2</v>
      </c>
      <c r="AT137" s="74">
        <f t="shared" si="113"/>
        <v>9.9000000000000001E-6</v>
      </c>
      <c r="AU137" s="73">
        <f t="shared" si="120"/>
        <v>236.61235171706332</v>
      </c>
      <c r="AV137" s="71">
        <f t="shared" si="121"/>
        <v>195</v>
      </c>
      <c r="AW137" s="74">
        <f t="shared" si="122"/>
        <v>45.179429926933409</v>
      </c>
    </row>
    <row r="138" spans="17:49" x14ac:dyDescent="0.25">
      <c r="Q138">
        <v>131</v>
      </c>
      <c r="R138" s="73">
        <f t="shared" si="96"/>
        <v>50</v>
      </c>
      <c r="S138" s="71">
        <f t="shared" si="97"/>
        <v>3.9299999999999997</v>
      </c>
      <c r="T138" s="71">
        <f t="shared" si="98"/>
        <v>3</v>
      </c>
      <c r="U138" s="74">
        <f t="shared" si="99"/>
        <v>65.5</v>
      </c>
      <c r="V138" s="73">
        <f>IF(Variable_Management!$B$20=3,2,IF((S138*R138/T138)&lt;((T138*(1-(T138/R138)))/(2*Lm*Fsw)),1,2))</f>
        <v>2</v>
      </c>
      <c r="W138" s="71">
        <f t="shared" si="100"/>
        <v>0.94</v>
      </c>
      <c r="X138" s="74">
        <f t="shared" si="101"/>
        <v>6.0000000000000053E-2</v>
      </c>
      <c r="Y138" s="73">
        <f t="shared" si="102"/>
        <v>0.64090909090909098</v>
      </c>
      <c r="Z138" s="71">
        <f t="shared" si="77"/>
        <v>65.820454545454552</v>
      </c>
      <c r="AA138" s="71">
        <f t="shared" si="78"/>
        <v>65.50026130002766</v>
      </c>
      <c r="AB138" s="71">
        <v>0</v>
      </c>
      <c r="AC138" s="71">
        <f t="shared" si="103"/>
        <v>32.177131727789252</v>
      </c>
      <c r="AD138" s="74">
        <f t="shared" si="114"/>
        <v>32.177131727789252</v>
      </c>
      <c r="AE138" s="73">
        <f t="shared" si="123"/>
        <v>61.569999999999993</v>
      </c>
      <c r="AF138" s="71">
        <f t="shared" si="115"/>
        <v>63.504859471930075</v>
      </c>
      <c r="AG138" s="71">
        <f t="shared" si="104"/>
        <v>150.02265896764465</v>
      </c>
      <c r="AH138" s="71">
        <f t="shared" si="105"/>
        <v>13.669216646266831</v>
      </c>
      <c r="AI138" s="74">
        <f t="shared" si="116"/>
        <v>163.69187561391146</v>
      </c>
      <c r="AJ138" s="73">
        <f t="shared" si="117"/>
        <v>3.9300000000000033</v>
      </c>
      <c r="AK138" s="71">
        <f t="shared" si="106"/>
        <v>16.044221820403578</v>
      </c>
      <c r="AL138" s="71">
        <f t="shared" si="107"/>
        <v>2.265270073636366</v>
      </c>
      <c r="AM138" s="71">
        <f t="shared" si="118"/>
        <v>0.73761600000000005</v>
      </c>
      <c r="AN138" s="188">
        <f t="shared" si="108"/>
        <v>0.46337600000000007</v>
      </c>
      <c r="AO138" s="74">
        <f t="shared" si="119"/>
        <v>3.4662620736363663</v>
      </c>
      <c r="AP138" s="73">
        <f t="shared" si="109"/>
        <v>8.5805684607438018</v>
      </c>
      <c r="AQ138" s="206">
        <f t="shared" si="110"/>
        <v>32.177131727789252</v>
      </c>
      <c r="AR138" s="206">
        <f t="shared" si="111"/>
        <v>8.6013784318131857E-3</v>
      </c>
      <c r="AS138" s="71">
        <f t="shared" si="112"/>
        <v>4.3999999999999997E-2</v>
      </c>
      <c r="AT138" s="74">
        <f t="shared" si="113"/>
        <v>9.9000000000000001E-6</v>
      </c>
      <c r="AU138" s="73">
        <f t="shared" si="120"/>
        <v>240.145580882302</v>
      </c>
      <c r="AV138" s="71">
        <f t="shared" si="121"/>
        <v>196.5</v>
      </c>
      <c r="AW138" s="74">
        <f t="shared" si="122"/>
        <v>45.002173067444062</v>
      </c>
    </row>
    <row r="139" spans="17:49" x14ac:dyDescent="0.25">
      <c r="Q139">
        <v>132</v>
      </c>
      <c r="R139" s="73">
        <f t="shared" si="96"/>
        <v>50</v>
      </c>
      <c r="S139" s="71">
        <f t="shared" si="97"/>
        <v>3.96</v>
      </c>
      <c r="T139" s="71">
        <f t="shared" si="98"/>
        <v>3</v>
      </c>
      <c r="U139" s="74">
        <f t="shared" si="99"/>
        <v>66</v>
      </c>
      <c r="V139" s="73">
        <f>IF(Variable_Management!$B$20=3,2,IF((S139*R139/T139)&lt;((T139*(1-(T139/R139)))/(2*Lm*Fsw)),1,2))</f>
        <v>2</v>
      </c>
      <c r="W139" s="71">
        <f t="shared" si="100"/>
        <v>0.94</v>
      </c>
      <c r="X139" s="74">
        <f t="shared" si="101"/>
        <v>6.0000000000000053E-2</v>
      </c>
      <c r="Y139" s="73">
        <f t="shared" si="102"/>
        <v>0.64090909090909098</v>
      </c>
      <c r="Z139" s="71">
        <f t="shared" si="77"/>
        <v>66.320454545454552</v>
      </c>
      <c r="AA139" s="71">
        <f t="shared" si="78"/>
        <v>66.000259320489803</v>
      </c>
      <c r="AB139" s="71">
        <v>0</v>
      </c>
      <c r="AC139" s="71">
        <f t="shared" si="103"/>
        <v>32.670256727789251</v>
      </c>
      <c r="AD139" s="74">
        <f t="shared" si="114"/>
        <v>32.670256727789251</v>
      </c>
      <c r="AE139" s="73">
        <f t="shared" si="123"/>
        <v>62.04</v>
      </c>
      <c r="AF139" s="71">
        <f t="shared" si="115"/>
        <v>63.989625538438553</v>
      </c>
      <c r="AG139" s="71">
        <f t="shared" si="104"/>
        <v>152.32180496764465</v>
      </c>
      <c r="AH139" s="71">
        <f t="shared" si="105"/>
        <v>13.773561811505509</v>
      </c>
      <c r="AI139" s="74">
        <f t="shared" si="116"/>
        <v>166.09536677915017</v>
      </c>
      <c r="AJ139" s="73">
        <f t="shared" si="117"/>
        <v>3.9600000000000035</v>
      </c>
      <c r="AK139" s="71">
        <f t="shared" si="106"/>
        <v>16.166695822656973</v>
      </c>
      <c r="AL139" s="71">
        <f t="shared" si="107"/>
        <v>2.2999860736363669</v>
      </c>
      <c r="AM139" s="71">
        <f t="shared" si="118"/>
        <v>0.73761600000000005</v>
      </c>
      <c r="AN139" s="188">
        <f t="shared" si="108"/>
        <v>0.46689600000000009</v>
      </c>
      <c r="AO139" s="74">
        <f t="shared" si="119"/>
        <v>3.5044980736363671</v>
      </c>
      <c r="AP139" s="73">
        <f t="shared" si="109"/>
        <v>8.7120684607438026</v>
      </c>
      <c r="AQ139" s="206">
        <f t="shared" si="110"/>
        <v>32.670256727789251</v>
      </c>
      <c r="AR139" s="206">
        <f t="shared" si="111"/>
        <v>8.6013784318131857E-3</v>
      </c>
      <c r="AS139" s="71">
        <f t="shared" si="112"/>
        <v>4.3999999999999997E-2</v>
      </c>
      <c r="AT139" s="74">
        <f t="shared" si="113"/>
        <v>9.9000000000000001E-6</v>
      </c>
      <c r="AU139" s="73">
        <f t="shared" si="120"/>
        <v>243.70505804754069</v>
      </c>
      <c r="AV139" s="71">
        <f t="shared" si="121"/>
        <v>198</v>
      </c>
      <c r="AW139" s="74">
        <f t="shared" si="122"/>
        <v>44.826292203946025</v>
      </c>
    </row>
    <row r="140" spans="17:49" x14ac:dyDescent="0.25">
      <c r="Q140">
        <v>133</v>
      </c>
      <c r="R140" s="73">
        <f t="shared" si="96"/>
        <v>50</v>
      </c>
      <c r="S140" s="71">
        <f t="shared" si="97"/>
        <v>3.9899999999999998</v>
      </c>
      <c r="T140" s="71">
        <f t="shared" si="98"/>
        <v>3</v>
      </c>
      <c r="U140" s="74">
        <f t="shared" si="99"/>
        <v>66.5</v>
      </c>
      <c r="V140" s="73">
        <f>IF(Variable_Management!$B$20=3,2,IF((S140*R140/T140)&lt;((T140*(1-(T140/R140)))/(2*Lm*Fsw)),1,2))</f>
        <v>2</v>
      </c>
      <c r="W140" s="71">
        <f t="shared" si="100"/>
        <v>0.94</v>
      </c>
      <c r="X140" s="74">
        <f t="shared" si="101"/>
        <v>6.0000000000000053E-2</v>
      </c>
      <c r="Y140" s="73">
        <f t="shared" si="102"/>
        <v>0.64090909090909098</v>
      </c>
      <c r="Z140" s="71">
        <f t="shared" si="77"/>
        <v>66.820454545454552</v>
      </c>
      <c r="AA140" s="71">
        <f t="shared" si="78"/>
        <v>66.500257370719254</v>
      </c>
      <c r="AB140" s="71">
        <v>0</v>
      </c>
      <c r="AC140" s="71">
        <f t="shared" si="103"/>
        <v>33.167131727789254</v>
      </c>
      <c r="AD140" s="74">
        <f t="shared" si="114"/>
        <v>33.167131727789254</v>
      </c>
      <c r="AE140" s="73">
        <f t="shared" si="123"/>
        <v>62.51</v>
      </c>
      <c r="AF140" s="71">
        <f t="shared" si="115"/>
        <v>64.4743916338075</v>
      </c>
      <c r="AG140" s="71">
        <f t="shared" si="104"/>
        <v>154.63843496764463</v>
      </c>
      <c r="AH140" s="71">
        <f t="shared" si="105"/>
        <v>13.877906976744187</v>
      </c>
      <c r="AI140" s="74">
        <f t="shared" si="116"/>
        <v>168.51634194438881</v>
      </c>
      <c r="AJ140" s="73">
        <f t="shared" si="117"/>
        <v>3.9900000000000038</v>
      </c>
      <c r="AK140" s="71">
        <f t="shared" si="106"/>
        <v>16.289169832201832</v>
      </c>
      <c r="AL140" s="71">
        <f t="shared" si="107"/>
        <v>2.3349660736363655</v>
      </c>
      <c r="AM140" s="71">
        <f t="shared" si="118"/>
        <v>0.73761600000000005</v>
      </c>
      <c r="AN140" s="188">
        <f t="shared" si="108"/>
        <v>0.47041600000000006</v>
      </c>
      <c r="AO140" s="74">
        <f t="shared" si="119"/>
        <v>3.5429980736363658</v>
      </c>
      <c r="AP140" s="73">
        <f t="shared" si="109"/>
        <v>8.8445684607438011</v>
      </c>
      <c r="AQ140" s="206">
        <f t="shared" si="110"/>
        <v>33.167131727789254</v>
      </c>
      <c r="AR140" s="206">
        <f t="shared" si="111"/>
        <v>8.6013784318131857E-3</v>
      </c>
      <c r="AS140" s="71">
        <f t="shared" si="112"/>
        <v>4.3999999999999997E-2</v>
      </c>
      <c r="AT140" s="74">
        <f t="shared" si="113"/>
        <v>9.9000000000000001E-6</v>
      </c>
      <c r="AU140" s="73">
        <f t="shared" si="120"/>
        <v>247.29078321277933</v>
      </c>
      <c r="AV140" s="71">
        <f t="shared" si="121"/>
        <v>199.5</v>
      </c>
      <c r="AW140" s="74">
        <f t="shared" si="122"/>
        <v>44.651771588804294</v>
      </c>
    </row>
    <row r="141" spans="17:49" x14ac:dyDescent="0.25">
      <c r="Q141">
        <v>134</v>
      </c>
      <c r="R141" s="73">
        <f t="shared" si="96"/>
        <v>50</v>
      </c>
      <c r="S141" s="71">
        <f t="shared" si="97"/>
        <v>4.0199999999999996</v>
      </c>
      <c r="T141" s="71">
        <f t="shared" si="98"/>
        <v>3</v>
      </c>
      <c r="U141" s="74">
        <f t="shared" si="99"/>
        <v>66.999999999999986</v>
      </c>
      <c r="V141" s="73">
        <f>IF(Variable_Management!$B$20=3,2,IF((S141*R141/T141)&lt;((T141*(1-(T141/R141)))/(2*Lm*Fsw)),1,2))</f>
        <v>2</v>
      </c>
      <c r="W141" s="71">
        <f t="shared" si="100"/>
        <v>0.94</v>
      </c>
      <c r="X141" s="74">
        <f t="shared" si="101"/>
        <v>6.0000000000000053E-2</v>
      </c>
      <c r="Y141" s="73">
        <f t="shared" si="102"/>
        <v>0.64090909090909098</v>
      </c>
      <c r="Z141" s="71">
        <f t="shared" si="77"/>
        <v>67.320454545454538</v>
      </c>
      <c r="AA141" s="71">
        <f t="shared" si="78"/>
        <v>67.000255450049579</v>
      </c>
      <c r="AB141" s="71">
        <v>0</v>
      </c>
      <c r="AC141" s="71">
        <f t="shared" si="103"/>
        <v>33.667756727789232</v>
      </c>
      <c r="AD141" s="74">
        <f t="shared" si="114"/>
        <v>33.667756727789232</v>
      </c>
      <c r="AE141" s="73">
        <f t="shared" si="123"/>
        <v>62.979999999999983</v>
      </c>
      <c r="AF141" s="71">
        <f t="shared" si="115"/>
        <v>64.959157757390798</v>
      </c>
      <c r="AG141" s="71">
        <f t="shared" si="104"/>
        <v>156.9725489676446</v>
      </c>
      <c r="AH141" s="71">
        <f t="shared" si="105"/>
        <v>13.98225214198286</v>
      </c>
      <c r="AI141" s="74">
        <f t="shared" si="116"/>
        <v>170.95480110962745</v>
      </c>
      <c r="AJ141" s="73">
        <f t="shared" si="117"/>
        <v>4.0200000000000031</v>
      </c>
      <c r="AK141" s="71">
        <f t="shared" si="106"/>
        <v>16.411643848874927</v>
      </c>
      <c r="AL141" s="71">
        <f t="shared" si="107"/>
        <v>2.3702100736363656</v>
      </c>
      <c r="AM141" s="71">
        <f t="shared" si="118"/>
        <v>0.73761600000000005</v>
      </c>
      <c r="AN141" s="188">
        <f t="shared" si="108"/>
        <v>0.47393599999999997</v>
      </c>
      <c r="AO141" s="74">
        <f t="shared" si="119"/>
        <v>3.5817620736363658</v>
      </c>
      <c r="AP141" s="73">
        <f t="shared" si="109"/>
        <v>8.9780684607437955</v>
      </c>
      <c r="AQ141" s="206">
        <f t="shared" si="110"/>
        <v>33.667756727789232</v>
      </c>
      <c r="AR141" s="206">
        <f t="shared" si="111"/>
        <v>8.6013784318131857E-3</v>
      </c>
      <c r="AS141" s="71">
        <f t="shared" si="112"/>
        <v>4.3999999999999997E-2</v>
      </c>
      <c r="AT141" s="74">
        <f t="shared" si="113"/>
        <v>9.9000000000000001E-6</v>
      </c>
      <c r="AU141" s="73">
        <f t="shared" si="120"/>
        <v>250.9027563780179</v>
      </c>
      <c r="AV141" s="71">
        <f t="shared" si="121"/>
        <v>200.99999999999997</v>
      </c>
      <c r="AW141" s="74">
        <f t="shared" si="122"/>
        <v>44.478595707405447</v>
      </c>
    </row>
    <row r="142" spans="17:49" x14ac:dyDescent="0.25">
      <c r="Q142">
        <v>135</v>
      </c>
      <c r="R142" s="73">
        <f t="shared" si="96"/>
        <v>50</v>
      </c>
      <c r="S142" s="71">
        <f t="shared" si="97"/>
        <v>4.05</v>
      </c>
      <c r="T142" s="71">
        <f t="shared" si="98"/>
        <v>3</v>
      </c>
      <c r="U142" s="74">
        <f t="shared" si="99"/>
        <v>67.5</v>
      </c>
      <c r="V142" s="73">
        <f>IF(Variable_Management!$B$20=3,2,IF((S142*R142/T142)&lt;((T142*(1-(T142/R142)))/(2*Lm*Fsw)),1,2))</f>
        <v>2</v>
      </c>
      <c r="W142" s="71">
        <f t="shared" si="100"/>
        <v>0.94</v>
      </c>
      <c r="X142" s="74">
        <f t="shared" si="101"/>
        <v>6.0000000000000053E-2</v>
      </c>
      <c r="Y142" s="73">
        <f t="shared" si="102"/>
        <v>0.64090909090909098</v>
      </c>
      <c r="Z142" s="71">
        <f t="shared" si="77"/>
        <v>67.820454545454552</v>
      </c>
      <c r="AA142" s="71">
        <f t="shared" si="78"/>
        <v>67.500253557834142</v>
      </c>
      <c r="AB142" s="71">
        <v>0</v>
      </c>
      <c r="AC142" s="71">
        <f t="shared" si="103"/>
        <v>34.172131727789257</v>
      </c>
      <c r="AD142" s="74">
        <f t="shared" si="114"/>
        <v>34.172131727789257</v>
      </c>
      <c r="AE142" s="73">
        <f t="shared" si="123"/>
        <v>63.449999999999996</v>
      </c>
      <c r="AF142" s="71">
        <f t="shared" si="115"/>
        <v>65.443923908561501</v>
      </c>
      <c r="AG142" s="71">
        <f t="shared" si="104"/>
        <v>159.32414696764468</v>
      </c>
      <c r="AH142" s="71">
        <f t="shared" si="105"/>
        <v>14.086597307221544</v>
      </c>
      <c r="AI142" s="74">
        <f t="shared" si="116"/>
        <v>173.41074427486623</v>
      </c>
      <c r="AJ142" s="73">
        <f t="shared" si="117"/>
        <v>4.0500000000000034</v>
      </c>
      <c r="AK142" s="71">
        <f t="shared" si="106"/>
        <v>16.534117872517854</v>
      </c>
      <c r="AL142" s="71">
        <f t="shared" si="107"/>
        <v>2.4057180736363661</v>
      </c>
      <c r="AM142" s="71">
        <f t="shared" si="118"/>
        <v>0.73761600000000005</v>
      </c>
      <c r="AN142" s="188">
        <f t="shared" si="108"/>
        <v>0.47745600000000005</v>
      </c>
      <c r="AO142" s="74">
        <f t="shared" si="119"/>
        <v>3.6207900736363663</v>
      </c>
      <c r="AP142" s="73">
        <f t="shared" si="109"/>
        <v>9.1125684607438018</v>
      </c>
      <c r="AQ142" s="206">
        <f t="shared" si="110"/>
        <v>34.172131727789257</v>
      </c>
      <c r="AR142" s="206">
        <f t="shared" si="111"/>
        <v>8.6013784318131857E-3</v>
      </c>
      <c r="AS142" s="71">
        <f t="shared" si="112"/>
        <v>4.3999999999999997E-2</v>
      </c>
      <c r="AT142" s="74">
        <f t="shared" si="113"/>
        <v>9.9000000000000001E-6</v>
      </c>
      <c r="AU142" s="73">
        <f t="shared" si="120"/>
        <v>254.54097754325676</v>
      </c>
      <c r="AV142" s="71">
        <f t="shared" si="121"/>
        <v>202.5</v>
      </c>
      <c r="AW142" s="74">
        <f t="shared" si="122"/>
        <v>44.306749274102962</v>
      </c>
    </row>
    <row r="143" spans="17:49" x14ac:dyDescent="0.25">
      <c r="Q143">
        <v>136</v>
      </c>
      <c r="R143" s="73">
        <f t="shared" si="96"/>
        <v>50</v>
      </c>
      <c r="S143" s="71">
        <f t="shared" si="97"/>
        <v>4.08</v>
      </c>
      <c r="T143" s="71">
        <f t="shared" si="98"/>
        <v>3</v>
      </c>
      <c r="U143" s="74">
        <f t="shared" si="99"/>
        <v>68</v>
      </c>
      <c r="V143" s="73">
        <f>IF(Variable_Management!$B$20=3,2,IF((S143*R143/T143)&lt;((T143*(1-(T143/R143)))/(2*Lm*Fsw)),1,2))</f>
        <v>2</v>
      </c>
      <c r="W143" s="71">
        <f t="shared" si="100"/>
        <v>0.94</v>
      </c>
      <c r="X143" s="74">
        <f t="shared" si="101"/>
        <v>6.0000000000000053E-2</v>
      </c>
      <c r="Y143" s="73">
        <f t="shared" si="102"/>
        <v>0.64090909090909098</v>
      </c>
      <c r="Z143" s="71">
        <f t="shared" si="77"/>
        <v>68.320454545454552</v>
      </c>
      <c r="AA143" s="71">
        <f t="shared" si="78"/>
        <v>68.000251693445236</v>
      </c>
      <c r="AB143" s="71">
        <v>0</v>
      </c>
      <c r="AC143" s="71">
        <f t="shared" si="103"/>
        <v>34.680256727789263</v>
      </c>
      <c r="AD143" s="74">
        <f t="shared" si="114"/>
        <v>34.680256727789263</v>
      </c>
      <c r="AE143" s="73">
        <f t="shared" si="123"/>
        <v>63.919999999999995</v>
      </c>
      <c r="AF143" s="71">
        <f t="shared" si="115"/>
        <v>65.928690086711015</v>
      </c>
      <c r="AG143" s="71">
        <f t="shared" si="104"/>
        <v>161.69322896764464</v>
      </c>
      <c r="AH143" s="71">
        <f t="shared" si="105"/>
        <v>14.190942472460222</v>
      </c>
      <c r="AI143" s="74">
        <f t="shared" si="116"/>
        <v>175.88417144010486</v>
      </c>
      <c r="AJ143" s="73">
        <f t="shared" si="117"/>
        <v>4.0800000000000036</v>
      </c>
      <c r="AK143" s="71">
        <f t="shared" si="106"/>
        <v>16.65659190297686</v>
      </c>
      <c r="AL143" s="71">
        <f t="shared" si="107"/>
        <v>2.4414900736363658</v>
      </c>
      <c r="AM143" s="71">
        <f t="shared" si="118"/>
        <v>0.73761600000000005</v>
      </c>
      <c r="AN143" s="188">
        <f t="shared" si="108"/>
        <v>0.48097600000000007</v>
      </c>
      <c r="AO143" s="74">
        <f t="shared" si="119"/>
        <v>3.660082073636366</v>
      </c>
      <c r="AP143" s="73">
        <f t="shared" si="109"/>
        <v>9.248068460743804</v>
      </c>
      <c r="AQ143" s="206">
        <f t="shared" si="110"/>
        <v>34.680256727789263</v>
      </c>
      <c r="AR143" s="206">
        <f t="shared" si="111"/>
        <v>8.6013784318131857E-3</v>
      </c>
      <c r="AS143" s="71">
        <f t="shared" si="112"/>
        <v>4.3999999999999997E-2</v>
      </c>
      <c r="AT143" s="74">
        <f t="shared" si="113"/>
        <v>9.9000000000000001E-6</v>
      </c>
      <c r="AU143" s="73">
        <f t="shared" si="120"/>
        <v>258.2054467084954</v>
      </c>
      <c r="AV143" s="71">
        <f t="shared" si="121"/>
        <v>204</v>
      </c>
      <c r="AW143" s="74">
        <f t="shared" si="122"/>
        <v>44.136217228235978</v>
      </c>
    </row>
    <row r="144" spans="17:49" x14ac:dyDescent="0.25">
      <c r="Q144">
        <v>137</v>
      </c>
      <c r="R144" s="73">
        <f t="shared" si="96"/>
        <v>50</v>
      </c>
      <c r="S144" s="71">
        <f t="shared" si="97"/>
        <v>4.1099999999999994</v>
      </c>
      <c r="T144" s="71">
        <f t="shared" si="98"/>
        <v>3</v>
      </c>
      <c r="U144" s="74">
        <f t="shared" si="99"/>
        <v>68.499999999999986</v>
      </c>
      <c r="V144" s="73">
        <f>IF(Variable_Management!$B$20=3,2,IF((S144*R144/T144)&lt;((T144*(1-(T144/R144)))/(2*Lm*Fsw)),1,2))</f>
        <v>2</v>
      </c>
      <c r="W144" s="71">
        <f t="shared" si="100"/>
        <v>0.94</v>
      </c>
      <c r="X144" s="74">
        <f t="shared" si="101"/>
        <v>6.0000000000000053E-2</v>
      </c>
      <c r="Y144" s="73">
        <f t="shared" si="102"/>
        <v>0.64090909090909098</v>
      </c>
      <c r="Z144" s="71">
        <f t="shared" ref="Z144:Z157" si="124">CHOOSE(V144,Y144,U144+(0.5*Y144))</f>
        <v>68.820454545454538</v>
      </c>
      <c r="AA144" s="71">
        <f t="shared" ref="AA144:AA157" si="125">CHOOSE(V144,Z144*SQRT((W144+X144)/3),SQRT((U144^2)+((Y144^2)/12)))</f>
        <v>68.500249856273513</v>
      </c>
      <c r="AB144" s="71">
        <v>0</v>
      </c>
      <c r="AC144" s="71">
        <f t="shared" si="103"/>
        <v>35.192131727789238</v>
      </c>
      <c r="AD144" s="74">
        <f t="shared" si="114"/>
        <v>35.192131727789238</v>
      </c>
      <c r="AE144" s="73">
        <f t="shared" si="123"/>
        <v>64.389999999999986</v>
      </c>
      <c r="AF144" s="71">
        <f t="shared" si="115"/>
        <v>66.413456291248579</v>
      </c>
      <c r="AG144" s="71">
        <f t="shared" si="104"/>
        <v>164.0797949676446</v>
      </c>
      <c r="AH144" s="71">
        <f t="shared" si="105"/>
        <v>14.295287637698895</v>
      </c>
      <c r="AI144" s="74">
        <f t="shared" si="116"/>
        <v>178.37508260534349</v>
      </c>
      <c r="AJ144" s="73">
        <f t="shared" si="117"/>
        <v>4.110000000000003</v>
      </c>
      <c r="AK144" s="71">
        <f t="shared" si="106"/>
        <v>16.779065940102694</v>
      </c>
      <c r="AL144" s="71">
        <f t="shared" si="107"/>
        <v>2.477526073636366</v>
      </c>
      <c r="AM144" s="71">
        <f t="shared" si="118"/>
        <v>0.73761600000000005</v>
      </c>
      <c r="AN144" s="188">
        <f t="shared" si="108"/>
        <v>0.48449599999999998</v>
      </c>
      <c r="AO144" s="74">
        <f t="shared" si="119"/>
        <v>3.6996380736363661</v>
      </c>
      <c r="AP144" s="73">
        <f t="shared" si="109"/>
        <v>9.3845684607437985</v>
      </c>
      <c r="AQ144" s="206">
        <f t="shared" si="110"/>
        <v>35.192131727789238</v>
      </c>
      <c r="AR144" s="206">
        <f t="shared" si="111"/>
        <v>8.6013784318131857E-3</v>
      </c>
      <c r="AS144" s="71">
        <f t="shared" si="112"/>
        <v>4.3999999999999997E-2</v>
      </c>
      <c r="AT144" s="74">
        <f t="shared" si="113"/>
        <v>9.9000000000000001E-6</v>
      </c>
      <c r="AU144" s="73">
        <f t="shared" si="120"/>
        <v>261.896163873734</v>
      </c>
      <c r="AV144" s="71">
        <f t="shared" si="121"/>
        <v>205.49999999999997</v>
      </c>
      <c r="AW144" s="74">
        <f t="shared" si="122"/>
        <v>43.966984730220283</v>
      </c>
    </row>
    <row r="145" spans="17:49" x14ac:dyDescent="0.25">
      <c r="Q145">
        <v>138</v>
      </c>
      <c r="R145" s="73">
        <f t="shared" si="96"/>
        <v>50</v>
      </c>
      <c r="S145" s="71">
        <f t="shared" si="97"/>
        <v>4.1399999999999997</v>
      </c>
      <c r="T145" s="71">
        <f t="shared" si="98"/>
        <v>3</v>
      </c>
      <c r="U145" s="74">
        <f t="shared" si="99"/>
        <v>68.999999999999986</v>
      </c>
      <c r="V145" s="73">
        <f>IF(Variable_Management!$B$20=3,2,IF((S145*R145/T145)&lt;((T145*(1-(T145/R145)))/(2*Lm*Fsw)),1,2))</f>
        <v>2</v>
      </c>
      <c r="W145" s="71">
        <f t="shared" si="100"/>
        <v>0.94</v>
      </c>
      <c r="X145" s="74">
        <f t="shared" si="101"/>
        <v>6.0000000000000053E-2</v>
      </c>
      <c r="Y145" s="73">
        <f t="shared" si="102"/>
        <v>0.64090909090909098</v>
      </c>
      <c r="Z145" s="71">
        <f t="shared" si="124"/>
        <v>69.320454545454538</v>
      </c>
      <c r="AA145" s="71">
        <f t="shared" si="125"/>
        <v>69.000248045727332</v>
      </c>
      <c r="AB145" s="71">
        <v>0</v>
      </c>
      <c r="AC145" s="71">
        <f t="shared" si="103"/>
        <v>35.707756727789238</v>
      </c>
      <c r="AD145" s="74">
        <f t="shared" si="114"/>
        <v>35.707756727789238</v>
      </c>
      <c r="AE145" s="73">
        <f t="shared" si="123"/>
        <v>64.859999999999985</v>
      </c>
      <c r="AF145" s="71">
        <f t="shared" si="115"/>
        <v>66.898222521600573</v>
      </c>
      <c r="AG145" s="71">
        <f t="shared" si="104"/>
        <v>166.48384496764464</v>
      </c>
      <c r="AH145" s="71">
        <f t="shared" si="105"/>
        <v>14.399632802937573</v>
      </c>
      <c r="AI145" s="74">
        <f t="shared" si="116"/>
        <v>180.8834777705822</v>
      </c>
      <c r="AJ145" s="73">
        <f t="shared" si="117"/>
        <v>4.1400000000000032</v>
      </c>
      <c r="AK145" s="71">
        <f t="shared" si="106"/>
        <v>16.901539983750425</v>
      </c>
      <c r="AL145" s="71">
        <f t="shared" si="107"/>
        <v>2.5138260736363662</v>
      </c>
      <c r="AM145" s="71">
        <f t="shared" si="118"/>
        <v>0.73761600000000005</v>
      </c>
      <c r="AN145" s="188">
        <f t="shared" si="108"/>
        <v>0.48801599999999995</v>
      </c>
      <c r="AO145" s="74">
        <f t="shared" si="119"/>
        <v>3.7394580736363663</v>
      </c>
      <c r="AP145" s="73">
        <f t="shared" si="109"/>
        <v>9.5220684607437978</v>
      </c>
      <c r="AQ145" s="206">
        <f t="shared" si="110"/>
        <v>35.707756727789238</v>
      </c>
      <c r="AR145" s="206">
        <f t="shared" si="111"/>
        <v>8.6013784318131857E-3</v>
      </c>
      <c r="AS145" s="71">
        <f t="shared" si="112"/>
        <v>4.3999999999999997E-2</v>
      </c>
      <c r="AT145" s="74">
        <f t="shared" si="113"/>
        <v>9.9000000000000001E-6</v>
      </c>
      <c r="AU145" s="73">
        <f t="shared" si="120"/>
        <v>265.61312903897266</v>
      </c>
      <c r="AV145" s="71">
        <f t="shared" si="121"/>
        <v>206.99999999999997</v>
      </c>
      <c r="AW145" s="74">
        <f t="shared" si="122"/>
        <v>43.799037157710941</v>
      </c>
    </row>
    <row r="146" spans="17:49" x14ac:dyDescent="0.25">
      <c r="Q146">
        <v>139</v>
      </c>
      <c r="R146" s="73">
        <f t="shared" si="96"/>
        <v>50</v>
      </c>
      <c r="S146" s="71">
        <f t="shared" si="97"/>
        <v>4.17</v>
      </c>
      <c r="T146" s="71">
        <f t="shared" si="98"/>
        <v>3</v>
      </c>
      <c r="U146" s="74">
        <f t="shared" si="99"/>
        <v>69.5</v>
      </c>
      <c r="V146" s="73">
        <f>IF(Variable_Management!$B$20=3,2,IF((S146*R146/T146)&lt;((T146*(1-(T146/R146)))/(2*Lm*Fsw)),1,2))</f>
        <v>2</v>
      </c>
      <c r="W146" s="71">
        <f t="shared" si="100"/>
        <v>0.94</v>
      </c>
      <c r="X146" s="74">
        <f t="shared" si="101"/>
        <v>6.0000000000000053E-2</v>
      </c>
      <c r="Y146" s="73">
        <f t="shared" si="102"/>
        <v>0.64090909090909098</v>
      </c>
      <c r="Z146" s="71">
        <f t="shared" si="124"/>
        <v>69.820454545454552</v>
      </c>
      <c r="AA146" s="71">
        <f t="shared" si="125"/>
        <v>69.500246261232064</v>
      </c>
      <c r="AB146" s="71">
        <v>0</v>
      </c>
      <c r="AC146" s="71">
        <f t="shared" si="103"/>
        <v>36.227131727789263</v>
      </c>
      <c r="AD146" s="74">
        <f t="shared" si="114"/>
        <v>36.227131727789263</v>
      </c>
      <c r="AE146" s="73">
        <f t="shared" si="123"/>
        <v>65.33</v>
      </c>
      <c r="AF146" s="71">
        <f t="shared" si="115"/>
        <v>67.382988777209846</v>
      </c>
      <c r="AG146" s="71">
        <f t="shared" si="104"/>
        <v>168.90537896764468</v>
      </c>
      <c r="AH146" s="71">
        <f t="shared" si="105"/>
        <v>14.503977968176256</v>
      </c>
      <c r="AI146" s="74">
        <f t="shared" si="116"/>
        <v>183.40935693582094</v>
      </c>
      <c r="AJ146" s="73">
        <f t="shared" si="117"/>
        <v>4.1700000000000035</v>
      </c>
      <c r="AK146" s="71">
        <f t="shared" si="106"/>
        <v>17.024014033779295</v>
      </c>
      <c r="AL146" s="71">
        <f t="shared" si="107"/>
        <v>2.5503900736363669</v>
      </c>
      <c r="AM146" s="71">
        <f t="shared" si="118"/>
        <v>0.73761600000000005</v>
      </c>
      <c r="AN146" s="188">
        <f t="shared" si="108"/>
        <v>0.49153600000000008</v>
      </c>
      <c r="AO146" s="74">
        <f t="shared" si="119"/>
        <v>3.779542073636367</v>
      </c>
      <c r="AP146" s="73">
        <f t="shared" si="109"/>
        <v>9.6605684607438036</v>
      </c>
      <c r="AQ146" s="206">
        <f t="shared" si="110"/>
        <v>36.227131727789263</v>
      </c>
      <c r="AR146" s="206">
        <f t="shared" si="111"/>
        <v>8.6013784318131857E-3</v>
      </c>
      <c r="AS146" s="71">
        <f t="shared" si="112"/>
        <v>4.3999999999999997E-2</v>
      </c>
      <c r="AT146" s="74">
        <f t="shared" si="113"/>
        <v>9.9000000000000001E-6</v>
      </c>
      <c r="AU146" s="73">
        <f t="shared" si="120"/>
        <v>269.3563422042115</v>
      </c>
      <c r="AV146" s="71">
        <f t="shared" si="121"/>
        <v>208.5</v>
      </c>
      <c r="AW146" s="74">
        <f t="shared" si="122"/>
        <v>43.632360101835317</v>
      </c>
    </row>
    <row r="147" spans="17:49" x14ac:dyDescent="0.25">
      <c r="Q147">
        <v>140</v>
      </c>
      <c r="R147" s="73">
        <f t="shared" si="96"/>
        <v>50</v>
      </c>
      <c r="S147" s="71">
        <f t="shared" si="97"/>
        <v>4.2</v>
      </c>
      <c r="T147" s="71">
        <f t="shared" si="98"/>
        <v>3</v>
      </c>
      <c r="U147" s="74">
        <f t="shared" si="99"/>
        <v>70</v>
      </c>
      <c r="V147" s="73">
        <f>IF(Variable_Management!$B$20=3,2,IF((S147*R147/T147)&lt;((T147*(1-(T147/R147)))/(2*Lm*Fsw)),1,2))</f>
        <v>2</v>
      </c>
      <c r="W147" s="71">
        <f t="shared" si="100"/>
        <v>0.94</v>
      </c>
      <c r="X147" s="74">
        <f t="shared" si="101"/>
        <v>6.0000000000000053E-2</v>
      </c>
      <c r="Y147" s="73">
        <f t="shared" si="102"/>
        <v>0.64090909090909098</v>
      </c>
      <c r="Z147" s="71">
        <f t="shared" si="124"/>
        <v>70.320454545454552</v>
      </c>
      <c r="AA147" s="71">
        <f t="shared" si="125"/>
        <v>70.000244502229421</v>
      </c>
      <c r="AB147" s="71">
        <v>0</v>
      </c>
      <c r="AC147" s="71">
        <f t="shared" si="103"/>
        <v>36.75025672778925</v>
      </c>
      <c r="AD147" s="74">
        <f t="shared" si="114"/>
        <v>36.75025672778925</v>
      </c>
      <c r="AE147" s="73">
        <f t="shared" si="123"/>
        <v>65.8</v>
      </c>
      <c r="AF147" s="71">
        <f t="shared" si="115"/>
        <v>67.867755057535149</v>
      </c>
      <c r="AG147" s="71">
        <f t="shared" si="104"/>
        <v>171.34439696764466</v>
      </c>
      <c r="AH147" s="71">
        <f t="shared" si="105"/>
        <v>14.608323133414933</v>
      </c>
      <c r="AI147" s="74">
        <f t="shared" si="116"/>
        <v>185.95272010105958</v>
      </c>
      <c r="AJ147" s="73">
        <f t="shared" si="117"/>
        <v>4.2000000000000037</v>
      </c>
      <c r="AK147" s="71">
        <f t="shared" si="106"/>
        <v>17.146488090052561</v>
      </c>
      <c r="AL147" s="71">
        <f t="shared" si="107"/>
        <v>2.5872180736363664</v>
      </c>
      <c r="AM147" s="71">
        <f t="shared" si="118"/>
        <v>0.73761600000000005</v>
      </c>
      <c r="AN147" s="188">
        <f t="shared" si="108"/>
        <v>0.49505600000000005</v>
      </c>
      <c r="AO147" s="74">
        <f t="shared" si="119"/>
        <v>3.8198900736363663</v>
      </c>
      <c r="AP147" s="73">
        <f t="shared" si="109"/>
        <v>9.8000684607438</v>
      </c>
      <c r="AQ147" s="206">
        <f t="shared" si="110"/>
        <v>36.75025672778925</v>
      </c>
      <c r="AR147" s="206">
        <f t="shared" si="111"/>
        <v>8.6013784318131857E-3</v>
      </c>
      <c r="AS147" s="71">
        <f t="shared" si="112"/>
        <v>4.3999999999999997E-2</v>
      </c>
      <c r="AT147" s="74">
        <f t="shared" si="113"/>
        <v>9.9000000000000001E-6</v>
      </c>
      <c r="AU147" s="73">
        <f t="shared" si="120"/>
        <v>273.12580336945013</v>
      </c>
      <c r="AV147" s="71">
        <f t="shared" si="121"/>
        <v>210</v>
      </c>
      <c r="AW147" s="74">
        <f t="shared" si="122"/>
        <v>43.466939363495626</v>
      </c>
    </row>
    <row r="148" spans="17:49" x14ac:dyDescent="0.25">
      <c r="Q148">
        <v>141</v>
      </c>
      <c r="R148" s="73">
        <f t="shared" si="96"/>
        <v>50</v>
      </c>
      <c r="S148" s="71">
        <f t="shared" si="97"/>
        <v>4.2299999999999995</v>
      </c>
      <c r="T148" s="71">
        <f t="shared" si="98"/>
        <v>3</v>
      </c>
      <c r="U148" s="74">
        <f t="shared" si="99"/>
        <v>70.499999999999986</v>
      </c>
      <c r="V148" s="73">
        <f>IF(Variable_Management!$B$20=3,2,IF((S148*R148/T148)&lt;((T148*(1-(T148/R148)))/(2*Lm*Fsw)),1,2))</f>
        <v>2</v>
      </c>
      <c r="W148" s="71">
        <f t="shared" si="100"/>
        <v>0.94</v>
      </c>
      <c r="X148" s="74">
        <f t="shared" si="101"/>
        <v>6.0000000000000053E-2</v>
      </c>
      <c r="Y148" s="73">
        <f t="shared" si="102"/>
        <v>0.64090909090909098</v>
      </c>
      <c r="Z148" s="71">
        <f t="shared" si="124"/>
        <v>70.820454545454538</v>
      </c>
      <c r="AA148" s="71">
        <f t="shared" si="125"/>
        <v>70.500242768177046</v>
      </c>
      <c r="AB148" s="71">
        <v>0</v>
      </c>
      <c r="AC148" s="71">
        <f t="shared" si="103"/>
        <v>37.277131727789246</v>
      </c>
      <c r="AD148" s="74">
        <f t="shared" si="114"/>
        <v>37.277131727789246</v>
      </c>
      <c r="AE148" s="73">
        <f t="shared" si="123"/>
        <v>66.269999999999982</v>
      </c>
      <c r="AF148" s="71">
        <f t="shared" si="115"/>
        <v>68.352521362050609</v>
      </c>
      <c r="AG148" s="71">
        <f t="shared" si="104"/>
        <v>173.80089896764457</v>
      </c>
      <c r="AH148" s="71">
        <f t="shared" si="105"/>
        <v>14.712668298653607</v>
      </c>
      <c r="AI148" s="74">
        <f t="shared" si="116"/>
        <v>188.51356726629817</v>
      </c>
      <c r="AJ148" s="73">
        <f t="shared" si="117"/>
        <v>4.2300000000000031</v>
      </c>
      <c r="AK148" s="71">
        <f t="shared" si="106"/>
        <v>17.268962152437368</v>
      </c>
      <c r="AL148" s="71">
        <f t="shared" si="107"/>
        <v>2.6243100736363658</v>
      </c>
      <c r="AM148" s="71">
        <f t="shared" si="118"/>
        <v>0.73761600000000005</v>
      </c>
      <c r="AN148" s="188">
        <f t="shared" si="108"/>
        <v>0.49857599999999996</v>
      </c>
      <c r="AO148" s="74">
        <f t="shared" si="119"/>
        <v>3.8605020736363658</v>
      </c>
      <c r="AP148" s="73">
        <f t="shared" si="109"/>
        <v>9.9405684607437994</v>
      </c>
      <c r="AQ148" s="206">
        <f t="shared" si="110"/>
        <v>37.277131727789246</v>
      </c>
      <c r="AR148" s="206">
        <f t="shared" si="111"/>
        <v>8.6013784318131857E-3</v>
      </c>
      <c r="AS148" s="71">
        <f t="shared" si="112"/>
        <v>4.3999999999999997E-2</v>
      </c>
      <c r="AT148" s="74">
        <f t="shared" si="113"/>
        <v>9.9000000000000001E-6</v>
      </c>
      <c r="AU148" s="73">
        <f t="shared" si="120"/>
        <v>276.92151253468865</v>
      </c>
      <c r="AV148" s="71">
        <f t="shared" si="121"/>
        <v>211.49999999999997</v>
      </c>
      <c r="AW148" s="74">
        <f t="shared" si="122"/>
        <v>43.302760949739863</v>
      </c>
    </row>
    <row r="149" spans="17:49" x14ac:dyDescent="0.25">
      <c r="Q149">
        <v>142</v>
      </c>
      <c r="R149" s="73">
        <f t="shared" si="96"/>
        <v>50</v>
      </c>
      <c r="S149" s="71">
        <f t="shared" si="97"/>
        <v>4.26</v>
      </c>
      <c r="T149" s="71">
        <f t="shared" si="98"/>
        <v>3</v>
      </c>
      <c r="U149" s="74">
        <f t="shared" si="99"/>
        <v>71</v>
      </c>
      <c r="V149" s="73">
        <f>IF(Variable_Management!$B$20=3,2,IF((S149*R149/T149)&lt;((T149*(1-(T149/R149)))/(2*Lm*Fsw)),1,2))</f>
        <v>2</v>
      </c>
      <c r="W149" s="71">
        <f t="shared" si="100"/>
        <v>0.94</v>
      </c>
      <c r="X149" s="74">
        <f t="shared" si="101"/>
        <v>6.0000000000000053E-2</v>
      </c>
      <c r="Y149" s="73">
        <f t="shared" si="102"/>
        <v>0.64090909090909098</v>
      </c>
      <c r="Z149" s="71">
        <f t="shared" si="124"/>
        <v>71.320454545454552</v>
      </c>
      <c r="AA149" s="71">
        <f t="shared" si="125"/>
        <v>71.000241058547829</v>
      </c>
      <c r="AB149" s="71">
        <v>0</v>
      </c>
      <c r="AC149" s="71">
        <f t="shared" si="103"/>
        <v>37.807756727789254</v>
      </c>
      <c r="AD149" s="74">
        <f t="shared" si="114"/>
        <v>37.807756727789254</v>
      </c>
      <c r="AE149" s="73">
        <f t="shared" si="123"/>
        <v>66.739999999999995</v>
      </c>
      <c r="AF149" s="71">
        <f t="shared" si="115"/>
        <v>68.837287690245233</v>
      </c>
      <c r="AG149" s="71">
        <f t="shared" si="104"/>
        <v>176.27488496764471</v>
      </c>
      <c r="AH149" s="71">
        <f t="shared" si="105"/>
        <v>14.817013463892289</v>
      </c>
      <c r="AI149" s="74">
        <f t="shared" si="116"/>
        <v>191.091898431537</v>
      </c>
      <c r="AJ149" s="73">
        <f t="shared" si="117"/>
        <v>4.2600000000000033</v>
      </c>
      <c r="AK149" s="71">
        <f t="shared" si="106"/>
        <v>17.391436220804604</v>
      </c>
      <c r="AL149" s="71">
        <f t="shared" si="107"/>
        <v>2.6616660736363662</v>
      </c>
      <c r="AM149" s="71">
        <f t="shared" si="118"/>
        <v>0.73761600000000005</v>
      </c>
      <c r="AN149" s="188">
        <f t="shared" si="108"/>
        <v>0.5020960000000001</v>
      </c>
      <c r="AO149" s="74">
        <f t="shared" si="119"/>
        <v>3.9013780736363666</v>
      </c>
      <c r="AP149" s="73">
        <f t="shared" si="109"/>
        <v>10.082068460743802</v>
      </c>
      <c r="AQ149" s="206">
        <f t="shared" si="110"/>
        <v>37.807756727789254</v>
      </c>
      <c r="AR149" s="206">
        <f t="shared" si="111"/>
        <v>8.6013784318131857E-3</v>
      </c>
      <c r="AS149" s="71">
        <f t="shared" si="112"/>
        <v>4.3999999999999997E-2</v>
      </c>
      <c r="AT149" s="74">
        <f t="shared" si="113"/>
        <v>9.9000000000000001E-6</v>
      </c>
      <c r="AU149" s="73">
        <f t="shared" si="120"/>
        <v>280.74346969992752</v>
      </c>
      <c r="AV149" s="71">
        <f t="shared" si="121"/>
        <v>213</v>
      </c>
      <c r="AW149" s="74">
        <f t="shared" si="122"/>
        <v>43.139811070200217</v>
      </c>
    </row>
    <row r="150" spans="17:49" x14ac:dyDescent="0.25">
      <c r="Q150">
        <v>143</v>
      </c>
      <c r="R150" s="73">
        <f t="shared" si="96"/>
        <v>50</v>
      </c>
      <c r="S150" s="71">
        <f t="shared" si="97"/>
        <v>4.29</v>
      </c>
      <c r="T150" s="71">
        <f t="shared" si="98"/>
        <v>3</v>
      </c>
      <c r="U150" s="74">
        <f t="shared" si="99"/>
        <v>71.5</v>
      </c>
      <c r="V150" s="73">
        <f>IF(Variable_Management!$B$20=3,2,IF((S150*R150/T150)&lt;((T150*(1-(T150/R150)))/(2*Lm*Fsw)),1,2))</f>
        <v>2</v>
      </c>
      <c r="W150" s="71">
        <f t="shared" si="100"/>
        <v>0.94</v>
      </c>
      <c r="X150" s="74">
        <f t="shared" si="101"/>
        <v>6.0000000000000053E-2</v>
      </c>
      <c r="Y150" s="73">
        <f t="shared" si="102"/>
        <v>0.64090909090909098</v>
      </c>
      <c r="Z150" s="71">
        <f t="shared" si="124"/>
        <v>71.820454545454552</v>
      </c>
      <c r="AA150" s="71">
        <f t="shared" si="125"/>
        <v>71.500239372829384</v>
      </c>
      <c r="AB150" s="71">
        <v>0</v>
      </c>
      <c r="AC150" s="71">
        <f t="shared" si="103"/>
        <v>38.342131727789258</v>
      </c>
      <c r="AD150" s="74">
        <f t="shared" si="114"/>
        <v>38.342131727789258</v>
      </c>
      <c r="AE150" s="73">
        <f t="shared" si="123"/>
        <v>67.209999999999994</v>
      </c>
      <c r="AF150" s="71">
        <f t="shared" si="115"/>
        <v>69.322054041622181</v>
      </c>
      <c r="AG150" s="71">
        <f t="shared" si="104"/>
        <v>178.76635496764462</v>
      </c>
      <c r="AH150" s="71">
        <f t="shared" si="105"/>
        <v>14.921358629130967</v>
      </c>
      <c r="AI150" s="74">
        <f t="shared" si="116"/>
        <v>193.68771359677558</v>
      </c>
      <c r="AJ150" s="73">
        <f t="shared" si="117"/>
        <v>4.2900000000000036</v>
      </c>
      <c r="AK150" s="71">
        <f t="shared" si="106"/>
        <v>17.513910295028758</v>
      </c>
      <c r="AL150" s="71">
        <f t="shared" si="107"/>
        <v>2.6992860736363657</v>
      </c>
      <c r="AM150" s="71">
        <f t="shared" si="118"/>
        <v>0.73761600000000005</v>
      </c>
      <c r="AN150" s="188">
        <f t="shared" si="108"/>
        <v>0.50561600000000007</v>
      </c>
      <c r="AO150" s="74">
        <f t="shared" si="119"/>
        <v>3.9425180736363661</v>
      </c>
      <c r="AP150" s="73">
        <f t="shared" si="109"/>
        <v>10.224568460743804</v>
      </c>
      <c r="AQ150" s="206">
        <f t="shared" si="110"/>
        <v>38.342131727789258</v>
      </c>
      <c r="AR150" s="206">
        <f t="shared" si="111"/>
        <v>8.6013784318131857E-3</v>
      </c>
      <c r="AS150" s="71">
        <f t="shared" si="112"/>
        <v>4.3999999999999997E-2</v>
      </c>
      <c r="AT150" s="74">
        <f t="shared" si="113"/>
        <v>9.9000000000000001E-6</v>
      </c>
      <c r="AU150" s="73">
        <f t="shared" si="120"/>
        <v>284.59167486516611</v>
      </c>
      <c r="AV150" s="71">
        <f t="shared" si="121"/>
        <v>214.5</v>
      </c>
      <c r="AW150" s="74">
        <f t="shared" si="122"/>
        <v>42.978076133597902</v>
      </c>
    </row>
    <row r="151" spans="17:49" x14ac:dyDescent="0.25">
      <c r="Q151">
        <v>144</v>
      </c>
      <c r="R151" s="73">
        <f t="shared" si="96"/>
        <v>50</v>
      </c>
      <c r="S151" s="71">
        <f t="shared" si="97"/>
        <v>4.32</v>
      </c>
      <c r="T151" s="71">
        <f t="shared" si="98"/>
        <v>3</v>
      </c>
      <c r="U151" s="74">
        <f t="shared" si="99"/>
        <v>72</v>
      </c>
      <c r="V151" s="73">
        <f>IF(Variable_Management!$B$20=3,2,IF((S151*R151/T151)&lt;((T151*(1-(T151/R151)))/(2*Lm*Fsw)),1,2))</f>
        <v>2</v>
      </c>
      <c r="W151" s="71">
        <f t="shared" si="100"/>
        <v>0.94</v>
      </c>
      <c r="X151" s="74">
        <f t="shared" si="101"/>
        <v>6.0000000000000053E-2</v>
      </c>
      <c r="Y151" s="73">
        <f t="shared" si="102"/>
        <v>0.64090909090909098</v>
      </c>
      <c r="Z151" s="71">
        <f t="shared" si="124"/>
        <v>72.320454545454552</v>
      </c>
      <c r="AA151" s="71">
        <f t="shared" si="125"/>
        <v>72.000237710523578</v>
      </c>
      <c r="AB151" s="71">
        <v>0</v>
      </c>
      <c r="AC151" s="71">
        <f t="shared" si="103"/>
        <v>38.880256727789259</v>
      </c>
      <c r="AD151" s="74">
        <f t="shared" si="114"/>
        <v>38.880256727789259</v>
      </c>
      <c r="AE151" s="73">
        <f t="shared" si="123"/>
        <v>67.679999999999993</v>
      </c>
      <c r="AF151" s="71">
        <f t="shared" si="115"/>
        <v>69.806820415698553</v>
      </c>
      <c r="AG151" s="71">
        <f t="shared" si="104"/>
        <v>181.27530896764469</v>
      </c>
      <c r="AH151" s="71">
        <f t="shared" si="105"/>
        <v>15.025703794369646</v>
      </c>
      <c r="AI151" s="74">
        <f t="shared" si="116"/>
        <v>196.30101276201432</v>
      </c>
      <c r="AJ151" s="73">
        <f t="shared" si="117"/>
        <v>4.3200000000000038</v>
      </c>
      <c r="AK151" s="71">
        <f t="shared" si="106"/>
        <v>17.636384374987816</v>
      </c>
      <c r="AL151" s="71">
        <f t="shared" si="107"/>
        <v>2.7371700736363671</v>
      </c>
      <c r="AM151" s="71">
        <f t="shared" si="118"/>
        <v>0.73761600000000005</v>
      </c>
      <c r="AN151" s="188">
        <f t="shared" si="108"/>
        <v>0.50913600000000003</v>
      </c>
      <c r="AO151" s="74">
        <f t="shared" si="119"/>
        <v>3.983922073636367</v>
      </c>
      <c r="AP151" s="73">
        <f t="shared" si="109"/>
        <v>10.368068460743803</v>
      </c>
      <c r="AQ151" s="206">
        <f t="shared" si="110"/>
        <v>38.880256727789259</v>
      </c>
      <c r="AR151" s="206">
        <f t="shared" si="111"/>
        <v>8.6013784318131857E-3</v>
      </c>
      <c r="AS151" s="71">
        <f t="shared" si="112"/>
        <v>4.3999999999999997E-2</v>
      </c>
      <c r="AT151" s="74">
        <f t="shared" si="113"/>
        <v>9.9000000000000001E-6</v>
      </c>
      <c r="AU151" s="73">
        <f t="shared" si="120"/>
        <v>288.46612803040483</v>
      </c>
      <c r="AV151" s="71">
        <f t="shared" si="121"/>
        <v>216</v>
      </c>
      <c r="AW151" s="74">
        <f t="shared" si="122"/>
        <v>42.81754274431313</v>
      </c>
    </row>
    <row r="152" spans="17:49" x14ac:dyDescent="0.25">
      <c r="Q152">
        <v>145</v>
      </c>
      <c r="R152" s="73">
        <f t="shared" si="96"/>
        <v>50</v>
      </c>
      <c r="S152" s="71">
        <f t="shared" si="97"/>
        <v>4.3499999999999996</v>
      </c>
      <c r="T152" s="71">
        <f t="shared" si="98"/>
        <v>3</v>
      </c>
      <c r="U152" s="74">
        <f t="shared" si="99"/>
        <v>72.499999999999986</v>
      </c>
      <c r="V152" s="73">
        <f>IF(Variable_Management!$B$20=3,2,IF((S152*R152/T152)&lt;((T152*(1-(T152/R152)))/(2*Lm*Fsw)),1,2))</f>
        <v>2</v>
      </c>
      <c r="W152" s="71">
        <f t="shared" si="100"/>
        <v>0.94</v>
      </c>
      <c r="X152" s="74">
        <f t="shared" si="101"/>
        <v>6.0000000000000053E-2</v>
      </c>
      <c r="Y152" s="73">
        <f t="shared" si="102"/>
        <v>0.64090909090909098</v>
      </c>
      <c r="Z152" s="71">
        <f t="shared" si="124"/>
        <v>72.820454545454538</v>
      </c>
      <c r="AA152" s="71">
        <f t="shared" si="125"/>
        <v>72.500236071145991</v>
      </c>
      <c r="AB152" s="71">
        <v>0</v>
      </c>
      <c r="AC152" s="71">
        <f t="shared" si="103"/>
        <v>39.422131727789235</v>
      </c>
      <c r="AD152" s="74">
        <f t="shared" si="114"/>
        <v>39.422131727789235</v>
      </c>
      <c r="AE152" s="73">
        <f t="shared" si="123"/>
        <v>68.149999999999977</v>
      </c>
      <c r="AF152" s="71">
        <f t="shared" si="115"/>
        <v>70.291586812004653</v>
      </c>
      <c r="AG152" s="71">
        <f t="shared" si="104"/>
        <v>183.80174696764465</v>
      </c>
      <c r="AH152" s="71">
        <f t="shared" si="105"/>
        <v>15.13004895960832</v>
      </c>
      <c r="AI152" s="74">
        <f t="shared" si="116"/>
        <v>198.93179592725298</v>
      </c>
      <c r="AJ152" s="73">
        <f t="shared" si="117"/>
        <v>4.3500000000000032</v>
      </c>
      <c r="AK152" s="71">
        <f t="shared" si="106"/>
        <v>17.758858460563118</v>
      </c>
      <c r="AL152" s="71">
        <f t="shared" si="107"/>
        <v>2.7753180736363654</v>
      </c>
      <c r="AM152" s="71">
        <f t="shared" si="118"/>
        <v>0.73761600000000005</v>
      </c>
      <c r="AN152" s="188">
        <f t="shared" si="108"/>
        <v>0.512656</v>
      </c>
      <c r="AO152" s="74">
        <f t="shared" si="119"/>
        <v>4.0255900736363657</v>
      </c>
      <c r="AP152" s="73">
        <f t="shared" si="109"/>
        <v>10.512568460743797</v>
      </c>
      <c r="AQ152" s="206">
        <f t="shared" si="110"/>
        <v>39.422131727789235</v>
      </c>
      <c r="AR152" s="206">
        <f t="shared" si="111"/>
        <v>8.6013784318131857E-3</v>
      </c>
      <c r="AS152" s="71">
        <f t="shared" si="112"/>
        <v>4.3999999999999997E-2</v>
      </c>
      <c r="AT152" s="74">
        <f t="shared" si="113"/>
        <v>9.9000000000000001E-6</v>
      </c>
      <c r="AU152" s="73">
        <f t="shared" si="120"/>
        <v>292.36682919564345</v>
      </c>
      <c r="AV152" s="71">
        <f t="shared" si="121"/>
        <v>217.49999999999997</v>
      </c>
      <c r="AW152" s="74">
        <f t="shared" si="122"/>
        <v>42.658197699019567</v>
      </c>
    </row>
    <row r="153" spans="17:49" x14ac:dyDescent="0.25">
      <c r="Q153">
        <v>146</v>
      </c>
      <c r="R153" s="73">
        <f t="shared" si="96"/>
        <v>50</v>
      </c>
      <c r="S153" s="71">
        <f t="shared" si="97"/>
        <v>4.38</v>
      </c>
      <c r="T153" s="71">
        <f t="shared" si="98"/>
        <v>3</v>
      </c>
      <c r="U153" s="74">
        <f t="shared" si="99"/>
        <v>73</v>
      </c>
      <c r="V153" s="73">
        <f>IF(Variable_Management!$B$20=3,2,IF((S153*R153/T153)&lt;((T153*(1-(T153/R153)))/(2*Lm*Fsw)),1,2))</f>
        <v>2</v>
      </c>
      <c r="W153" s="71">
        <f t="shared" si="100"/>
        <v>0.94</v>
      </c>
      <c r="X153" s="74">
        <f t="shared" si="101"/>
        <v>6.0000000000000053E-2</v>
      </c>
      <c r="Y153" s="73">
        <f t="shared" si="102"/>
        <v>0.64090909090909098</v>
      </c>
      <c r="Z153" s="71">
        <f t="shared" si="124"/>
        <v>73.320454545454552</v>
      </c>
      <c r="AA153" s="71">
        <f t="shared" si="125"/>
        <v>73.000234454225563</v>
      </c>
      <c r="AB153" s="71">
        <v>0</v>
      </c>
      <c r="AC153" s="71">
        <f t="shared" si="103"/>
        <v>39.967756727789258</v>
      </c>
      <c r="AD153" s="74">
        <f t="shared" si="114"/>
        <v>39.967756727789258</v>
      </c>
      <c r="AE153" s="73">
        <f t="shared" si="123"/>
        <v>68.61999999999999</v>
      </c>
      <c r="AF153" s="71">
        <f t="shared" si="115"/>
        <v>70.776353230083757</v>
      </c>
      <c r="AG153" s="71">
        <f t="shared" si="104"/>
        <v>186.34566896764468</v>
      </c>
      <c r="AH153" s="71">
        <f t="shared" si="105"/>
        <v>15.234394124847002</v>
      </c>
      <c r="AI153" s="74">
        <f t="shared" si="116"/>
        <v>201.58006309249168</v>
      </c>
      <c r="AJ153" s="73">
        <f t="shared" si="117"/>
        <v>4.3800000000000043</v>
      </c>
      <c r="AK153" s="71">
        <f t="shared" si="106"/>
        <v>17.881332551639275</v>
      </c>
      <c r="AL153" s="71">
        <f t="shared" si="107"/>
        <v>2.8137300736363664</v>
      </c>
      <c r="AM153" s="71">
        <f t="shared" si="118"/>
        <v>0.73761600000000005</v>
      </c>
      <c r="AN153" s="188">
        <f t="shared" si="108"/>
        <v>0.51617600000000008</v>
      </c>
      <c r="AO153" s="74">
        <f t="shared" si="119"/>
        <v>4.0675220736363666</v>
      </c>
      <c r="AP153" s="73">
        <f t="shared" si="109"/>
        <v>10.658068460743802</v>
      </c>
      <c r="AQ153" s="206">
        <f t="shared" si="110"/>
        <v>39.967756727789258</v>
      </c>
      <c r="AR153" s="206">
        <f t="shared" si="111"/>
        <v>8.6013784318131857E-3</v>
      </c>
      <c r="AS153" s="71">
        <f t="shared" si="112"/>
        <v>4.3999999999999997E-2</v>
      </c>
      <c r="AT153" s="74">
        <f t="shared" si="113"/>
        <v>9.9000000000000001E-6</v>
      </c>
      <c r="AU153" s="73">
        <f t="shared" si="120"/>
        <v>296.29377836088219</v>
      </c>
      <c r="AV153" s="71">
        <f t="shared" si="121"/>
        <v>219</v>
      </c>
      <c r="AW153" s="74">
        <f t="shared" si="122"/>
        <v>42.500027983381734</v>
      </c>
    </row>
    <row r="154" spans="17:49" x14ac:dyDescent="0.25">
      <c r="Q154">
        <v>147</v>
      </c>
      <c r="R154" s="73">
        <f t="shared" si="96"/>
        <v>50</v>
      </c>
      <c r="S154" s="71">
        <f t="shared" si="97"/>
        <v>4.41</v>
      </c>
      <c r="T154" s="71">
        <f t="shared" si="98"/>
        <v>3</v>
      </c>
      <c r="U154" s="74">
        <f t="shared" si="99"/>
        <v>73.5</v>
      </c>
      <c r="V154" s="73">
        <f>IF(Variable_Management!$B$20=3,2,IF((S154*R154/T154)&lt;((T154*(1-(T154/R154)))/(2*Lm*Fsw)),1,2))</f>
        <v>2</v>
      </c>
      <c r="W154" s="71">
        <f t="shared" si="100"/>
        <v>0.94</v>
      </c>
      <c r="X154" s="74">
        <f t="shared" si="101"/>
        <v>6.0000000000000053E-2</v>
      </c>
      <c r="Y154" s="73">
        <f t="shared" si="102"/>
        <v>0.64090909090909098</v>
      </c>
      <c r="Z154" s="71">
        <f t="shared" si="124"/>
        <v>73.820454545454552</v>
      </c>
      <c r="AA154" s="71">
        <f t="shared" si="125"/>
        <v>73.500232859303921</v>
      </c>
      <c r="AB154" s="71">
        <v>0</v>
      </c>
      <c r="AC154" s="71">
        <f t="shared" si="103"/>
        <v>40.517131727789248</v>
      </c>
      <c r="AD154" s="74">
        <f t="shared" si="114"/>
        <v>40.517131727789248</v>
      </c>
      <c r="AE154" s="73">
        <f t="shared" si="123"/>
        <v>69.089999999999989</v>
      </c>
      <c r="AF154" s="71">
        <f t="shared" si="115"/>
        <v>71.261119669491492</v>
      </c>
      <c r="AG154" s="71">
        <f t="shared" si="104"/>
        <v>188.90707496764466</v>
      </c>
      <c r="AH154" s="71">
        <f t="shared" si="105"/>
        <v>15.33873929008568</v>
      </c>
      <c r="AI154" s="74">
        <f t="shared" si="116"/>
        <v>204.24581425773033</v>
      </c>
      <c r="AJ154" s="73">
        <f t="shared" si="117"/>
        <v>4.4100000000000037</v>
      </c>
      <c r="AK154" s="71">
        <f t="shared" si="106"/>
        <v>18.003806648104018</v>
      </c>
      <c r="AL154" s="71">
        <f t="shared" si="107"/>
        <v>2.8524060736363674</v>
      </c>
      <c r="AM154" s="71">
        <f t="shared" si="118"/>
        <v>0.73761600000000005</v>
      </c>
      <c r="AN154" s="188">
        <f t="shared" si="108"/>
        <v>0.51969600000000005</v>
      </c>
      <c r="AO154" s="74">
        <f t="shared" si="119"/>
        <v>4.1097180736363672</v>
      </c>
      <c r="AP154" s="73">
        <f t="shared" si="109"/>
        <v>10.8045684607438</v>
      </c>
      <c r="AQ154" s="206">
        <f t="shared" si="110"/>
        <v>40.517131727789248</v>
      </c>
      <c r="AR154" s="206">
        <f t="shared" si="111"/>
        <v>8.6013784318131857E-3</v>
      </c>
      <c r="AS154" s="71">
        <f t="shared" si="112"/>
        <v>4.3999999999999997E-2</v>
      </c>
      <c r="AT154" s="74">
        <f t="shared" si="113"/>
        <v>9.9000000000000001E-6</v>
      </c>
      <c r="AU154" s="73">
        <f t="shared" si="120"/>
        <v>300.24697552612082</v>
      </c>
      <c r="AV154" s="71">
        <f t="shared" si="121"/>
        <v>220.5</v>
      </c>
      <c r="AW154" s="74">
        <f t="shared" si="122"/>
        <v>42.343020768814746</v>
      </c>
    </row>
    <row r="155" spans="17:49" x14ac:dyDescent="0.25">
      <c r="Q155">
        <v>148</v>
      </c>
      <c r="R155" s="73">
        <f t="shared" si="96"/>
        <v>50</v>
      </c>
      <c r="S155" s="71">
        <f t="shared" si="97"/>
        <v>4.4399999999999995</v>
      </c>
      <c r="T155" s="71">
        <f t="shared" si="98"/>
        <v>3</v>
      </c>
      <c r="U155" s="74">
        <f t="shared" si="99"/>
        <v>73.999999999999986</v>
      </c>
      <c r="V155" s="73">
        <f>IF(Variable_Management!$B$20=3,2,IF((S155*R155/T155)&lt;((T155*(1-(T155/R155)))/(2*Lm*Fsw)),1,2))</f>
        <v>2</v>
      </c>
      <c r="W155" s="71">
        <f t="shared" si="100"/>
        <v>0.94</v>
      </c>
      <c r="X155" s="74">
        <f t="shared" si="101"/>
        <v>6.0000000000000053E-2</v>
      </c>
      <c r="Y155" s="73">
        <f t="shared" si="102"/>
        <v>0.64090909090909098</v>
      </c>
      <c r="Z155" s="71">
        <f t="shared" si="124"/>
        <v>74.320454545454538</v>
      </c>
      <c r="AA155" s="71">
        <f t="shared" si="125"/>
        <v>74.000231285935172</v>
      </c>
      <c r="AB155" s="71">
        <v>0</v>
      </c>
      <c r="AC155" s="71">
        <f t="shared" si="103"/>
        <v>41.070256727789243</v>
      </c>
      <c r="AD155" s="74">
        <f t="shared" si="114"/>
        <v>41.070256727789243</v>
      </c>
      <c r="AE155" s="73">
        <f t="shared" si="123"/>
        <v>69.559999999999988</v>
      </c>
      <c r="AF155" s="71">
        <f t="shared" si="115"/>
        <v>71.745886129795522</v>
      </c>
      <c r="AG155" s="71">
        <f t="shared" si="104"/>
        <v>191.48596496764458</v>
      </c>
      <c r="AH155" s="71">
        <f t="shared" si="105"/>
        <v>15.443084455324353</v>
      </c>
      <c r="AI155" s="74">
        <f t="shared" si="116"/>
        <v>206.92904942296894</v>
      </c>
      <c r="AJ155" s="73">
        <f t="shared" si="117"/>
        <v>4.4400000000000031</v>
      </c>
      <c r="AK155" s="71">
        <f t="shared" si="106"/>
        <v>18.126280749848114</v>
      </c>
      <c r="AL155" s="71">
        <f t="shared" si="107"/>
        <v>2.8913460736363659</v>
      </c>
      <c r="AM155" s="71">
        <f t="shared" si="118"/>
        <v>0.73761600000000005</v>
      </c>
      <c r="AN155" s="188">
        <f t="shared" si="108"/>
        <v>0.52321600000000001</v>
      </c>
      <c r="AO155" s="74">
        <f t="shared" si="119"/>
        <v>4.1521780736363656</v>
      </c>
      <c r="AP155" s="73">
        <f t="shared" si="109"/>
        <v>10.952068460743797</v>
      </c>
      <c r="AQ155" s="206">
        <f t="shared" si="110"/>
        <v>41.070256727789243</v>
      </c>
      <c r="AR155" s="206">
        <f t="shared" si="111"/>
        <v>8.6013784318131857E-3</v>
      </c>
      <c r="AS155" s="71">
        <f t="shared" si="112"/>
        <v>4.3999999999999997E-2</v>
      </c>
      <c r="AT155" s="74">
        <f t="shared" si="113"/>
        <v>9.9000000000000001E-6</v>
      </c>
      <c r="AU155" s="73">
        <f t="shared" si="120"/>
        <v>304.22642069135941</v>
      </c>
      <c r="AV155" s="71">
        <f t="shared" si="121"/>
        <v>221.99999999999997</v>
      </c>
      <c r="AW155" s="74">
        <f t="shared" si="122"/>
        <v>42.187163409304887</v>
      </c>
    </row>
    <row r="156" spans="17:49" x14ac:dyDescent="0.25">
      <c r="Q156">
        <v>149</v>
      </c>
      <c r="R156" s="73">
        <f t="shared" si="96"/>
        <v>50</v>
      </c>
      <c r="S156" s="71">
        <f t="shared" si="97"/>
        <v>4.47</v>
      </c>
      <c r="T156" s="71">
        <f t="shared" si="98"/>
        <v>3</v>
      </c>
      <c r="U156" s="74">
        <f t="shared" si="99"/>
        <v>74.5</v>
      </c>
      <c r="V156" s="73">
        <f>IF(Variable_Management!$B$20=3,2,IF((S156*R156/T156)&lt;((T156*(1-(T156/R156)))/(2*Lm*Fsw)),1,2))</f>
        <v>2</v>
      </c>
      <c r="W156" s="71">
        <f t="shared" si="100"/>
        <v>0.94</v>
      </c>
      <c r="X156" s="74">
        <f t="shared" si="101"/>
        <v>6.0000000000000053E-2</v>
      </c>
      <c r="Y156" s="73">
        <f t="shared" si="102"/>
        <v>0.64090909090909098</v>
      </c>
      <c r="Z156" s="71">
        <f t="shared" si="124"/>
        <v>74.820454545454552</v>
      </c>
      <c r="AA156" s="71">
        <f t="shared" si="125"/>
        <v>74.500229733685387</v>
      </c>
      <c r="AB156" s="71">
        <v>0</v>
      </c>
      <c r="AC156" s="71">
        <f t="shared" si="103"/>
        <v>41.627131727789248</v>
      </c>
      <c r="AD156" s="74">
        <f t="shared" si="114"/>
        <v>41.627131727789248</v>
      </c>
      <c r="AE156" s="73">
        <f t="shared" si="123"/>
        <v>70.03</v>
      </c>
      <c r="AF156" s="71">
        <f t="shared" si="115"/>
        <v>72.230652610575149</v>
      </c>
      <c r="AG156" s="71">
        <f t="shared" si="104"/>
        <v>194.08233896764463</v>
      </c>
      <c r="AH156" s="71">
        <f t="shared" si="105"/>
        <v>15.547429620563037</v>
      </c>
      <c r="AI156" s="74">
        <f t="shared" si="116"/>
        <v>209.62976858820767</v>
      </c>
      <c r="AJ156" s="73">
        <f t="shared" si="117"/>
        <v>4.4700000000000042</v>
      </c>
      <c r="AK156" s="71">
        <f t="shared" si="106"/>
        <v>18.248754856765281</v>
      </c>
      <c r="AL156" s="71">
        <f t="shared" si="107"/>
        <v>2.9305500736363674</v>
      </c>
      <c r="AM156" s="71">
        <f t="shared" si="118"/>
        <v>0.73761600000000005</v>
      </c>
      <c r="AN156" s="188">
        <f t="shared" si="108"/>
        <v>0.52673600000000009</v>
      </c>
      <c r="AO156" s="74">
        <f t="shared" si="119"/>
        <v>4.1949020736363671</v>
      </c>
      <c r="AP156" s="73">
        <f t="shared" si="109"/>
        <v>11.1005684607438</v>
      </c>
      <c r="AQ156" s="206">
        <f t="shared" si="110"/>
        <v>41.627131727789248</v>
      </c>
      <c r="AR156" s="206">
        <f t="shared" si="111"/>
        <v>8.6013784318131857E-3</v>
      </c>
      <c r="AS156" s="71">
        <f t="shared" si="112"/>
        <v>4.3999999999999997E-2</v>
      </c>
      <c r="AT156" s="74">
        <f t="shared" si="113"/>
        <v>9.9000000000000001E-6</v>
      </c>
      <c r="AU156" s="73">
        <f t="shared" si="120"/>
        <v>308.23211385659812</v>
      </c>
      <c r="AV156" s="71">
        <f t="shared" si="121"/>
        <v>223.5</v>
      </c>
      <c r="AW156" s="74">
        <f t="shared" si="122"/>
        <v>42.032443438290308</v>
      </c>
    </row>
    <row r="157" spans="17:49" ht="15.75" thickBot="1" x14ac:dyDescent="0.3">
      <c r="Q157">
        <v>150</v>
      </c>
      <c r="R157" s="75">
        <f t="shared" si="96"/>
        <v>50</v>
      </c>
      <c r="S157" s="76">
        <f t="shared" si="97"/>
        <v>4.5</v>
      </c>
      <c r="T157" s="76">
        <f t="shared" si="98"/>
        <v>3</v>
      </c>
      <c r="U157" s="77">
        <f t="shared" si="99"/>
        <v>75</v>
      </c>
      <c r="V157" s="73">
        <f>IF(Variable_Management!$B$20=3,2,IF((S157*R157/T157)&lt;((T157*(1-(T157/R157)))/(2*Lm*Fsw)),1,2))</f>
        <v>2</v>
      </c>
      <c r="W157" s="76">
        <f t="shared" si="100"/>
        <v>0.94</v>
      </c>
      <c r="X157" s="74">
        <f t="shared" si="101"/>
        <v>6.0000000000000053E-2</v>
      </c>
      <c r="Y157" s="75">
        <f t="shared" si="102"/>
        <v>0.64090909090909098</v>
      </c>
      <c r="Z157" s="76">
        <f t="shared" si="124"/>
        <v>75.320454545454552</v>
      </c>
      <c r="AA157" s="76">
        <f t="shared" si="125"/>
        <v>75.000228202132163</v>
      </c>
      <c r="AB157" s="76">
        <v>0</v>
      </c>
      <c r="AC157" s="76">
        <f t="shared" si="103"/>
        <v>42.187756727789257</v>
      </c>
      <c r="AD157" s="77">
        <f t="shared" si="114"/>
        <v>42.187756727789257</v>
      </c>
      <c r="AE157" s="75">
        <f t="shared" si="123"/>
        <v>70.5</v>
      </c>
      <c r="AF157" s="71">
        <f t="shared" si="115"/>
        <v>72.715419111420843</v>
      </c>
      <c r="AG157" s="76">
        <f t="shared" si="104"/>
        <v>196.69619696764468</v>
      </c>
      <c r="AH157" s="76">
        <f t="shared" si="105"/>
        <v>15.651774785801715</v>
      </c>
      <c r="AI157" s="77">
        <f t="shared" si="116"/>
        <v>212.34797175344639</v>
      </c>
      <c r="AJ157" s="75">
        <f>X157*U157</f>
        <v>4.5000000000000036</v>
      </c>
      <c r="AK157" s="76">
        <f t="shared" si="106"/>
        <v>18.371228968752046</v>
      </c>
      <c r="AL157" s="71">
        <f t="shared" si="107"/>
        <v>2.9700180736363664</v>
      </c>
      <c r="AM157" s="71">
        <f t="shared" si="118"/>
        <v>0.73761600000000005</v>
      </c>
      <c r="AN157" s="188">
        <f t="shared" si="108"/>
        <v>0.53025600000000006</v>
      </c>
      <c r="AO157" s="74">
        <f t="shared" si="119"/>
        <v>4.2378900736363665</v>
      </c>
      <c r="AP157" s="73">
        <f t="shared" si="109"/>
        <v>11.250068460743801</v>
      </c>
      <c r="AQ157" s="206">
        <f t="shared" si="110"/>
        <v>42.187756727789257</v>
      </c>
      <c r="AR157" s="206">
        <f t="shared" si="111"/>
        <v>8.6013784318131857E-3</v>
      </c>
      <c r="AS157" s="71">
        <f t="shared" si="112"/>
        <v>4.3999999999999997E-2</v>
      </c>
      <c r="AT157" s="77">
        <f t="shared" si="113"/>
        <v>9.9000000000000001E-6</v>
      </c>
      <c r="AU157" s="73">
        <f t="shared" si="120"/>
        <v>312.26405502183684</v>
      </c>
      <c r="AV157" s="76">
        <f t="shared" si="121"/>
        <v>225</v>
      </c>
      <c r="AW157" s="77">
        <f>(AV157/(AV157+AU157))*100</f>
        <v>41.87884856560057</v>
      </c>
    </row>
  </sheetData>
  <mergeCells count="7">
    <mergeCell ref="AP5:AT5"/>
    <mergeCell ref="A1:M1"/>
    <mergeCell ref="R5:U5"/>
    <mergeCell ref="V5:X5"/>
    <mergeCell ref="Y5:AD5"/>
    <mergeCell ref="AE5:AI5"/>
    <mergeCell ref="AJ5:AO5"/>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M708"/>
  <sheetViews>
    <sheetView zoomScale="85" zoomScaleNormal="85" workbookViewId="0">
      <selection activeCell="M37" sqref="M37"/>
    </sheetView>
  </sheetViews>
  <sheetFormatPr defaultRowHeight="15" x14ac:dyDescent="0.25"/>
  <cols>
    <col min="1" max="1" width="18.7109375" customWidth="1"/>
    <col min="2" max="2" width="25" customWidth="1"/>
    <col min="8" max="9" width="8.85546875"/>
    <col min="10" max="10" width="12.7109375" bestFit="1" customWidth="1"/>
    <col min="14" max="14" width="17.85546875" customWidth="1"/>
    <col min="15" max="15" width="16.5703125" style="34" bestFit="1" customWidth="1"/>
    <col min="16" max="16" width="16.5703125" customWidth="1"/>
    <col min="29" max="29" width="8.85546875"/>
    <col min="32" max="37" width="8.7109375"/>
    <col min="38" max="38" width="11.42578125" bestFit="1" customWidth="1"/>
    <col min="39" max="40" width="8.7109375"/>
    <col min="41" max="41" width="13.140625" bestFit="1" customWidth="1"/>
    <col min="42" max="44" width="8.7109375"/>
    <col min="46" max="46" width="10.140625" customWidth="1"/>
    <col min="47" max="47" width="12" bestFit="1" customWidth="1"/>
    <col min="55" max="55" width="8.85546875"/>
    <col min="58" max="58" width="8.85546875"/>
  </cols>
  <sheetData>
    <row r="1" spans="1:65" ht="27.75" x14ac:dyDescent="0.4">
      <c r="A1" s="213" t="s">
        <v>15</v>
      </c>
      <c r="B1" s="213"/>
      <c r="C1" s="213"/>
      <c r="D1" s="213"/>
      <c r="E1" s="213"/>
      <c r="F1" s="213"/>
      <c r="G1" s="213"/>
      <c r="H1" s="213"/>
      <c r="I1" s="213"/>
      <c r="J1" s="213"/>
      <c r="K1" s="213"/>
      <c r="L1" s="213"/>
      <c r="M1" s="213"/>
      <c r="N1" s="213" t="s">
        <v>194</v>
      </c>
      <c r="O1" s="213"/>
      <c r="P1" s="213"/>
      <c r="Q1" s="213"/>
      <c r="R1" s="213"/>
      <c r="S1" s="213"/>
      <c r="T1" s="213"/>
      <c r="U1" s="213"/>
      <c r="V1" s="213"/>
      <c r="W1" s="213"/>
      <c r="X1" s="213"/>
    </row>
    <row r="2" spans="1:65" x14ac:dyDescent="0.25">
      <c r="A2" s="5"/>
      <c r="B2" s="5" t="s">
        <v>16</v>
      </c>
      <c r="C2" s="6"/>
      <c r="D2" s="4"/>
      <c r="E2" s="5"/>
      <c r="F2" s="5"/>
      <c r="G2" s="5"/>
      <c r="H2" s="5"/>
      <c r="I2" s="5"/>
      <c r="J2" s="5"/>
      <c r="K2" s="5"/>
      <c r="L2" s="5"/>
      <c r="M2" s="5"/>
      <c r="O2"/>
    </row>
    <row r="3" spans="1:65" ht="15.75" thickBot="1" x14ac:dyDescent="0.3">
      <c r="A3" s="5"/>
      <c r="B3" s="5" t="s">
        <v>17</v>
      </c>
      <c r="C3" s="7"/>
      <c r="D3" s="4"/>
      <c r="E3" s="5"/>
      <c r="F3" s="14"/>
      <c r="G3" s="15"/>
      <c r="H3" s="15"/>
      <c r="I3" s="15"/>
      <c r="J3" s="15"/>
      <c r="K3" s="24"/>
      <c r="L3" s="5"/>
      <c r="M3" s="5"/>
      <c r="O3" t="s">
        <v>481</v>
      </c>
    </row>
    <row r="4" spans="1:65" ht="15.75" thickBot="1" x14ac:dyDescent="0.3">
      <c r="A4" s="5"/>
      <c r="B4" s="5" t="s">
        <v>18</v>
      </c>
      <c r="C4" s="8"/>
      <c r="D4" s="4"/>
      <c r="E4" s="5"/>
      <c r="F4" s="14"/>
      <c r="G4" s="15"/>
      <c r="H4" s="15"/>
      <c r="I4" s="15"/>
      <c r="J4" s="15"/>
      <c r="K4" s="24"/>
      <c r="L4" s="5"/>
      <c r="M4" s="5"/>
      <c r="N4" s="177"/>
      <c r="O4" s="67"/>
      <c r="P4" s="225" t="s">
        <v>454</v>
      </c>
      <c r="Q4" s="225"/>
      <c r="R4" s="225"/>
      <c r="S4" s="225"/>
      <c r="T4" s="225"/>
      <c r="U4" s="225"/>
      <c r="V4" s="225"/>
      <c r="W4" s="225"/>
      <c r="X4" s="225"/>
      <c r="Y4" s="225"/>
      <c r="Z4" s="225"/>
      <c r="AA4" s="225"/>
      <c r="AB4" s="225"/>
      <c r="AC4" s="225"/>
      <c r="AD4" s="225"/>
      <c r="AE4" s="226"/>
      <c r="AF4" s="224" t="s">
        <v>571</v>
      </c>
      <c r="AG4" s="225"/>
      <c r="AH4" s="225"/>
      <c r="AI4" s="225"/>
      <c r="AJ4" s="225"/>
      <c r="AK4" s="225"/>
      <c r="AL4" s="225"/>
      <c r="AM4" s="225"/>
      <c r="AN4" s="225"/>
      <c r="AO4" s="225"/>
      <c r="AP4" s="225"/>
      <c r="AQ4" s="225"/>
      <c r="AR4" s="226"/>
      <c r="AS4" s="224" t="s">
        <v>225</v>
      </c>
      <c r="AT4" s="225"/>
      <c r="AU4" s="225"/>
      <c r="AV4" s="225"/>
      <c r="AW4" s="225"/>
      <c r="AX4" s="225"/>
      <c r="AY4" s="225"/>
      <c r="AZ4" s="225"/>
      <c r="BA4" s="225"/>
      <c r="BB4" s="225"/>
      <c r="BC4" s="225"/>
      <c r="BD4" s="225"/>
      <c r="BE4" s="226"/>
      <c r="BF4" s="224" t="s">
        <v>484</v>
      </c>
      <c r="BG4" s="225"/>
      <c r="BH4" s="226"/>
      <c r="BI4" s="224" t="s">
        <v>485</v>
      </c>
      <c r="BJ4" s="225"/>
      <c r="BK4" s="226"/>
      <c r="BL4" s="233" t="s">
        <v>486</v>
      </c>
      <c r="BM4" s="234"/>
    </row>
    <row r="5" spans="1:65" ht="15.75" thickBot="1" x14ac:dyDescent="0.3">
      <c r="A5" s="5"/>
      <c r="D5" s="4"/>
      <c r="E5" s="5"/>
      <c r="F5" s="5"/>
      <c r="G5" s="5"/>
      <c r="H5" s="5"/>
      <c r="I5" s="5"/>
      <c r="J5" s="5"/>
      <c r="K5" s="5"/>
      <c r="L5" s="5"/>
      <c r="M5" s="5"/>
      <c r="N5" s="178"/>
      <c r="O5" s="43"/>
      <c r="Q5" s="227" t="s">
        <v>217</v>
      </c>
      <c r="R5" s="227"/>
      <c r="S5" s="227"/>
      <c r="T5" s="223" t="s">
        <v>219</v>
      </c>
      <c r="U5" s="223"/>
      <c r="V5" s="223"/>
      <c r="W5" s="223" t="s">
        <v>219</v>
      </c>
      <c r="X5" s="223"/>
      <c r="Y5" s="223"/>
      <c r="Z5" s="223" t="s">
        <v>222</v>
      </c>
      <c r="AA5" s="223"/>
      <c r="AB5" s="223"/>
      <c r="AC5" s="231" t="s">
        <v>224</v>
      </c>
      <c r="AD5" s="223"/>
      <c r="AE5" s="232"/>
      <c r="AF5" s="153"/>
      <c r="AG5" s="227" t="s">
        <v>217</v>
      </c>
      <c r="AH5" s="227"/>
      <c r="AI5" s="227"/>
      <c r="AJ5" s="228" t="s">
        <v>219</v>
      </c>
      <c r="AK5" s="228"/>
      <c r="AL5" s="228"/>
      <c r="AM5" s="223" t="s">
        <v>258</v>
      </c>
      <c r="AN5" s="223"/>
      <c r="AO5" s="223"/>
      <c r="AP5" s="229" t="s">
        <v>224</v>
      </c>
      <c r="AQ5" s="228"/>
      <c r="AR5" s="230"/>
      <c r="AT5" s="223" t="s">
        <v>231</v>
      </c>
      <c r="AU5" s="223"/>
      <c r="AV5" s="223"/>
      <c r="AW5" s="223" t="s">
        <v>232</v>
      </c>
      <c r="AX5" s="223"/>
      <c r="AY5" s="223"/>
      <c r="AZ5" s="223" t="s">
        <v>226</v>
      </c>
      <c r="BA5" s="223"/>
      <c r="BB5" s="223"/>
      <c r="BC5" s="231" t="s">
        <v>224</v>
      </c>
      <c r="BD5" s="223"/>
      <c r="BE5" s="232"/>
      <c r="BF5" s="231" t="s">
        <v>224</v>
      </c>
      <c r="BG5" s="223"/>
      <c r="BH5" s="232"/>
      <c r="BI5" s="231" t="s">
        <v>224</v>
      </c>
      <c r="BJ5" s="223"/>
      <c r="BK5" s="232"/>
      <c r="BL5" s="231" t="s">
        <v>224</v>
      </c>
      <c r="BM5" s="232"/>
    </row>
    <row r="6" spans="1:65" ht="15.75" thickBot="1" x14ac:dyDescent="0.3">
      <c r="A6" s="9" t="s">
        <v>19</v>
      </c>
      <c r="B6" s="9" t="s">
        <v>20</v>
      </c>
      <c r="C6" s="9" t="s">
        <v>21</v>
      </c>
      <c r="D6" s="4"/>
      <c r="E6" s="214" t="s">
        <v>22</v>
      </c>
      <c r="F6" s="214"/>
      <c r="G6" s="214"/>
      <c r="H6" s="214"/>
      <c r="I6" s="214"/>
      <c r="J6" s="214"/>
      <c r="K6" s="214"/>
      <c r="L6" s="5"/>
      <c r="M6" s="9"/>
      <c r="N6" s="178"/>
      <c r="O6" s="43"/>
      <c r="P6" s="65" t="s">
        <v>200</v>
      </c>
      <c r="Q6" s="62" t="s">
        <v>223</v>
      </c>
      <c r="R6" s="64" t="s">
        <v>220</v>
      </c>
      <c r="S6" s="64" t="s">
        <v>221</v>
      </c>
      <c r="T6" s="64" t="s">
        <v>223</v>
      </c>
      <c r="U6" s="64" t="s">
        <v>220</v>
      </c>
      <c r="V6" s="64" t="s">
        <v>221</v>
      </c>
      <c r="W6" s="64" t="s">
        <v>223</v>
      </c>
      <c r="X6" s="64" t="s">
        <v>220</v>
      </c>
      <c r="Y6" s="64" t="s">
        <v>221</v>
      </c>
      <c r="Z6" s="64" t="s">
        <v>223</v>
      </c>
      <c r="AA6" s="64" t="s">
        <v>220</v>
      </c>
      <c r="AB6" s="64" t="s">
        <v>221</v>
      </c>
      <c r="AC6" s="65" t="s">
        <v>235</v>
      </c>
      <c r="AD6" s="64" t="s">
        <v>220</v>
      </c>
      <c r="AE6" s="181" t="s">
        <v>221</v>
      </c>
      <c r="AF6" s="182" t="s">
        <v>200</v>
      </c>
      <c r="AG6" s="183" t="s">
        <v>223</v>
      </c>
      <c r="AH6" s="183" t="s">
        <v>234</v>
      </c>
      <c r="AI6" s="183" t="s">
        <v>221</v>
      </c>
      <c r="AJ6" s="183" t="s">
        <v>223</v>
      </c>
      <c r="AK6" s="183" t="s">
        <v>234</v>
      </c>
      <c r="AL6" s="183" t="s">
        <v>221</v>
      </c>
      <c r="AM6" s="183" t="s">
        <v>223</v>
      </c>
      <c r="AN6" s="183" t="s">
        <v>234</v>
      </c>
      <c r="AO6" s="183" t="s">
        <v>221</v>
      </c>
      <c r="AP6" s="65" t="s">
        <v>235</v>
      </c>
      <c r="AQ6" s="64" t="s">
        <v>220</v>
      </c>
      <c r="AR6" s="181" t="s">
        <v>221</v>
      </c>
      <c r="AS6" s="65" t="s">
        <v>233</v>
      </c>
      <c r="AT6" s="64" t="s">
        <v>223</v>
      </c>
      <c r="AU6" s="64" t="s">
        <v>234</v>
      </c>
      <c r="AV6" s="64" t="s">
        <v>221</v>
      </c>
      <c r="AW6" s="64" t="s">
        <v>223</v>
      </c>
      <c r="AX6" s="64" t="s">
        <v>234</v>
      </c>
      <c r="AY6" s="64" t="s">
        <v>221</v>
      </c>
      <c r="AZ6" s="64" t="s">
        <v>223</v>
      </c>
      <c r="BA6" s="64" t="s">
        <v>234</v>
      </c>
      <c r="BB6" s="64" t="s">
        <v>221</v>
      </c>
      <c r="BC6" s="65" t="s">
        <v>235</v>
      </c>
      <c r="BD6" s="64" t="s">
        <v>220</v>
      </c>
      <c r="BE6" s="181" t="s">
        <v>221</v>
      </c>
      <c r="BF6" s="65" t="s">
        <v>235</v>
      </c>
      <c r="BG6" s="64" t="s">
        <v>220</v>
      </c>
      <c r="BH6" s="181" t="s">
        <v>221</v>
      </c>
      <c r="BI6" s="65" t="s">
        <v>235</v>
      </c>
      <c r="BJ6" s="64" t="s">
        <v>220</v>
      </c>
      <c r="BK6" s="181" t="s">
        <v>221</v>
      </c>
      <c r="BL6" s="65" t="s">
        <v>220</v>
      </c>
      <c r="BM6" s="181" t="s">
        <v>221</v>
      </c>
    </row>
    <row r="7" spans="1:65" ht="15.75" thickBot="1" x14ac:dyDescent="0.3">
      <c r="A7" s="9"/>
      <c r="B7" s="9"/>
      <c r="C7" s="9"/>
      <c r="D7" s="4"/>
      <c r="E7" s="5"/>
      <c r="F7" s="5"/>
      <c r="G7" s="5"/>
      <c r="H7" s="5"/>
      <c r="I7" s="5"/>
      <c r="J7" s="5"/>
      <c r="K7" s="5"/>
      <c r="L7" s="5"/>
      <c r="M7" s="9"/>
      <c r="N7" s="178" t="s">
        <v>397</v>
      </c>
      <c r="O7" s="67">
        <f>fcross</f>
        <v>1400</v>
      </c>
      <c r="P7" s="63" t="str">
        <f>COMPLEX(ADC_VINmin,0)</f>
        <v>50.2742230347349</v>
      </c>
      <c r="Q7" s="64" t="str">
        <f>IMSUM(COMPLEX(1,0),IMDIV(COMPLEX(0,2*PI()*O7),COMPLEX(wp_lf_VINmin,0)))</f>
        <v>1+20.7850526752129i</v>
      </c>
      <c r="R7" s="64">
        <f t="shared" ref="R7:R13" si="0">IMABS(Q7)</f>
        <v>20.809094519257076</v>
      </c>
      <c r="S7" s="64">
        <f t="shared" ref="S7:S13" si="1">IMARGUMENT(Q7)</f>
        <v>1.5227218997833878</v>
      </c>
      <c r="T7" s="64" t="str">
        <f>IMSUM(COMPLEX(1,0),IMDIV(COMPLEX(0,2*PI()*O7),COMPLEX(wz_esr_VINmin,0)))</f>
        <v>1+0.144701757624346i</v>
      </c>
      <c r="U7" s="64">
        <f t="shared" ref="U7:U13" si="2">IMABS(T7)</f>
        <v>1.010415062565664</v>
      </c>
      <c r="V7" s="64">
        <f t="shared" ref="V7:V13" si="3">IMARGUMENT(T7)</f>
        <v>0.14370430839173176</v>
      </c>
      <c r="W7" s="62" t="str">
        <f>IMSUB(COMPLEX(1,0),IMDIV(COMPLEX(0,2*PI()*O7),COMPLEX(wz_RHP_VINmin,0)))</f>
        <v>1-0.197920337176157i</v>
      </c>
      <c r="X7" s="64">
        <f t="shared" ref="X7:X13" si="4">IMABS(W7)</f>
        <v>1.0193980870434884</v>
      </c>
      <c r="Y7" s="64">
        <f t="shared" ref="Y7:Y13" si="5">IMARGUMENT(W7)</f>
        <v>-0.19539508666566105</v>
      </c>
      <c r="Z7" s="62" t="str">
        <f>IMSUM(COMPLEX(1,0),IMDIV(COMPLEX(0,2*PI()*O7),COMPLEX(Q_VINmin*(wsl_VINmin/2),0)),IMDIV(IMPOWER(COMPLEX(0,2*PI()*O7),2),IMPOWER(COMPLEX(wsl_VINmin/2,0),2)))</f>
        <v>0.999959504132231+0.0335864814601963i</v>
      </c>
      <c r="AA7" s="64">
        <f t="shared" ref="AA7:AA13" si="6">IMABS(Z7)</f>
        <v>1.0005233938500655</v>
      </c>
      <c r="AB7" s="64">
        <f t="shared" ref="AB7:AB13" si="7">IMARGUMENT(Z7)</f>
        <v>3.3575219540949781E-2</v>
      </c>
      <c r="AC7" s="65" t="str">
        <f t="shared" ref="AC7:AC13" si="8">(IMDIV(IMPRODUCT(P7,T7,W7),IMPRODUCT(Q7,Z7)))</f>
        <v>-0.092481094206573-2.48546775327198i</v>
      </c>
      <c r="AD7" s="66">
        <f t="shared" ref="AD7:AD13" si="9">20*LOG(IMABS(AC7))</f>
        <v>7.9141712614119335</v>
      </c>
      <c r="AE7" s="67">
        <f t="shared" ref="AE7:AE13" si="10">(180/PI())*IMARGUMENT(AC7)</f>
        <v>-92.130920040495084</v>
      </c>
      <c r="AF7" s="52" t="str">
        <f t="shared" ref="AF7:AF13" si="11">COMPLEX($B$72,0)</f>
        <v>247.084651286898</v>
      </c>
      <c r="AG7" s="55" t="str">
        <f t="shared" ref="AG7:AG13" si="12">IMSUM(COMPLEX(1,0),IMDIV(COMPLEX(0,2*PI()*O7),COMPLEX(wp_lf_DCM,0)))</f>
        <v>1+22.2581659575986i</v>
      </c>
      <c r="AH7" s="55">
        <f>IMABS(AG7)</f>
        <v>22.280618299230415</v>
      </c>
      <c r="AI7" s="55">
        <f>IMARGUMENT(AG7)</f>
        <v>1.5258991868478526</v>
      </c>
      <c r="AJ7" s="55" t="str">
        <f t="shared" ref="AJ7:AJ13" si="13">IMSUM(COMPLEX(1,0),IMDIV(COMPLEX(0,2*PI()*O7),COMPLEX(wz1_dcm,0)))</f>
        <v>1+0.144701757624346i</v>
      </c>
      <c r="AK7" s="55">
        <f>IMABS(AJ7)</f>
        <v>1.010415062565664</v>
      </c>
      <c r="AL7" s="55">
        <f>IMARGUMENT(AJ7)</f>
        <v>0.14370430839173176</v>
      </c>
      <c r="AM7" s="55" t="str">
        <f t="shared" ref="AM7:AM13" si="14">IMSUB(COMPLEX(1,0),IMDIV(COMPLEX(0,2*PI()*O7),COMPLEX(wz2_dcm,0)))</f>
        <v>1-0.143747565784003i</v>
      </c>
      <c r="AN7" s="55">
        <f>IMABS(AM7)</f>
        <v>1.010278853915505</v>
      </c>
      <c r="AO7" s="55">
        <f>IMARGUMENT(AM7)</f>
        <v>-0.14276956008521255</v>
      </c>
      <c r="AP7" s="52" t="str">
        <f>(IMDIV(IMPRODUCT(AF7,AJ7,AM7),IMPRODUCT(AG7)))</f>
        <v>0.518651096303595-11.3084560174839i</v>
      </c>
      <c r="AQ7" s="55">
        <f>20*LOG(IMABS(AP7))</f>
        <v>21.077192085315414</v>
      </c>
      <c r="AR7" s="58">
        <f>(180/PI())*IMARGUMENT(AP7)</f>
        <v>-87.374026235955625</v>
      </c>
      <c r="AS7" s="39" t="str">
        <f t="shared" ref="AS7:AS13" si="15">COMPLEX(Adc_ea,0)</f>
        <v>-0.0000166666666666667</v>
      </c>
      <c r="AT7" s="39" t="str">
        <f t="shared" ref="AT7:AT13" si="16">COMPLEX(0,2*PI()*O7*wp0_ea)</f>
        <v>0.0000299079620621748i</v>
      </c>
      <c r="AU7" s="39">
        <f t="shared" ref="AU7:AU13" si="17">IMABS(AT7)</f>
        <v>2.9907962062174798E-5</v>
      </c>
      <c r="AV7" s="39">
        <f t="shared" ref="AV7:AV13" si="18">IMARGUMENT(AT7)</f>
        <v>1.5707963267948966</v>
      </c>
      <c r="AW7" s="39" t="str">
        <f t="shared" ref="AW7:AW13" si="19">IMSUM(COMPLEX(1,0),IMDIV(COMPLEX(0,2*PI()*O7),COMPLEX(wp1_ea,0)))</f>
        <v>1+0.0303943545247777i</v>
      </c>
      <c r="AX7" s="39">
        <f t="shared" ref="AX7:AX13" si="20">IMABS(AW7)</f>
        <v>1.0004618017630547</v>
      </c>
      <c r="AY7" s="39">
        <f t="shared" ref="AY7:AY13" si="21">IMARGUMENT(AW7)</f>
        <v>3.0385000104313137E-2</v>
      </c>
      <c r="AZ7" s="39" t="str">
        <f t="shared" ref="AZ7:AZ13" si="22">IMSUM(COMPLEX(1,0),IMDIV(COMPLEX(0,2*PI()*O7),COMPLEX(wz_ea,0)))</f>
        <v>1+1.03340805384244i</v>
      </c>
      <c r="BA7" s="39">
        <f t="shared" ref="BA7:BA13" si="23">IMABS(AZ7)</f>
        <v>1.4380306692648872</v>
      </c>
      <c r="BB7" s="39">
        <f t="shared" ref="BB7:BB13" si="24">IMARGUMENT(AZ7)</f>
        <v>0.80182627201345513</v>
      </c>
      <c r="BC7" s="44" t="str">
        <f t="shared" ref="BC7:BC13" si="25">IMPRODUCT(AS7,IMDIV(AZ7,IMPRODUCT(AT7,AW7)))</f>
        <v>-0.55842875082386+0.574238288333766i</v>
      </c>
      <c r="BD7" s="39">
        <f t="shared" ref="BD7:BD13" si="26">20*LOG(IMABS(BC7))</f>
        <v>-1.9274086932931489</v>
      </c>
      <c r="BE7" s="45">
        <f t="shared" ref="BE7:BE13" si="27">(180/PI())*IMARGUMENT(BC7)</f>
        <v>134.20032902259803</v>
      </c>
      <c r="BF7" s="44" t="str">
        <f t="shared" ref="BF7:BF13" si="28">IMPRODUCT(AC7,BC7)</f>
        <v>1.47889485026027+1.33485046743224i</v>
      </c>
      <c r="BG7" s="46">
        <f t="shared" ref="BG7:BG13" si="29">20*LOG(IMABS(BF7))</f>
        <v>5.9867625681187695</v>
      </c>
      <c r="BH7" s="45">
        <f t="shared" ref="BH7:BH13" si="30">(180/PI())*IMARGUMENT(BF7)</f>
        <v>42.069408982102956</v>
      </c>
      <c r="BI7" s="44" t="str">
        <f>IMPRODUCT(AP7,BC7)</f>
        <v>6.20411874335539+6.6127962853739i</v>
      </c>
      <c r="BJ7" s="46">
        <f t="shared" ref="BJ7:BJ13" si="31">20*LOG(IMABS(BI7))</f>
        <v>19.149783392022261</v>
      </c>
      <c r="BK7" s="45">
        <f t="shared" ref="BK7:BK13" si="32">(180/PI())*IMARGUMENT(BI7)</f>
        <v>46.826302786642387</v>
      </c>
      <c r="BL7" s="41">
        <f>IF($B$31=0,BJ7,BG7)</f>
        <v>5.9867625681187695</v>
      </c>
      <c r="BM7" s="43">
        <f>IF($B$31=0,BK7,BH7)</f>
        <v>42.069408982102956</v>
      </c>
    </row>
    <row r="8" spans="1:65" ht="15.75" thickBot="1" x14ac:dyDescent="0.3">
      <c r="A8" s="9"/>
      <c r="B8" s="9"/>
      <c r="C8" s="9"/>
      <c r="D8" s="4"/>
      <c r="E8" s="5"/>
      <c r="F8" s="5"/>
      <c r="G8" s="5"/>
      <c r="H8" s="5"/>
      <c r="I8" s="5"/>
      <c r="J8" s="5"/>
      <c r="K8" s="5"/>
      <c r="L8" s="5"/>
      <c r="M8" s="9"/>
      <c r="N8" s="177" t="s">
        <v>572</v>
      </c>
      <c r="O8" s="67">
        <f>fcross</f>
        <v>1400</v>
      </c>
      <c r="P8" s="63" t="str">
        <f t="shared" ref="P8:P13" si="33">COMPLEX(Adc,0)</f>
        <v>16.5157725627975</v>
      </c>
      <c r="Q8" s="64" t="str">
        <f t="shared" ref="Q8:Q13" si="34">IMSUM(COMPLEX(1,0),IMDIV(COMPLEX(0,2*PI()*O8),COMPLEX(wp_lf,0)))</f>
        <v>1+22.760583984388i</v>
      </c>
      <c r="R8" s="64">
        <f t="shared" si="0"/>
        <v>22.78254119518671</v>
      </c>
      <c r="S8" s="64">
        <f t="shared" si="1"/>
        <v>1.5268889604839222</v>
      </c>
      <c r="T8" s="64" t="str">
        <f t="shared" ref="T8:T13" si="35">IMSUM(COMPLEX(1,0),IMDIV(COMPLEX(0,2*PI()*O8),COMPLEX(wz_esr,0)))</f>
        <v>1+0.144701757624346i</v>
      </c>
      <c r="U8" s="64">
        <f t="shared" si="2"/>
        <v>1.010415062565664</v>
      </c>
      <c r="V8" s="64">
        <f t="shared" si="3"/>
        <v>0.14370430839173176</v>
      </c>
      <c r="W8" s="62" t="str">
        <f t="shared" ref="W8:W13" si="36">IMSUB(COMPLEX(1,0),IMDIV(COMPLEX(0,2*PI()*O8),COMPLEX(wz_rhp,0)))</f>
        <v>1-2.19911485751286i</v>
      </c>
      <c r="X8" s="64">
        <f t="shared" si="4"/>
        <v>2.4158034184373958</v>
      </c>
      <c r="Y8" s="64">
        <f t="shared" si="5"/>
        <v>-1.1440172176193335</v>
      </c>
      <c r="Z8" s="62" t="str">
        <f t="shared" ref="Z8:Z13" si="37">IMSUM(COMPLEX(1,0),IMDIV(COMPLEX(0,2*PI()*O8),COMPLEX(Q*(wsl/2),0)),IMDIV(IMPOWER(COMPLEX(0,2*PI()*O8),2),IMPOWER(COMPLEX(wsl/2,0),2)))</f>
        <v>0.999959504132231+0.0307876080051799i</v>
      </c>
      <c r="AA8" s="64">
        <f t="shared" si="6"/>
        <v>1.000433349459652</v>
      </c>
      <c r="AB8" s="64">
        <f t="shared" si="7"/>
        <v>3.0779131554566474E-2</v>
      </c>
      <c r="AC8" s="65" t="str">
        <f t="shared" si="8"/>
        <v>-1.47599479357241-0.974662318114615i</v>
      </c>
      <c r="AD8" s="66">
        <f t="shared" si="9"/>
        <v>4.9533994419121443</v>
      </c>
      <c r="AE8" s="67">
        <f t="shared" si="10"/>
        <v>-146.56151544719555</v>
      </c>
      <c r="AF8" s="41" t="str">
        <f t="shared" si="11"/>
        <v>247.084651286898</v>
      </c>
      <c r="AG8" t="str">
        <f t="shared" si="12"/>
        <v>1+22.2581659575986i</v>
      </c>
      <c r="AH8">
        <f t="shared" ref="AH8:AH13" si="38">IMABS(AG8)</f>
        <v>22.280618299230415</v>
      </c>
      <c r="AI8">
        <f t="shared" ref="AI8:AI13" si="39">IMARGUMENT(AG8)</f>
        <v>1.5258991868478526</v>
      </c>
      <c r="AJ8" t="str">
        <f t="shared" si="13"/>
        <v>1+0.144701757624346i</v>
      </c>
      <c r="AK8">
        <f t="shared" ref="AK8:AK13" si="40">IMABS(AJ8)</f>
        <v>1.010415062565664</v>
      </c>
      <c r="AL8">
        <f t="shared" ref="AL8:AL13" si="41">IMARGUMENT(AJ8)</f>
        <v>0.14370430839173176</v>
      </c>
      <c r="AM8" t="str">
        <f t="shared" si="14"/>
        <v>1-0.143747565784003i</v>
      </c>
      <c r="AN8">
        <f t="shared" ref="AN8:AN13" si="42">IMABS(AM8)</f>
        <v>1.010278853915505</v>
      </c>
      <c r="AO8">
        <f t="shared" ref="AO8:AO13" si="43">IMARGUMENT(AM8)</f>
        <v>-0.14276956008521255</v>
      </c>
      <c r="AP8" s="41" t="str">
        <f t="shared" ref="AP8:AP13" si="44">(IMDIV(IMPRODUCT(AF8,AJ8,AM8),IMPRODUCT(AG8)))</f>
        <v>0.518651096303595-11.3084560174839i</v>
      </c>
      <c r="AQ8">
        <f t="shared" ref="AQ8:AQ13" si="45">20*LOG(IMABS(AP8))</f>
        <v>21.077192085315414</v>
      </c>
      <c r="AR8" s="43">
        <f t="shared" ref="AR8:AR13" si="46">(180/PI())*IMARGUMENT(AP8)</f>
        <v>-87.374026235955625</v>
      </c>
      <c r="AS8" s="62" t="str">
        <f t="shared" si="15"/>
        <v>-0.0000166666666666667</v>
      </c>
      <c r="AT8" s="62" t="str">
        <f t="shared" si="16"/>
        <v>0.0000299079620621748i</v>
      </c>
      <c r="AU8" s="62">
        <f t="shared" si="17"/>
        <v>2.9907962062174798E-5</v>
      </c>
      <c r="AV8" s="62">
        <f t="shared" si="18"/>
        <v>1.5707963267948966</v>
      </c>
      <c r="AW8" s="62" t="str">
        <f t="shared" si="19"/>
        <v>1+0.0303943545247777i</v>
      </c>
      <c r="AX8" s="62">
        <f t="shared" si="20"/>
        <v>1.0004618017630547</v>
      </c>
      <c r="AY8" s="62">
        <f t="shared" si="21"/>
        <v>3.0385000104313137E-2</v>
      </c>
      <c r="AZ8" s="62" t="str">
        <f t="shared" si="22"/>
        <v>1+1.03340805384244i</v>
      </c>
      <c r="BA8" s="62">
        <f t="shared" si="23"/>
        <v>1.4380306692648872</v>
      </c>
      <c r="BB8" s="62">
        <f t="shared" si="24"/>
        <v>0.80182627201345513</v>
      </c>
      <c r="BC8" s="61" t="str">
        <f t="shared" si="25"/>
        <v>-0.55842875082386+0.574238288333766i</v>
      </c>
      <c r="BD8" s="62">
        <f t="shared" si="26"/>
        <v>-1.9274086932931489</v>
      </c>
      <c r="BE8" s="67">
        <f t="shared" si="27"/>
        <v>134.20032902259803</v>
      </c>
      <c r="BF8" s="61" t="str">
        <f t="shared" si="28"/>
        <v>1.38392635005472-0.303293263070739i</v>
      </c>
      <c r="BG8" s="66">
        <f t="shared" si="29"/>
        <v>3.0259907486190016</v>
      </c>
      <c r="BH8" s="67">
        <f t="shared" si="30"/>
        <v>-12.361186424597507</v>
      </c>
      <c r="BI8" s="61" t="str">
        <f t="shared" ref="BI8:BI13" si="47">IMPRODUCT(AP8,BC8)</f>
        <v>6.20411874335539+6.6127962853739i</v>
      </c>
      <c r="BJ8" s="66">
        <f t="shared" si="31"/>
        <v>19.149783392022261</v>
      </c>
      <c r="BK8" s="67">
        <f t="shared" si="32"/>
        <v>46.826302786642387</v>
      </c>
      <c r="BL8" s="41">
        <f t="shared" ref="BL8:BL13" si="48">IF($B$31=0,BJ8,BG8)</f>
        <v>3.0259907486190016</v>
      </c>
      <c r="BM8" s="43">
        <f t="shared" ref="BM8:BM13" si="49">IF($B$31=0,BK8,BH8)</f>
        <v>-12.361186424597507</v>
      </c>
    </row>
    <row r="9" spans="1:65" ht="15.75" thickBot="1" x14ac:dyDescent="0.3">
      <c r="A9" s="50" t="s">
        <v>172</v>
      </c>
      <c r="B9" s="9"/>
      <c r="C9" s="9"/>
      <c r="D9" s="4"/>
      <c r="E9" s="5"/>
      <c r="F9" s="5"/>
      <c r="G9" s="5"/>
      <c r="H9" s="5"/>
      <c r="I9" s="5"/>
      <c r="J9" s="5"/>
      <c r="K9" s="5"/>
      <c r="L9" s="5"/>
      <c r="M9" s="9"/>
      <c r="N9" s="179" t="s">
        <v>258</v>
      </c>
      <c r="O9" s="68">
        <f>IF($B$31=0,B78,wz_rhp/(2*PI()))</f>
        <v>636.61977236758139</v>
      </c>
      <c r="P9" s="53" t="str">
        <f t="shared" si="33"/>
        <v>16.5157725627975</v>
      </c>
      <c r="Q9" s="54" t="str">
        <f t="shared" si="34"/>
        <v>1+10.3498841393531i</v>
      </c>
      <c r="R9" s="54">
        <f t="shared" si="0"/>
        <v>10.39808163547646</v>
      </c>
      <c r="S9" s="54">
        <f t="shared" si="1"/>
        <v>1.4744758724965148</v>
      </c>
      <c r="T9" s="54" t="str">
        <f t="shared" si="35"/>
        <v>1+0.0658i</v>
      </c>
      <c r="U9" s="54">
        <f t="shared" si="2"/>
        <v>1.0021624818361541</v>
      </c>
      <c r="V9" s="54">
        <f t="shared" si="3"/>
        <v>6.570528249679744E-2</v>
      </c>
      <c r="W9" s="55" t="str">
        <f t="shared" si="36"/>
        <v>1-i</v>
      </c>
      <c r="X9" s="54">
        <f t="shared" si="4"/>
        <v>1.4142135623730951</v>
      </c>
      <c r="Y9" s="54">
        <f t="shared" si="5"/>
        <v>-0.78539816339744828</v>
      </c>
      <c r="Z9" s="55" t="str">
        <f t="shared" si="37"/>
        <v>0.999991626348459+0.014i</v>
      </c>
      <c r="AA9" s="54">
        <f t="shared" si="6"/>
        <v>1.0000896223674336</v>
      </c>
      <c r="AB9" s="54">
        <f t="shared" si="7"/>
        <v>1.3999202650013131E-2</v>
      </c>
      <c r="AC9" s="56" t="str">
        <f t="shared" si="8"/>
        <v>-1.33948859332938-1.8089795848172i</v>
      </c>
      <c r="AD9" s="57">
        <f t="shared" si="9"/>
        <v>7.0471977573265718</v>
      </c>
      <c r="AE9" s="58">
        <f t="shared" si="10"/>
        <v>-126.51870433753278</v>
      </c>
      <c r="AF9" s="41" t="str">
        <f t="shared" si="11"/>
        <v>247.084651286898</v>
      </c>
      <c r="AG9" t="str">
        <f t="shared" si="12"/>
        <v>1+10.1214203894616i</v>
      </c>
      <c r="AH9">
        <f t="shared" si="38"/>
        <v>10.170700600263926</v>
      </c>
      <c r="AI9">
        <f t="shared" si="39"/>
        <v>1.4723155750819312</v>
      </c>
      <c r="AJ9" t="str">
        <f t="shared" si="13"/>
        <v>1+0.0658i</v>
      </c>
      <c r="AK9">
        <f t="shared" si="40"/>
        <v>1.0021624818361541</v>
      </c>
      <c r="AL9">
        <f t="shared" si="41"/>
        <v>6.570528249679744E-2</v>
      </c>
      <c r="AM9" t="str">
        <f t="shared" si="14"/>
        <v>1-0.0653661018627184i</v>
      </c>
      <c r="AN9">
        <f t="shared" si="42"/>
        <v>1.0021340864738246</v>
      </c>
      <c r="AO9">
        <f t="shared" si="43"/>
        <v>-6.5273242628654318E-2</v>
      </c>
      <c r="AP9" s="41" t="str">
        <f t="shared" si="44"/>
        <v>2.40936684475397-24.2790051382414i</v>
      </c>
      <c r="AQ9">
        <f t="shared" si="45"/>
        <v>27.747177451770497</v>
      </c>
      <c r="AR9" s="43">
        <f t="shared" si="46"/>
        <v>-84.332714502545358</v>
      </c>
      <c r="AS9" s="55" t="str">
        <f t="shared" si="15"/>
        <v>-0.0000166666666666667</v>
      </c>
      <c r="AT9" s="55" t="str">
        <f t="shared" si="16"/>
        <v>0.0000136i</v>
      </c>
      <c r="AU9" s="55">
        <f t="shared" si="17"/>
        <v>1.36E-5</v>
      </c>
      <c r="AV9" s="55">
        <f t="shared" si="18"/>
        <v>1.5707963267948966</v>
      </c>
      <c r="AW9" s="55" t="str">
        <f t="shared" si="19"/>
        <v>1+0.0138211764705882i</v>
      </c>
      <c r="AX9" s="55">
        <f t="shared" si="20"/>
        <v>1.0000955078986362</v>
      </c>
      <c r="AY9" s="55">
        <f t="shared" si="21"/>
        <v>1.3820296508404084E-2</v>
      </c>
      <c r="AZ9" s="55" t="str">
        <f t="shared" si="22"/>
        <v>1+0.46992i</v>
      </c>
      <c r="BA9" s="55">
        <f t="shared" si="23"/>
        <v>1.104909410947341</v>
      </c>
      <c r="BB9" s="55">
        <f t="shared" si="24"/>
        <v>0.43929535983458112</v>
      </c>
      <c r="BC9" s="52" t="str">
        <f t="shared" si="25"/>
        <v>-0.558837884716523+1.23321399310155i</v>
      </c>
      <c r="BD9" s="55">
        <f t="shared" si="26"/>
        <v>2.631900746407934</v>
      </c>
      <c r="BE9" s="58">
        <f t="shared" si="27"/>
        <v>114.37792541665141</v>
      </c>
      <c r="BF9" s="52" t="str">
        <f t="shared" si="28"/>
        <v>2.9794159093297-0.640949752219085i</v>
      </c>
      <c r="BG9" s="57">
        <f t="shared" si="29"/>
        <v>9.6790985037344939</v>
      </c>
      <c r="BH9" s="58">
        <f t="shared" si="30"/>
        <v>-12.140778920881379</v>
      </c>
      <c r="BI9" s="61" t="str">
        <f t="shared" si="47"/>
        <v>28.5947634040353+16.5392927819419i</v>
      </c>
      <c r="BJ9" s="57">
        <f t="shared" si="31"/>
        <v>30.379078198178426</v>
      </c>
      <c r="BK9" s="58">
        <f t="shared" si="32"/>
        <v>30.045210914106001</v>
      </c>
      <c r="BL9" s="41">
        <f t="shared" si="48"/>
        <v>9.6790985037344939</v>
      </c>
      <c r="BM9" s="43">
        <f t="shared" si="49"/>
        <v>-12.140778920881379</v>
      </c>
    </row>
    <row r="10" spans="1:65" ht="15.75" thickBot="1" x14ac:dyDescent="0.3">
      <c r="A10" t="s">
        <v>25</v>
      </c>
      <c r="B10" s="3">
        <f>VIN_min</f>
        <v>10</v>
      </c>
      <c r="C10" t="s">
        <v>10</v>
      </c>
      <c r="E10" t="s">
        <v>28</v>
      </c>
      <c r="N10" s="178" t="s">
        <v>219</v>
      </c>
      <c r="O10" s="69">
        <f>IF(B31=0,B76,wz_esr/(2*PI()))</f>
        <v>9675.072528382696</v>
      </c>
      <c r="P10" s="33" t="str">
        <f t="shared" si="33"/>
        <v>16.5157725627975</v>
      </c>
      <c r="Q10" s="4" t="str">
        <f t="shared" si="34"/>
        <v>1+157.293072026643i</v>
      </c>
      <c r="R10" s="4">
        <f t="shared" si="0"/>
        <v>157.29625077406865</v>
      </c>
      <c r="S10" s="4">
        <f t="shared" si="1"/>
        <v>1.5644388533563665</v>
      </c>
      <c r="T10" s="4" t="str">
        <f t="shared" si="35"/>
        <v>1+i</v>
      </c>
      <c r="U10" s="4">
        <f t="shared" si="2"/>
        <v>1.4142135623730951</v>
      </c>
      <c r="V10" s="4">
        <f t="shared" si="3"/>
        <v>0.78539816339744828</v>
      </c>
      <c r="W10" t="str">
        <f t="shared" si="36"/>
        <v>1-15.1975683890577i</v>
      </c>
      <c r="X10" s="4">
        <f t="shared" si="4"/>
        <v>15.230432854652751</v>
      </c>
      <c r="Y10" s="4">
        <f t="shared" si="5"/>
        <v>-1.5050910442980989</v>
      </c>
      <c r="Z10" t="str">
        <f t="shared" si="37"/>
        <v>0.998065970486995+0.212765957446808i</v>
      </c>
      <c r="AA10" s="4">
        <f t="shared" si="6"/>
        <v>1.0204925448490076</v>
      </c>
      <c r="AB10" s="4">
        <f t="shared" si="7"/>
        <v>0.2100342498693645</v>
      </c>
      <c r="AC10" s="47" t="str">
        <f t="shared" si="8"/>
        <v>-1.76768160054785-1.33663568098271i</v>
      </c>
      <c r="AD10" s="20">
        <f t="shared" si="9"/>
        <v>6.9119586055182411</v>
      </c>
      <c r="AE10" s="43">
        <f t="shared" si="10"/>
        <v>-142.90518429553509</v>
      </c>
      <c r="AF10" s="41" t="str">
        <f t="shared" si="11"/>
        <v>247.084651286898</v>
      </c>
      <c r="AG10" t="str">
        <f t="shared" si="12"/>
        <v>1+153.820978563247i</v>
      </c>
      <c r="AH10">
        <f t="shared" si="38"/>
        <v>153.82422906081763</v>
      </c>
      <c r="AI10">
        <f t="shared" si="39"/>
        <v>1.5642953545494078</v>
      </c>
      <c r="AJ10" t="str">
        <f t="shared" si="13"/>
        <v>1+i</v>
      </c>
      <c r="AK10">
        <f t="shared" si="40"/>
        <v>1.4142135623730951</v>
      </c>
      <c r="AL10">
        <f t="shared" si="41"/>
        <v>0.78539816339744828</v>
      </c>
      <c r="AM10" t="str">
        <f t="shared" si="14"/>
        <v>1-0.993405803384777i</v>
      </c>
      <c r="AN10">
        <f t="shared" si="42"/>
        <v>1.4095584734939357</v>
      </c>
      <c r="AO10">
        <f t="shared" si="43"/>
        <v>-0.78209017033804351</v>
      </c>
      <c r="AP10" s="41" t="str">
        <f t="shared" si="44"/>
        <v>0.0314076432723136-3.20182965132306i</v>
      </c>
      <c r="AQ10">
        <f t="shared" si="45"/>
        <v>10.108382310480613</v>
      </c>
      <c r="AR10" s="43">
        <f t="shared" si="46"/>
        <v>-89.437987686639346</v>
      </c>
      <c r="AS10" t="str">
        <f t="shared" si="15"/>
        <v>-0.0000166666666666667</v>
      </c>
      <c r="AT10" t="str">
        <f t="shared" si="16"/>
        <v>0.000206686930091185i</v>
      </c>
      <c r="AU10">
        <f t="shared" si="17"/>
        <v>2.0668693009118501E-4</v>
      </c>
      <c r="AV10">
        <f t="shared" si="18"/>
        <v>1.5707963267948966</v>
      </c>
      <c r="AW10" t="str">
        <f t="shared" si="19"/>
        <v>1+0.210048274629i</v>
      </c>
      <c r="AX10">
        <f t="shared" si="20"/>
        <v>1.0218220381625265</v>
      </c>
      <c r="AY10">
        <f t="shared" si="21"/>
        <v>0.20703842940825931</v>
      </c>
      <c r="AZ10" t="str">
        <f t="shared" si="22"/>
        <v>1+7.14164133738602i</v>
      </c>
      <c r="BA10">
        <f t="shared" si="23"/>
        <v>7.2113134026930759</v>
      </c>
      <c r="BB10">
        <f t="shared" si="24"/>
        <v>1.431677009708612</v>
      </c>
      <c r="BC10" s="41" t="str">
        <f t="shared" si="25"/>
        <v>-0.535325908929803+0.193081538436867i</v>
      </c>
      <c r="BD10">
        <f t="shared" si="26"/>
        <v>-4.8965031978056688</v>
      </c>
      <c r="BE10" s="43">
        <f t="shared" si="27"/>
        <v>160.16662208010322</v>
      </c>
      <c r="BF10" s="41" t="str">
        <f t="shared" si="28"/>
        <v>1.20436543312552+0.374229027929753i</v>
      </c>
      <c r="BG10" s="20">
        <f t="shared" si="29"/>
        <v>2.015455407712587</v>
      </c>
      <c r="BH10" s="43">
        <f t="shared" si="30"/>
        <v>17.261437784568095</v>
      </c>
      <c r="BI10" s="61" t="str">
        <f t="shared" si="47"/>
        <v>0.60140086970814+1.72008660441461i</v>
      </c>
      <c r="BJ10" s="20">
        <f t="shared" si="31"/>
        <v>5.2118791126749624</v>
      </c>
      <c r="BK10" s="43">
        <f t="shared" si="32"/>
        <v>70.728634393463906</v>
      </c>
      <c r="BL10" s="41">
        <f t="shared" si="48"/>
        <v>2.015455407712587</v>
      </c>
      <c r="BM10" s="43">
        <f t="shared" si="49"/>
        <v>17.261437784568095</v>
      </c>
    </row>
    <row r="11" spans="1:65" ht="15.75" thickBot="1" x14ac:dyDescent="0.3">
      <c r="A11" t="s">
        <v>26</v>
      </c>
      <c r="B11" s="3">
        <f>VIN_nom</f>
        <v>3</v>
      </c>
      <c r="C11" t="s">
        <v>10</v>
      </c>
      <c r="E11" t="s">
        <v>29</v>
      </c>
      <c r="N11" s="180" t="s">
        <v>217</v>
      </c>
      <c r="O11" s="70">
        <f>IF(B31=0,B74,wp_lf/(2*PI()))</f>
        <v>61.509845308024218</v>
      </c>
      <c r="P11" s="59" t="str">
        <f t="shared" si="33"/>
        <v>16.5157725627975</v>
      </c>
      <c r="Q11" s="38" t="str">
        <f t="shared" si="34"/>
        <v>1+i</v>
      </c>
      <c r="R11" s="38">
        <f t="shared" si="0"/>
        <v>1.4142135623730951</v>
      </c>
      <c r="S11" s="38">
        <f t="shared" si="1"/>
        <v>0.78539816339744828</v>
      </c>
      <c r="T11" s="38" t="str">
        <f t="shared" si="35"/>
        <v>1+0.00635755909090909i</v>
      </c>
      <c r="U11" s="38">
        <f t="shared" si="2"/>
        <v>1.0000202090745938</v>
      </c>
      <c r="V11" s="38">
        <f t="shared" si="3"/>
        <v>6.3574734385301555E-3</v>
      </c>
      <c r="W11" s="39" t="str">
        <f t="shared" si="36"/>
        <v>1-0.0966194390715667i</v>
      </c>
      <c r="X11" s="38">
        <f t="shared" si="4"/>
        <v>1.0046568150400932</v>
      </c>
      <c r="Y11" s="38">
        <f t="shared" si="5"/>
        <v>-9.6320454298382013E-2</v>
      </c>
      <c r="Z11" s="39" t="str">
        <f t="shared" si="37"/>
        <v>0.999999921829317+0.00135267214700193i</v>
      </c>
      <c r="AA11" s="38">
        <f t="shared" si="6"/>
        <v>1.0000008366899387</v>
      </c>
      <c r="AB11" s="38">
        <f t="shared" si="7"/>
        <v>1.3526714277373225E-3</v>
      </c>
      <c r="AC11" s="42" t="str">
        <f t="shared" si="8"/>
        <v>7.50538799587183-9.01848417665106i</v>
      </c>
      <c r="AD11" s="46">
        <f t="shared" si="9"/>
        <v>21.388200872357697</v>
      </c>
      <c r="AE11" s="45">
        <f t="shared" si="10"/>
        <v>-50.232001479563046</v>
      </c>
      <c r="AF11" s="41" t="str">
        <f t="shared" si="11"/>
        <v>247.084651286898</v>
      </c>
      <c r="AG11" t="str">
        <f t="shared" si="12"/>
        <v>1+0.9779259606373i</v>
      </c>
      <c r="AH11">
        <f t="shared" si="38"/>
        <v>1.3986919548236438</v>
      </c>
      <c r="AI11">
        <f t="shared" si="39"/>
        <v>0.77423843172382811</v>
      </c>
      <c r="AJ11" t="str">
        <f t="shared" si="13"/>
        <v>1+0.00635755909090909i</v>
      </c>
      <c r="AK11">
        <f t="shared" si="40"/>
        <v>1.0000202090745938</v>
      </c>
      <c r="AL11">
        <f t="shared" si="41"/>
        <v>6.3574734385301555E-3</v>
      </c>
      <c r="AM11" t="str">
        <f t="shared" si="14"/>
        <v>1-0.00631563609627074i</v>
      </c>
      <c r="AN11">
        <f t="shared" si="42"/>
        <v>1.0000199434307802</v>
      </c>
      <c r="AO11">
        <f t="shared" si="43"/>
        <v>-6.3155521271421036E-3</v>
      </c>
      <c r="AP11" s="41" t="str">
        <f t="shared" si="44"/>
        <v>126.309744276638-123.511219481072i</v>
      </c>
      <c r="AQ11">
        <f t="shared" si="45"/>
        <v>44.942822583443814</v>
      </c>
      <c r="AR11" s="43">
        <f t="shared" si="46"/>
        <v>-44.358192560388957</v>
      </c>
      <c r="AS11" s="39" t="str">
        <f t="shared" si="15"/>
        <v>-0.0000166666666666667</v>
      </c>
      <c r="AT11" s="39" t="str">
        <f t="shared" si="16"/>
        <v>1.31402437137331E-06i</v>
      </c>
      <c r="AU11" s="39">
        <f t="shared" si="17"/>
        <v>1.3140243713733099E-6</v>
      </c>
      <c r="AV11" s="39">
        <f t="shared" si="18"/>
        <v>1.5707963267948966</v>
      </c>
      <c r="AW11" s="39" t="str">
        <f t="shared" si="19"/>
        <v>1+0.00133539431789737i</v>
      </c>
      <c r="AX11" s="39">
        <f t="shared" si="20"/>
        <v>1.0000008916385945</v>
      </c>
      <c r="AY11" s="39">
        <f t="shared" si="21"/>
        <v>1.3353935241051235E-3</v>
      </c>
      <c r="AZ11" s="39" t="str">
        <f t="shared" si="22"/>
        <v>1+0.0454034068085106i</v>
      </c>
      <c r="BA11" s="39">
        <f t="shared" si="23"/>
        <v>1.0010302040147536</v>
      </c>
      <c r="BB11" s="39">
        <f t="shared" si="24"/>
        <v>4.5372246097712204E-2</v>
      </c>
      <c r="BC11" s="44" t="str">
        <f t="shared" si="25"/>
        <v>-0.558943639926313+12.6844279534856i</v>
      </c>
      <c r="BD11" s="39">
        <f t="shared" si="26"/>
        <v>22.073842475696907</v>
      </c>
      <c r="BE11" s="45">
        <f t="shared" si="27"/>
        <v>92.523125795507511</v>
      </c>
      <c r="BF11" s="44" t="str">
        <f t="shared" si="28"/>
        <v>110.199223902908+100.242377668907i</v>
      </c>
      <c r="BG11" s="46">
        <f t="shared" si="29"/>
        <v>43.462043348054578</v>
      </c>
      <c r="BH11" s="45">
        <f t="shared" si="30"/>
        <v>42.29112431594455</v>
      </c>
      <c r="BI11" s="61" t="str">
        <f t="shared" si="47"/>
        <v>1496.06913673066+1671.20266168869i</v>
      </c>
      <c r="BJ11" s="46">
        <f t="shared" si="31"/>
        <v>67.01666505914072</v>
      </c>
      <c r="BK11" s="45">
        <f t="shared" si="32"/>
        <v>48.16493323511849</v>
      </c>
      <c r="BL11" s="41">
        <f t="shared" si="48"/>
        <v>43.462043348054578</v>
      </c>
      <c r="BM11" s="43">
        <f t="shared" si="49"/>
        <v>42.29112431594455</v>
      </c>
    </row>
    <row r="12" spans="1:65" ht="15.75" thickBot="1" x14ac:dyDescent="0.3">
      <c r="A12" t="s">
        <v>27</v>
      </c>
      <c r="B12" s="3">
        <f>VIN_max</f>
        <v>16</v>
      </c>
      <c r="C12" t="s">
        <v>10</v>
      </c>
      <c r="E12" t="s">
        <v>30</v>
      </c>
      <c r="N12" s="179" t="s">
        <v>226</v>
      </c>
      <c r="O12" s="58">
        <f>wz_ea/(2*PI())</f>
        <v>1354.7407481434739</v>
      </c>
      <c r="P12" s="53" t="str">
        <f t="shared" si="33"/>
        <v>16.5157725627975</v>
      </c>
      <c r="Q12" s="54" t="str">
        <f t="shared" si="34"/>
        <v>1+22.0247789822801i</v>
      </c>
      <c r="R12" s="54">
        <f t="shared" si="0"/>
        <v>22.047468998011706</v>
      </c>
      <c r="S12" s="54">
        <f t="shared" si="1"/>
        <v>1.5254240806971844</v>
      </c>
      <c r="T12" s="54" t="str">
        <f t="shared" si="35"/>
        <v>1+0.140023833844059i</v>
      </c>
      <c r="U12" s="54">
        <f t="shared" si="2"/>
        <v>1.0097557496961276</v>
      </c>
      <c r="V12" s="54">
        <f t="shared" si="3"/>
        <v>0.13911931708628514</v>
      </c>
      <c r="W12" s="55" t="str">
        <f t="shared" si="36"/>
        <v>1-2.12802179094314i</v>
      </c>
      <c r="X12" s="54">
        <f t="shared" si="4"/>
        <v>2.35127130351409</v>
      </c>
      <c r="Y12" s="54">
        <f t="shared" si="5"/>
        <v>-1.1315009669603155</v>
      </c>
      <c r="Z12" s="55" t="str">
        <f t="shared" si="37"/>
        <v>0.999962080113746+0.0297923050732039i</v>
      </c>
      <c r="AA12" s="54">
        <f t="shared" si="6"/>
        <v>1.0004057892210465</v>
      </c>
      <c r="AB12" s="54">
        <f t="shared" si="7"/>
        <v>2.9784624160369661E-2</v>
      </c>
      <c r="AC12" s="56" t="str">
        <f t="shared" si="8"/>
        <v>-1.47327630167428-0.99500337523912i</v>
      </c>
      <c r="AD12" s="57">
        <f t="shared" si="9"/>
        <v>4.997660700021969</v>
      </c>
      <c r="AE12" s="58">
        <f t="shared" si="10"/>
        <v>-145.96617525435602</v>
      </c>
      <c r="AF12" s="41" t="str">
        <f t="shared" si="11"/>
        <v>247.084651286898</v>
      </c>
      <c r="AG12" t="str">
        <f t="shared" si="12"/>
        <v>1+21.5386031440705i</v>
      </c>
      <c r="AH12">
        <f t="shared" si="38"/>
        <v>21.561804780624549</v>
      </c>
      <c r="AI12">
        <f t="shared" si="39"/>
        <v>1.5244013775389564</v>
      </c>
      <c r="AJ12" t="str">
        <f t="shared" si="13"/>
        <v>1+0.140023833844059i</v>
      </c>
      <c r="AK12">
        <f t="shared" si="40"/>
        <v>1.0097557496961276</v>
      </c>
      <c r="AL12">
        <f t="shared" si="41"/>
        <v>0.13911931708628514</v>
      </c>
      <c r="AM12" t="str">
        <f t="shared" si="14"/>
        <v>1-0.139100489152874i</v>
      </c>
      <c r="AN12">
        <f t="shared" si="42"/>
        <v>1.0096281226682273</v>
      </c>
      <c r="AO12">
        <f t="shared" si="43"/>
        <v>-0.13821361338613264</v>
      </c>
      <c r="AP12" s="41" t="str">
        <f t="shared" si="44"/>
        <v>0.552387206243193-11.6695045160949i</v>
      </c>
      <c r="AQ12">
        <f t="shared" si="45"/>
        <v>21.350768649005705</v>
      </c>
      <c r="AR12" s="43">
        <f t="shared" si="46"/>
        <v>-87.289872217402902</v>
      </c>
      <c r="AS12" s="55" t="str">
        <f t="shared" si="15"/>
        <v>-0.0000166666666666667</v>
      </c>
      <c r="AT12" s="55" t="str">
        <f t="shared" si="16"/>
        <v>0.0000289410963568267i</v>
      </c>
      <c r="AU12" s="55">
        <f t="shared" si="17"/>
        <v>2.8941096356826699E-5</v>
      </c>
      <c r="AV12" s="55">
        <f t="shared" si="18"/>
        <v>1.5707963267948966</v>
      </c>
      <c r="AW12" s="55" t="str">
        <f t="shared" si="19"/>
        <v>1+0.0294117647058824i</v>
      </c>
      <c r="AX12" s="55">
        <f t="shared" si="20"/>
        <v>1.0004324324526441</v>
      </c>
      <c r="AY12" s="55">
        <f t="shared" si="21"/>
        <v>2.9403288204005163E-2</v>
      </c>
      <c r="AZ12" s="55" t="str">
        <f t="shared" si="22"/>
        <v>1+i</v>
      </c>
      <c r="BA12" s="55">
        <f t="shared" si="23"/>
        <v>1.4142135623730951</v>
      </c>
      <c r="BB12" s="55">
        <f t="shared" si="24"/>
        <v>0.78539816339744828</v>
      </c>
      <c r="BC12" s="52" t="str">
        <f t="shared" si="25"/>
        <v>-0.558461538461539+0.592307692307693i</v>
      </c>
      <c r="BD12" s="55">
        <f t="shared" si="26"/>
        <v>-1.7867798835352935</v>
      </c>
      <c r="BE12" s="58">
        <f t="shared" si="27"/>
        <v>133.31531568210372</v>
      </c>
      <c r="BF12" s="52" t="str">
        <f t="shared" si="28"/>
        <v>1.41211630303819-0.316961770665842i</v>
      </c>
      <c r="BG12" s="57">
        <f t="shared" si="29"/>
        <v>3.2108808164866542</v>
      </c>
      <c r="BH12" s="58">
        <f t="shared" si="30"/>
        <v>-12.65085957225233</v>
      </c>
      <c r="BI12" s="61" t="str">
        <f t="shared" si="47"/>
        <v>6.60345028127733+6.84415263653243i</v>
      </c>
      <c r="BJ12" s="57">
        <f t="shared" si="31"/>
        <v>19.563988765470409</v>
      </c>
      <c r="BK12" s="58">
        <f t="shared" si="32"/>
        <v>46.025443464700778</v>
      </c>
      <c r="BL12" s="41">
        <f t="shared" si="48"/>
        <v>3.2108808164866542</v>
      </c>
      <c r="BM12" s="43">
        <f t="shared" si="49"/>
        <v>-12.65085957225233</v>
      </c>
    </row>
    <row r="13" spans="1:65" ht="15.75" thickBot="1" x14ac:dyDescent="0.3">
      <c r="A13" t="s">
        <v>64</v>
      </c>
      <c r="B13" s="3">
        <f>Fsw</f>
        <v>440000</v>
      </c>
      <c r="C13" t="s">
        <v>65</v>
      </c>
      <c r="E13" t="s">
        <v>66</v>
      </c>
      <c r="N13" s="180" t="s">
        <v>232</v>
      </c>
      <c r="O13" s="45">
        <f>wp1_ea/(2*PI())</f>
        <v>46061.185436878121</v>
      </c>
      <c r="P13" s="59" t="str">
        <f t="shared" si="33"/>
        <v>16.5157725627975</v>
      </c>
      <c r="Q13" s="38" t="str">
        <f t="shared" si="34"/>
        <v>1+748.842485397525i</v>
      </c>
      <c r="R13" s="38">
        <f t="shared" si="0"/>
        <v>748.84315309438625</v>
      </c>
      <c r="S13" s="38">
        <f t="shared" si="1"/>
        <v>1.5694609332707914</v>
      </c>
      <c r="T13" s="38" t="str">
        <f t="shared" si="35"/>
        <v>1+4.76081035069799i</v>
      </c>
      <c r="U13" s="38">
        <f t="shared" si="2"/>
        <v>4.864700935855474</v>
      </c>
      <c r="V13" s="38">
        <f t="shared" si="3"/>
        <v>1.3637578973866367</v>
      </c>
      <c r="W13" s="39" t="str">
        <f t="shared" si="36"/>
        <v>1-72.3527408920667i</v>
      </c>
      <c r="X13" s="38">
        <f t="shared" si="4"/>
        <v>72.359651150309872</v>
      </c>
      <c r="Y13" s="38">
        <f t="shared" si="5"/>
        <v>-1.5569760302864926</v>
      </c>
      <c r="Z13" s="39" t="str">
        <f t="shared" si="37"/>
        <v>0.956164611490693+1.01293837248893i</v>
      </c>
      <c r="AA13" s="38">
        <f t="shared" si="6"/>
        <v>1.3929446904768581</v>
      </c>
      <c r="AB13" s="38">
        <f t="shared" si="7"/>
        <v>0.81422247439999829</v>
      </c>
      <c r="AC13" s="42" t="str">
        <f t="shared" si="8"/>
        <v>-4.70822269830379-2.98267738879335i</v>
      </c>
      <c r="AD13" s="46">
        <f t="shared" si="9"/>
        <v>14.922535381928588</v>
      </c>
      <c r="AE13" s="45">
        <f t="shared" si="10"/>
        <v>-147.64558249545789</v>
      </c>
      <c r="AF13" s="44" t="str">
        <f t="shared" si="11"/>
        <v>247.084651286898</v>
      </c>
      <c r="AG13" s="39" t="str">
        <f t="shared" si="12"/>
        <v>1+732.312506898398i</v>
      </c>
      <c r="AH13" s="39">
        <f t="shared" si="38"/>
        <v>732.31318966670005</v>
      </c>
      <c r="AI13" s="39">
        <f t="shared" si="39"/>
        <v>1.5694307904029647</v>
      </c>
      <c r="AJ13" s="39" t="str">
        <f t="shared" si="13"/>
        <v>1+4.76081035069799i</v>
      </c>
      <c r="AK13" s="39">
        <f t="shared" si="40"/>
        <v>4.864700935855474</v>
      </c>
      <c r="AL13" s="39">
        <f t="shared" si="41"/>
        <v>1.3637578973866367</v>
      </c>
      <c r="AM13" s="39" t="str">
        <f t="shared" si="14"/>
        <v>1-4.7294166311977i</v>
      </c>
      <c r="AN13" s="39">
        <f t="shared" si="42"/>
        <v>4.8339819684654799</v>
      </c>
      <c r="AO13" s="39">
        <f t="shared" si="43"/>
        <v>-1.3624228959596627</v>
      </c>
      <c r="AP13" s="44" t="str">
        <f t="shared" si="44"/>
        <v>0.0214269235620056-7.93429787348492i</v>
      </c>
      <c r="AQ13" s="39">
        <f t="shared" si="45"/>
        <v>17.990201691733148</v>
      </c>
      <c r="AR13" s="45">
        <f t="shared" si="46"/>
        <v>-89.84527058056122</v>
      </c>
      <c r="AS13" s="39" t="str">
        <f t="shared" si="15"/>
        <v>-0.0000166666666666667</v>
      </c>
      <c r="AT13" s="39" t="str">
        <f t="shared" si="16"/>
        <v>0.000983997276132108i</v>
      </c>
      <c r="AU13" s="39">
        <f t="shared" si="17"/>
        <v>9.8399727613210797E-4</v>
      </c>
      <c r="AV13" s="39">
        <f t="shared" si="18"/>
        <v>1.5707963267948966</v>
      </c>
      <c r="AW13" s="39" t="str">
        <f t="shared" si="19"/>
        <v>1+i</v>
      </c>
      <c r="AX13" s="39">
        <f t="shared" si="20"/>
        <v>1.4142135623730951</v>
      </c>
      <c r="AY13" s="39">
        <f t="shared" si="21"/>
        <v>0.78539816339744828</v>
      </c>
      <c r="AZ13" s="39" t="str">
        <f t="shared" si="22"/>
        <v>1+34i</v>
      </c>
      <c r="BA13" s="39">
        <f t="shared" si="23"/>
        <v>34.014702703389901</v>
      </c>
      <c r="BB13" s="39">
        <f t="shared" si="24"/>
        <v>1.5413930385908916</v>
      </c>
      <c r="BC13" s="44" t="str">
        <f t="shared" si="25"/>
        <v>-0.279472318339101+0.296410034602077i</v>
      </c>
      <c r="BD13" s="39">
        <f t="shared" si="26"/>
        <v>-7.7998692994701182</v>
      </c>
      <c r="BE13" s="45">
        <f t="shared" si="27"/>
        <v>133.31531568210369</v>
      </c>
      <c r="BF13" s="44" t="str">
        <f t="shared" si="28"/>
        <v>2.19991342077081-0.561988688214817i</v>
      </c>
      <c r="BG13" s="46">
        <f t="shared" si="29"/>
        <v>7.1226660824584815</v>
      </c>
      <c r="BH13" s="45">
        <f t="shared" si="30"/>
        <v>-14.330266813354173</v>
      </c>
      <c r="BI13" s="61" t="str">
        <f t="shared" si="47"/>
        <v>2.3458172752201+2.22376777625026i</v>
      </c>
      <c r="BJ13" s="46">
        <f t="shared" si="31"/>
        <v>10.190332392263024</v>
      </c>
      <c r="BK13" s="45">
        <f t="shared" si="32"/>
        <v>43.470045101542503</v>
      </c>
      <c r="BL13" s="44">
        <f t="shared" si="48"/>
        <v>7.1226660824584815</v>
      </c>
      <c r="BM13" s="45">
        <f t="shared" si="49"/>
        <v>-14.330266813354173</v>
      </c>
    </row>
    <row r="15" spans="1:65" ht="15.75" thickBot="1" x14ac:dyDescent="0.3">
      <c r="A15" s="49" t="s">
        <v>456</v>
      </c>
      <c r="O15" s="34" t="s">
        <v>196</v>
      </c>
      <c r="P15">
        <f>B16</f>
        <v>3</v>
      </c>
      <c r="Q15" t="s">
        <v>10</v>
      </c>
    </row>
    <row r="16" spans="1:65" ht="15.75" thickBot="1" x14ac:dyDescent="0.3">
      <c r="A16" t="s">
        <v>198</v>
      </c>
      <c r="B16">
        <f>VIN_var</f>
        <v>3</v>
      </c>
      <c r="C16" t="s">
        <v>10</v>
      </c>
      <c r="E16" t="s">
        <v>199</v>
      </c>
      <c r="O16" s="48"/>
      <c r="P16" s="225" t="s">
        <v>454</v>
      </c>
      <c r="Q16" s="225"/>
      <c r="R16" s="225"/>
      <c r="S16" s="225"/>
      <c r="T16" s="225"/>
      <c r="U16" s="225"/>
      <c r="V16" s="225"/>
      <c r="W16" s="225"/>
      <c r="X16" s="225"/>
      <c r="Y16" s="225"/>
      <c r="Z16" s="225"/>
      <c r="AA16" s="225"/>
      <c r="AB16" s="225"/>
      <c r="AC16" s="225"/>
      <c r="AD16" s="225"/>
      <c r="AE16" s="226"/>
      <c r="AF16" s="224" t="s">
        <v>455</v>
      </c>
      <c r="AG16" s="225"/>
      <c r="AH16" s="225"/>
      <c r="AI16" s="225"/>
      <c r="AJ16" s="225"/>
      <c r="AK16" s="225"/>
      <c r="AL16" s="225"/>
      <c r="AM16" s="225"/>
      <c r="AN16" s="225"/>
      <c r="AO16" s="225"/>
      <c r="AP16" s="225"/>
      <c r="AQ16" s="225"/>
      <c r="AR16" s="226"/>
      <c r="AS16" s="224" t="s">
        <v>225</v>
      </c>
      <c r="AT16" s="225"/>
      <c r="AU16" s="225"/>
      <c r="AV16" s="225"/>
      <c r="AW16" s="225"/>
      <c r="AX16" s="225"/>
      <c r="AY16" s="225"/>
      <c r="AZ16" s="225"/>
      <c r="BA16" s="225"/>
      <c r="BB16" s="225"/>
      <c r="BC16" s="225"/>
      <c r="BD16" s="225"/>
      <c r="BE16" s="226"/>
      <c r="BF16" s="224" t="s">
        <v>484</v>
      </c>
      <c r="BG16" s="225"/>
      <c r="BH16" s="226"/>
      <c r="BI16" s="224" t="s">
        <v>485</v>
      </c>
      <c r="BJ16" s="225"/>
      <c r="BK16" s="226"/>
      <c r="BL16" s="224" t="s">
        <v>486</v>
      </c>
      <c r="BM16" s="226"/>
    </row>
    <row r="17" spans="1:65" x14ac:dyDescent="0.25">
      <c r="A17" t="s">
        <v>382</v>
      </c>
      <c r="B17">
        <f>IOUT</f>
        <v>4.5</v>
      </c>
      <c r="C17" t="s">
        <v>11</v>
      </c>
      <c r="E17" t="s">
        <v>477</v>
      </c>
      <c r="O17" s="36"/>
      <c r="Q17" s="227" t="s">
        <v>217</v>
      </c>
      <c r="R17" s="227"/>
      <c r="S17" s="227"/>
      <c r="T17" s="223" t="s">
        <v>219</v>
      </c>
      <c r="U17" s="223"/>
      <c r="V17" s="223"/>
      <c r="W17" s="223" t="s">
        <v>258</v>
      </c>
      <c r="X17" s="223"/>
      <c r="Y17" s="223"/>
      <c r="Z17" s="223" t="s">
        <v>222</v>
      </c>
      <c r="AA17" s="223"/>
      <c r="AB17" s="223"/>
      <c r="AC17" s="231" t="s">
        <v>224</v>
      </c>
      <c r="AD17" s="223"/>
      <c r="AE17" s="232"/>
      <c r="AF17" s="153"/>
      <c r="AG17" s="227" t="s">
        <v>217</v>
      </c>
      <c r="AH17" s="227"/>
      <c r="AI17" s="227"/>
      <c r="AJ17" s="228" t="s">
        <v>219</v>
      </c>
      <c r="AK17" s="228"/>
      <c r="AL17" s="228"/>
      <c r="AM17" s="223" t="s">
        <v>258</v>
      </c>
      <c r="AN17" s="223"/>
      <c r="AO17" s="223"/>
      <c r="AP17" s="229" t="s">
        <v>224</v>
      </c>
      <c r="AQ17" s="228"/>
      <c r="AR17" s="230"/>
      <c r="AT17" s="223" t="s">
        <v>231</v>
      </c>
      <c r="AU17" s="223"/>
      <c r="AV17" s="223"/>
      <c r="AW17" s="223" t="s">
        <v>232</v>
      </c>
      <c r="AX17" s="223"/>
      <c r="AY17" s="223"/>
      <c r="AZ17" s="223" t="s">
        <v>226</v>
      </c>
      <c r="BA17" s="223"/>
      <c r="BB17" s="223"/>
      <c r="BC17" s="231" t="s">
        <v>224</v>
      </c>
      <c r="BD17" s="223"/>
      <c r="BE17" s="232"/>
      <c r="BF17" s="231" t="s">
        <v>224</v>
      </c>
      <c r="BG17" s="223"/>
      <c r="BH17" s="232"/>
      <c r="BI17" s="231" t="s">
        <v>224</v>
      </c>
      <c r="BJ17" s="223"/>
      <c r="BK17" s="232"/>
      <c r="BM17" s="43"/>
    </row>
    <row r="18" spans="1:65" ht="15.75" thickBot="1" x14ac:dyDescent="0.3">
      <c r="N18" s="9"/>
      <c r="O18" s="37" t="s">
        <v>195</v>
      </c>
      <c r="P18" s="38" t="s">
        <v>200</v>
      </c>
      <c r="Q18" s="39" t="s">
        <v>223</v>
      </c>
      <c r="R18" s="38" t="s">
        <v>220</v>
      </c>
      <c r="S18" s="38" t="s">
        <v>221</v>
      </c>
      <c r="T18" s="38" t="s">
        <v>223</v>
      </c>
      <c r="U18" s="38" t="s">
        <v>220</v>
      </c>
      <c r="V18" s="38" t="s">
        <v>221</v>
      </c>
      <c r="W18" s="38" t="s">
        <v>223</v>
      </c>
      <c r="X18" s="38" t="s">
        <v>220</v>
      </c>
      <c r="Y18" s="38" t="s">
        <v>221</v>
      </c>
      <c r="Z18" s="38" t="s">
        <v>223</v>
      </c>
      <c r="AA18" s="38" t="s">
        <v>220</v>
      </c>
      <c r="AB18" s="38" t="s">
        <v>221</v>
      </c>
      <c r="AC18" s="42" t="s">
        <v>235</v>
      </c>
      <c r="AD18" s="38" t="s">
        <v>220</v>
      </c>
      <c r="AE18" s="40" t="s">
        <v>221</v>
      </c>
      <c r="AF18" s="156" t="s">
        <v>200</v>
      </c>
      <c r="AG18" s="156" t="s">
        <v>223</v>
      </c>
      <c r="AH18" s="156" t="s">
        <v>234</v>
      </c>
      <c r="AI18" s="156" t="s">
        <v>221</v>
      </c>
      <c r="AJ18" s="156" t="s">
        <v>223</v>
      </c>
      <c r="AK18" s="156" t="s">
        <v>234</v>
      </c>
      <c r="AL18" s="156" t="s">
        <v>221</v>
      </c>
      <c r="AM18" s="156" t="s">
        <v>223</v>
      </c>
      <c r="AN18" s="156" t="s">
        <v>234</v>
      </c>
      <c r="AO18" s="156" t="s">
        <v>221</v>
      </c>
      <c r="AP18" s="42" t="s">
        <v>235</v>
      </c>
      <c r="AQ18" s="38" t="s">
        <v>220</v>
      </c>
      <c r="AR18" s="40" t="s">
        <v>221</v>
      </c>
      <c r="AS18" s="38" t="s">
        <v>233</v>
      </c>
      <c r="AT18" s="38" t="s">
        <v>223</v>
      </c>
      <c r="AU18" s="38" t="s">
        <v>234</v>
      </c>
      <c r="AV18" s="38" t="s">
        <v>221</v>
      </c>
      <c r="AW18" s="38" t="s">
        <v>223</v>
      </c>
      <c r="AX18" s="38" t="s">
        <v>234</v>
      </c>
      <c r="AY18" s="38" t="s">
        <v>221</v>
      </c>
      <c r="AZ18" s="38" t="s">
        <v>223</v>
      </c>
      <c r="BA18" s="38" t="s">
        <v>234</v>
      </c>
      <c r="BB18" s="38" t="s">
        <v>221</v>
      </c>
      <c r="BC18" s="42" t="s">
        <v>235</v>
      </c>
      <c r="BD18" s="38" t="s">
        <v>220</v>
      </c>
      <c r="BE18" s="40" t="s">
        <v>221</v>
      </c>
      <c r="BF18" s="42" t="s">
        <v>235</v>
      </c>
      <c r="BG18" s="38" t="s">
        <v>220</v>
      </c>
      <c r="BH18" s="40" t="s">
        <v>221</v>
      </c>
      <c r="BI18" s="42" t="s">
        <v>235</v>
      </c>
      <c r="BJ18" s="38" t="s">
        <v>220</v>
      </c>
      <c r="BK18" s="40" t="s">
        <v>221</v>
      </c>
      <c r="BL18" s="4" t="s">
        <v>487</v>
      </c>
      <c r="BM18" s="60" t="s">
        <v>488</v>
      </c>
    </row>
    <row r="19" spans="1:65" x14ac:dyDescent="0.25">
      <c r="A19" t="s">
        <v>31</v>
      </c>
      <c r="B19" s="29">
        <f>VOUT</f>
        <v>50</v>
      </c>
      <c r="C19" t="s">
        <v>10</v>
      </c>
      <c r="E19" t="s">
        <v>173</v>
      </c>
      <c r="N19" s="9">
        <v>1</v>
      </c>
      <c r="O19" s="34">
        <f>10^(1+(N19/100))</f>
        <v>10.232929922807543</v>
      </c>
      <c r="P19" s="33" t="str">
        <f t="shared" ref="P19:P82" si="50">COMPLEX(Adc,0)</f>
        <v>16.5157725627975</v>
      </c>
      <c r="Q19" s="4" t="str">
        <f>IMSUM(COMPLEX(1,0),IMDIV(COMPLEX(0,2*PI()*O19),COMPLEX(wp_lf,0)))</f>
        <v>1+0.166362472081727i</v>
      </c>
      <c r="R19" s="4">
        <f>IMABS(Q19)</f>
        <v>1.0137437901743929</v>
      </c>
      <c r="S19" s="4">
        <f>IMARGUMENT(Q19)</f>
        <v>0.16485268971286565</v>
      </c>
      <c r="T19" s="4" t="str">
        <f t="shared" ref="T19:T82" si="51">IMSUM(COMPLEX(1,0),IMDIV(COMPLEX(0,2*PI()*O19),COMPLEX(wz_esr,0)))</f>
        <v>1+0.0010576592467693i</v>
      </c>
      <c r="U19" s="4">
        <f>IMABS(T19)</f>
        <v>1.0000005593213848</v>
      </c>
      <c r="V19" s="4">
        <f>IMARGUMENT(T19)</f>
        <v>1.0576588523884981E-3</v>
      </c>
      <c r="W19" t="str">
        <f t="shared" ref="W19:W82" si="52">IMSUB(COMPLEX(1,0),IMDIV(COMPLEX(0,2*PI()*O19),COMPLEX(wz_rhp,0)))</f>
        <v>1-0.0160738487350957i</v>
      </c>
      <c r="X19" s="4">
        <f>IMABS(W19)</f>
        <v>1.0001291759633646</v>
      </c>
      <c r="Y19" s="4">
        <f>IMARGUMENT(W19)</f>
        <v>-1.6072464623654002E-2</v>
      </c>
      <c r="Z19" t="str">
        <f t="shared" ref="Z19:Z82" si="53">IMSUM(COMPLEX(1,0),IMDIV(COMPLEX(0,2*PI()*O19),COMPLEX(Q*(wsl/2),0)),IMDIV(IMPOWER(COMPLEX(0,2*PI()*O19),2),IMPOWER(COMPLEX(wsl/2,0),2)))</f>
        <v>0.999999997836511+0.000225033882291339i</v>
      </c>
      <c r="AA19" s="4">
        <f>IMABS(Z19)</f>
        <v>1.0000000231566348</v>
      </c>
      <c r="AB19" s="4">
        <f>IMARGUMENT(Z19)</f>
        <v>2.2503387897960687E-4</v>
      </c>
      <c r="AC19" s="47" t="str">
        <f>(IMDIV(IMPRODUCT(P19,T19,W19),IMPRODUCT(Q19,Z19)))</f>
        <v>16.0304534671568-2.91858649714544i</v>
      </c>
      <c r="AD19" s="20">
        <f>20*LOG(IMABS(AC19))</f>
        <v>24.240540327098788</v>
      </c>
      <c r="AE19" s="43">
        <f>(180/PI())*IMARGUMENT(AC19)</f>
        <v>-10.318541854342133</v>
      </c>
      <c r="AF19" t="str">
        <f t="shared" ref="AF19:AF82" si="54">COMPLEX($B$72,0)</f>
        <v>247.084651286898</v>
      </c>
      <c r="AG19" t="str">
        <f t="shared" ref="AG19:AG82" si="55">IMSUM(COMPLEX(1,0),IMDIV(COMPLEX(0,2*PI()*O19),COMPLEX(wp_lf_DCM,0)))</f>
        <v>1+0.162690180324519i</v>
      </c>
      <c r="AH19">
        <f>IMABS(AG19)</f>
        <v>1.0131476174645158</v>
      </c>
      <c r="AI19">
        <f>IMARGUMENT(AG19)</f>
        <v>0.16127718653126666</v>
      </c>
      <c r="AJ19" t="str">
        <f t="shared" ref="AJ19:AJ82" si="56">IMSUM(COMPLEX(1,0),IMDIV(COMPLEX(0,2*PI()*O19),COMPLEX(wz1_dcm,0)))</f>
        <v>1+0.0010576592467693i</v>
      </c>
      <c r="AK19">
        <f>IMABS(AJ19)</f>
        <v>1.0000005593213848</v>
      </c>
      <c r="AL19">
        <f>IMARGUMENT(AJ19)</f>
        <v>1.0576588523884981E-3</v>
      </c>
      <c r="AM19" t="str">
        <f t="shared" ref="AM19:AM82" si="57">IMSUB(COMPLEX(1,0),IMDIV(COMPLEX(0,2*PI()*O19),COMPLEX(wz2_dcm,0)))</f>
        <v>1-0.00105068483374419i</v>
      </c>
      <c r="AN19">
        <f>IMABS(AM19)</f>
        <v>1.0000005519691575</v>
      </c>
      <c r="AO19">
        <f>IMARGUMENT(AM19)</f>
        <v>-1.0506844471139245E-3</v>
      </c>
      <c r="AP19" s="41" t="str">
        <f>(IMDIV(IMPRODUCT(AF19,AJ19,AM19),IMPRODUCT(AG19)))</f>
        <v>240.713966153395-39.1600752897158i</v>
      </c>
      <c r="AQ19">
        <f>20*LOG(IMABS(AP19))</f>
        <v>47.743470466949475</v>
      </c>
      <c r="AR19" s="43">
        <f>(180/PI())*IMARGUMENT(AP19)</f>
        <v>-9.240102515998867</v>
      </c>
      <c r="AS19" t="str">
        <f t="shared" ref="AS19:AS82" si="58">COMPLEX(Adc_ea,0)</f>
        <v>-0.0000166666666666667</v>
      </c>
      <c r="AT19" t="str">
        <f t="shared" ref="AT19:AT82" si="59">COMPLEX(0,2*PI()*O19*wp0_ea)</f>
        <v>2.18604342797301E-07i</v>
      </c>
      <c r="AU19">
        <f>IMABS(AT19)</f>
        <v>2.1860434279730101E-7</v>
      </c>
      <c r="AV19">
        <f>IMARGUMENT(AT19)</f>
        <v>1.5707963267948966</v>
      </c>
      <c r="AW19" t="str">
        <f t="shared" ref="AW19:AW82" si="60">IMSUM(COMPLEX(1,0),IMDIV(COMPLEX(0,2*PI()*O19),COMPLEX(wp1_ea,0)))</f>
        <v>1+0.000222159499929299i</v>
      </c>
      <c r="AX19">
        <f>IMABS(AW19)</f>
        <v>1.0000000246774214</v>
      </c>
      <c r="AY19">
        <f>IMARGUMENT(AW19)</f>
        <v>2.2215949627441667E-4</v>
      </c>
      <c r="AZ19" t="str">
        <f t="shared" ref="AZ19:AZ82" si="61">IMSUM(COMPLEX(1,0),IMDIV(COMPLEX(0,2*PI()*O19),COMPLEX(wz_ea,0)))</f>
        <v>1+0.00755342299759616i</v>
      </c>
      <c r="BA19">
        <f>IMABS(AZ19)</f>
        <v>1.0000285266926041</v>
      </c>
      <c r="BB19">
        <f>IMARGUMENT(AZ19)</f>
        <v>7.5532793510139492E-3</v>
      </c>
      <c r="BC19" s="41" t="str">
        <f>IMPRODUCT(AS19,IMDIV(AZ19,IMPRODUCT(AT19,AW19)))</f>
        <v>-0.55894460909158+76.2413664731413i</v>
      </c>
      <c r="BD19">
        <f>20*LOG(IMABS(BC19))</f>
        <v>37.644046846143986</v>
      </c>
      <c r="BE19" s="43">
        <f>(180/PI())*IMARGUMENT(BC19)</f>
        <v>90.420042226781135</v>
      </c>
      <c r="BF19" s="41" t="str">
        <f>IMPRODUCT(AC19,BC19)</f>
        <v>213.556887165667+1223.81500570889i</v>
      </c>
      <c r="BG19" s="20">
        <f>20*LOG(IMABS(BF19))</f>
        <v>61.884587173242799</v>
      </c>
      <c r="BH19" s="43">
        <f>(180/PI())*IMARGUMENT(BF19)</f>
        <v>80.101500372439006</v>
      </c>
      <c r="BI19" s="41" t="str">
        <f>IMPRODUCT(AP19,BC19)</f>
        <v>2851.07187756453+18374.2500216791i</v>
      </c>
      <c r="BJ19" s="20">
        <f>20*LOG(IMABS(BI19))</f>
        <v>85.387517313093454</v>
      </c>
      <c r="BK19" s="43">
        <f>(180/PI())*IMARGUMENT(BI19)</f>
        <v>81.179939710782264</v>
      </c>
      <c r="BL19">
        <f>IF($B$31=0,BJ19,BG19)</f>
        <v>61.884587173242799</v>
      </c>
      <c r="BM19" s="43">
        <f>IF($B$31=0,BK19,BH19)</f>
        <v>80.101500372439006</v>
      </c>
    </row>
    <row r="20" spans="1:65" x14ac:dyDescent="0.25">
      <c r="A20" t="s">
        <v>33</v>
      </c>
      <c r="B20" s="29">
        <f>IOUT</f>
        <v>4.5</v>
      </c>
      <c r="C20" t="s">
        <v>11</v>
      </c>
      <c r="E20" t="s">
        <v>34</v>
      </c>
      <c r="N20" s="9">
        <v>2</v>
      </c>
      <c r="O20" s="34">
        <f t="shared" ref="O20:O83" si="62">10^(1+(N20/100))</f>
        <v>10.471285480509</v>
      </c>
      <c r="P20" s="33" t="str">
        <f t="shared" si="50"/>
        <v>16.5157725627975</v>
      </c>
      <c r="Q20" s="4" t="str">
        <f t="shared" ref="Q20:Q82" si="63">IMSUM(COMPLEX(1,0),IMDIV(COMPLEX(0,2*PI()*O20),COMPLEX(wp_lf,0)))</f>
        <v>1+0.170237551859734i</v>
      </c>
      <c r="R20" s="4">
        <f t="shared" ref="R20:R83" si="64">IMABS(Q20)</f>
        <v>1.0143869202938274</v>
      </c>
      <c r="S20" s="4">
        <f t="shared" ref="S20:S83" si="65">IMARGUMENT(Q20)</f>
        <v>0.16862102752568764</v>
      </c>
      <c r="T20" s="4" t="str">
        <f t="shared" si="51"/>
        <v>1+0.00108229529543996i</v>
      </c>
      <c r="U20" s="4">
        <f t="shared" ref="U20:U83" si="66">IMABS(T20)</f>
        <v>1.0000005856813818</v>
      </c>
      <c r="V20" s="4">
        <f t="shared" ref="V20:V83" si="67">IMARGUMENT(T20)</f>
        <v>1.0822948728533306E-3</v>
      </c>
      <c r="W20" t="str">
        <f t="shared" si="52"/>
        <v>1-0.0164482567696043i</v>
      </c>
      <c r="X20" s="4">
        <f t="shared" ref="X20:X83" si="68">IMABS(W20)</f>
        <v>1.000135263427282</v>
      </c>
      <c r="Y20" s="4">
        <f t="shared" ref="Y20:Y83" si="69">IMARGUMENT(W20)</f>
        <v>-1.6446773678306933E-2</v>
      </c>
      <c r="Z20" t="str">
        <f t="shared" si="53"/>
        <v>0.999999997734549+0.00023027559477446i</v>
      </c>
      <c r="AA20" s="4">
        <f t="shared" ref="AA20:AA83" si="70">IMABS(Z20)</f>
        <v>1.0000000242479734</v>
      </c>
      <c r="AB20" s="4">
        <f t="shared" ref="AB20:AB83" si="71">IMARGUMENT(Z20)</f>
        <v>2.3027559122587506E-4</v>
      </c>
      <c r="AC20" s="47" t="str">
        <f t="shared" ref="AC20:AC83" si="72">(IMDIV(IMPRODUCT(P20,T20,W20),IMPRODUCT(Q20,Z20)))</f>
        <v>16.0082252737802-2.98278503913054i</v>
      </c>
      <c r="AD20" s="20">
        <f t="shared" ref="AD20:AD83" si="73">20*LOG(IMABS(AC20))</f>
        <v>24.235084738685451</v>
      </c>
      <c r="AE20" s="43">
        <f t="shared" ref="AE20:AE83" si="74">(180/PI())*IMARGUMENT(AC20)</f>
        <v>-10.554786823854046</v>
      </c>
      <c r="AF20" t="str">
        <f t="shared" si="54"/>
        <v>247.084651286898</v>
      </c>
      <c r="AG20" t="str">
        <f t="shared" si="55"/>
        <v>1+0.166479721438973i</v>
      </c>
      <c r="AH20">
        <f t="shared" ref="AH20:AH83" si="75">IMABS(AG20)</f>
        <v>1.0137630382147487</v>
      </c>
      <c r="AI20">
        <f t="shared" ref="AI20:AI83" si="76">IMARGUMENT(AG20)</f>
        <v>0.16496677924833733</v>
      </c>
      <c r="AJ20" t="str">
        <f t="shared" si="56"/>
        <v>1+0.00108229529543996i</v>
      </c>
      <c r="AK20">
        <f t="shared" ref="AK20:AK83" si="77">IMABS(AJ20)</f>
        <v>1.0000005856813818</v>
      </c>
      <c r="AL20">
        <f t="shared" ref="AL20:AL83" si="78">IMARGUMENT(AJ20)</f>
        <v>1.0822948728533306E-3</v>
      </c>
      <c r="AM20" t="str">
        <f t="shared" si="57"/>
        <v>1-0.0010751584274661i</v>
      </c>
      <c r="AN20">
        <f t="shared" ref="AN20:AN83" si="79">IMABS(AM20)</f>
        <v>1.0000005779826551</v>
      </c>
      <c r="AO20">
        <f t="shared" ref="AO20:AO83" si="80">IMARGUMENT(AM20)</f>
        <v>-1.0751580131843192E-3</v>
      </c>
      <c r="AP20" s="41" t="str">
        <f t="shared" ref="AP20:AP83" si="81">(IMDIV(IMPRODUCT(AF20,AJ20,AM20),IMPRODUCT(AG20)))</f>
        <v>240.421821935353-40.0235945331133i</v>
      </c>
      <c r="AQ20">
        <f t="shared" ref="AQ20:AQ83" si="82">20*LOG(IMABS(AP20))</f>
        <v>47.738196415194238</v>
      </c>
      <c r="AR20" s="43">
        <f t="shared" ref="AR20:AR83" si="83">(180/PI())*IMARGUMENT(AP20)</f>
        <v>-9.4514912988580413</v>
      </c>
      <c r="AS20" t="str">
        <f t="shared" si="58"/>
        <v>-0.0000166666666666667</v>
      </c>
      <c r="AT20" t="str">
        <f t="shared" si="59"/>
        <v>2.23696292066618E-07i</v>
      </c>
      <c r="AU20">
        <f t="shared" ref="AU20:AU83" si="84">IMABS(AT20)</f>
        <v>2.23696292066618E-7</v>
      </c>
      <c r="AV20">
        <f t="shared" ref="AV20:AV83" si="85">IMARGUMENT(AT20)</f>
        <v>1.5707963267948966</v>
      </c>
      <c r="AW20" t="str">
        <f t="shared" si="60"/>
        <v>1+0.000227334259446248i</v>
      </c>
      <c r="AX20">
        <f t="shared" ref="AX20:AX83" si="86">IMABS(AW20)</f>
        <v>1.0000000258404325</v>
      </c>
      <c r="AY20">
        <f t="shared" ref="AY20:AY83" si="87">IMARGUMENT(AW20)</f>
        <v>2.2733425552997103E-4</v>
      </c>
      <c r="AZ20" t="str">
        <f t="shared" si="61"/>
        <v>1+0.00772936482117244i</v>
      </c>
      <c r="BA20">
        <f t="shared" ref="BA20:BA83" si="88">IMABS(AZ20)</f>
        <v>1.0000298710941282</v>
      </c>
      <c r="BB20">
        <f t="shared" ref="BB20:BB83" si="89">IMARGUMENT(AZ20)</f>
        <v>7.7292109013347814E-3</v>
      </c>
      <c r="BC20" s="41" t="str">
        <f t="shared" ref="BC20:BC83" si="90">IMPRODUCT(AS20,IMDIV(AZ20,IMPRODUCT(AT20,AW20)))</f>
        <v>-0.558944607791461+74.5059068130545i</v>
      </c>
      <c r="BD20">
        <f t="shared" ref="BD20:BD83" si="91">20*LOG(IMABS(BC20))</f>
        <v>37.444058513024508</v>
      </c>
      <c r="BE20" s="43">
        <f t="shared" ref="BE20:BE83" si="92">(180/PI())*IMARGUMENT(BC20)</f>
        <v>90.429825870232378</v>
      </c>
      <c r="BF20" s="41" t="str">
        <f t="shared" ref="BF20:BF83" si="93">IMPRODUCT(AC20,BC20)</f>
        <v>213.287392971743+1194.37455210447i</v>
      </c>
      <c r="BG20" s="20">
        <f t="shared" ref="BG20:BG83" si="94">20*LOG(IMABS(BF20))</f>
        <v>61.679143251709931</v>
      </c>
      <c r="BH20" s="43">
        <f t="shared" ref="BH20:BH83" si="95">(180/PI())*IMARGUMENT(BF20)</f>
        <v>79.875039046378276</v>
      </c>
      <c r="BI20" s="41" t="str">
        <f t="shared" ref="BI20:BI49" si="96">IMPRODUCT(AP20,BC20)</f>
        <v>2847.61172364145+17935.2168332889i</v>
      </c>
      <c r="BJ20" s="20">
        <f t="shared" ref="BJ20:BJ83" si="97">20*LOG(IMABS(BI20))</f>
        <v>85.182254928218754</v>
      </c>
      <c r="BK20" s="43">
        <f t="shared" ref="BK20:BK49" si="98">(180/PI())*IMARGUMENT(BI20)</f>
        <v>80.978334571374333</v>
      </c>
      <c r="BL20">
        <f t="shared" ref="BL20:BL83" si="99">IF($B$31=0,BJ20,BG20)</f>
        <v>61.679143251709931</v>
      </c>
      <c r="BM20" s="43">
        <f t="shared" ref="BM20:BM83" si="100">IF($B$31=0,BK20,BH20)</f>
        <v>79.875039046378276</v>
      </c>
    </row>
    <row r="21" spans="1:65" x14ac:dyDescent="0.25">
      <c r="N21" s="9">
        <v>3</v>
      </c>
      <c r="O21" s="34">
        <f t="shared" si="62"/>
        <v>10.715193052376069</v>
      </c>
      <c r="P21" s="33" t="str">
        <f t="shared" si="50"/>
        <v>16.5157725627975</v>
      </c>
      <c r="Q21" s="4" t="str">
        <f t="shared" si="63"/>
        <v>1+0.174202893841097i</v>
      </c>
      <c r="R21" s="4">
        <f t="shared" si="64"/>
        <v>1.0150599234639364</v>
      </c>
      <c r="S21" s="4">
        <f t="shared" si="65"/>
        <v>0.17247214174487999</v>
      </c>
      <c r="T21" s="4" t="str">
        <f t="shared" si="51"/>
        <v>1+0.00110750519140214i</v>
      </c>
      <c r="U21" s="4">
        <f t="shared" si="66"/>
        <v>1.0000006132836865</v>
      </c>
      <c r="V21" s="4">
        <f t="shared" si="67"/>
        <v>1.1075047385924234E-3</v>
      </c>
      <c r="W21" t="str">
        <f t="shared" si="52"/>
        <v>1-0.0168313858875705i</v>
      </c>
      <c r="X21" s="4">
        <f t="shared" si="68"/>
        <v>1.0001416377448227</v>
      </c>
      <c r="Y21" s="4">
        <f t="shared" si="69"/>
        <v>-1.6829796738768572E-2</v>
      </c>
      <c r="Z21" t="str">
        <f t="shared" si="53"/>
        <v>0.999999997627782+0.000235639402425987i</v>
      </c>
      <c r="AA21" s="4">
        <f t="shared" si="70"/>
        <v>1.0000000253907457</v>
      </c>
      <c r="AB21" s="4">
        <f t="shared" si="71"/>
        <v>2.3563939862360965E-4</v>
      </c>
      <c r="AC21" s="47" t="str">
        <f t="shared" si="72"/>
        <v>15.9850098177981-3.04821883104316i</v>
      </c>
      <c r="AD21" s="20">
        <f t="shared" si="73"/>
        <v>24.22937951486249</v>
      </c>
      <c r="AE21" s="43">
        <f t="shared" si="74"/>
        <v>-10.796247924474258</v>
      </c>
      <c r="AF21" t="str">
        <f t="shared" si="54"/>
        <v>247.084651286898</v>
      </c>
      <c r="AG21" t="str">
        <f t="shared" si="55"/>
        <v>1+0.170357532305353i</v>
      </c>
      <c r="AH21">
        <f t="shared" si="75"/>
        <v>1.0144070626790653</v>
      </c>
      <c r="AI21">
        <f t="shared" si="76"/>
        <v>0.16873762645612025</v>
      </c>
      <c r="AJ21" t="str">
        <f t="shared" si="56"/>
        <v>1+0.00110750519140214i</v>
      </c>
      <c r="AK21">
        <f t="shared" si="77"/>
        <v>1.0000006132836865</v>
      </c>
      <c r="AL21">
        <f t="shared" si="78"/>
        <v>1.1075047385924234E-3</v>
      </c>
      <c r="AM21" t="str">
        <f t="shared" si="57"/>
        <v>1-0.00110020208441766i</v>
      </c>
      <c r="AN21">
        <f t="shared" si="79"/>
        <v>1.0000006052221302</v>
      </c>
      <c r="AO21">
        <f t="shared" si="80"/>
        <v>-1.1002016405067486E-3</v>
      </c>
      <c r="AP21" s="41" t="str">
        <f t="shared" si="81"/>
        <v>240.116668529294-40.9038786303904i</v>
      </c>
      <c r="AQ21">
        <f t="shared" si="82"/>
        <v>47.732680662301448</v>
      </c>
      <c r="AR21" s="43">
        <f t="shared" si="83"/>
        <v>-9.6675354042930426</v>
      </c>
      <c r="AS21" t="str">
        <f t="shared" si="58"/>
        <v>-0.0000166666666666667</v>
      </c>
      <c r="AT21" t="str">
        <f t="shared" si="59"/>
        <v>2.28906848070959E-07i</v>
      </c>
      <c r="AU21">
        <f t="shared" si="84"/>
        <v>2.28906848070959E-7</v>
      </c>
      <c r="AV21">
        <f t="shared" si="85"/>
        <v>1.5707963267948966</v>
      </c>
      <c r="AW21" t="str">
        <f t="shared" si="60"/>
        <v>1+0.000232629554596681i</v>
      </c>
      <c r="AX21">
        <f t="shared" si="86"/>
        <v>1.0000000270582545</v>
      </c>
      <c r="AY21">
        <f t="shared" si="87"/>
        <v>2.3262955040031464E-4</v>
      </c>
      <c r="AZ21" t="str">
        <f t="shared" si="61"/>
        <v>1+0.00790940485628714i</v>
      </c>
      <c r="BA21">
        <f t="shared" si="88"/>
        <v>1.0000312788534069</v>
      </c>
      <c r="BB21">
        <f t="shared" si="89"/>
        <v>7.9092399284882396E-3</v>
      </c>
      <c r="BC21" s="41" t="str">
        <f t="shared" si="90"/>
        <v>-0.558944606430071+72.8099511709623i</v>
      </c>
      <c r="BD21">
        <f t="shared" si="91"/>
        <v>37.244070729714529</v>
      </c>
      <c r="BE21" s="43">
        <f t="shared" si="92"/>
        <v>90.439837375630759</v>
      </c>
      <c r="BF21" s="41" t="str">
        <f t="shared" si="93"/>
        <v>213.00592922527+1165.57156977606i</v>
      </c>
      <c r="BG21" s="20">
        <f t="shared" si="94"/>
        <v>61.473450244577002</v>
      </c>
      <c r="BH21" s="43">
        <f t="shared" si="95"/>
        <v>79.643589451156501</v>
      </c>
      <c r="BI21" s="41" t="str">
        <f t="shared" si="96"/>
        <v>2843.99748899329+17505.7459132946i</v>
      </c>
      <c r="BJ21" s="20">
        <f t="shared" si="97"/>
        <v>84.976751392015984</v>
      </c>
      <c r="BK21" s="43">
        <f t="shared" si="98"/>
        <v>80.77230197133774</v>
      </c>
      <c r="BL21">
        <f t="shared" si="99"/>
        <v>61.473450244577002</v>
      </c>
      <c r="BM21" s="43">
        <f t="shared" si="100"/>
        <v>79.643589451156501</v>
      </c>
    </row>
    <row r="22" spans="1:65" x14ac:dyDescent="0.25">
      <c r="A22" t="s">
        <v>174</v>
      </c>
      <c r="N22" s="9">
        <v>4</v>
      </c>
      <c r="O22" s="34">
        <f t="shared" si="62"/>
        <v>10.964781961431854</v>
      </c>
      <c r="P22" s="33" t="str">
        <f t="shared" si="50"/>
        <v>16.5157725627975</v>
      </c>
      <c r="Q22" s="4" t="str">
        <f t="shared" si="63"/>
        <v>1+0.178260600502623i</v>
      </c>
      <c r="R22" s="4">
        <f t="shared" si="64"/>
        <v>1.0157641663750281</v>
      </c>
      <c r="S22" s="4">
        <f t="shared" si="65"/>
        <v>0.17640761712409697</v>
      </c>
      <c r="T22" s="4" t="str">
        <f t="shared" si="51"/>
        <v>1+0.00113330230127637i</v>
      </c>
      <c r="U22" s="4">
        <f t="shared" si="66"/>
        <v>1.0000006421868468</v>
      </c>
      <c r="V22" s="4">
        <f t="shared" si="67"/>
        <v>1.133301816082034E-3</v>
      </c>
      <c r="W22" t="str">
        <f t="shared" si="52"/>
        <v>1-0.0172234392291241i</v>
      </c>
      <c r="X22" s="4">
        <f t="shared" si="68"/>
        <v>1.000148312431151</v>
      </c>
      <c r="Y22" s="4">
        <f t="shared" si="69"/>
        <v>-1.7221736439141398E-2</v>
      </c>
      <c r="Z22" t="str">
        <f t="shared" si="53"/>
        <v>0.999999997515983+0.000241128149207737i</v>
      </c>
      <c r="AA22" s="4">
        <f t="shared" si="70"/>
        <v>1.000000026587375</v>
      </c>
      <c r="AB22" s="4">
        <f t="shared" si="71"/>
        <v>2.4112814513341623E-4</v>
      </c>
      <c r="AC22" s="47" t="str">
        <f t="shared" si="72"/>
        <v>15.9607661276662-3.11489927680677i</v>
      </c>
      <c r="AD22" s="20">
        <f t="shared" si="73"/>
        <v>24.223413590450793</v>
      </c>
      <c r="AE22" s="43">
        <f t="shared" si="74"/>
        <v>-11.043026963081886</v>
      </c>
      <c r="AF22" t="str">
        <f t="shared" si="54"/>
        <v>247.084651286898</v>
      </c>
      <c r="AG22" t="str">
        <f t="shared" si="55"/>
        <v>1+0.17432566899031i</v>
      </c>
      <c r="AH22">
        <f t="shared" si="75"/>
        <v>1.0150810011368152</v>
      </c>
      <c r="AI22">
        <f t="shared" si="76"/>
        <v>0.17259129834168932</v>
      </c>
      <c r="AJ22" t="str">
        <f t="shared" si="56"/>
        <v>1+0.00113330230127637i</v>
      </c>
      <c r="AK22">
        <f t="shared" si="77"/>
        <v>1.0000006421868468</v>
      </c>
      <c r="AL22">
        <f t="shared" si="78"/>
        <v>1.133301816082034E-3</v>
      </c>
      <c r="AM22" t="str">
        <f t="shared" si="57"/>
        <v>1-0.00112582908307727i</v>
      </c>
      <c r="AN22">
        <f t="shared" si="79"/>
        <v>1.0000006337453613</v>
      </c>
      <c r="AO22">
        <f t="shared" si="80"/>
        <v>-1.1258286074181749E-3</v>
      </c>
      <c r="AP22" s="41" t="str">
        <f t="shared" si="81"/>
        <v>239.797962904196-41.8010937882748i</v>
      </c>
      <c r="AQ22">
        <f t="shared" si="82"/>
        <v>47.726912459735409</v>
      </c>
      <c r="AR22" s="43">
        <f t="shared" si="83"/>
        <v>-9.8883247923461841</v>
      </c>
      <c r="AS22" t="str">
        <f t="shared" si="58"/>
        <v>-0.0000166666666666667</v>
      </c>
      <c r="AT22" t="str">
        <f t="shared" si="59"/>
        <v>2.34238773516088E-07i</v>
      </c>
      <c r="AU22">
        <f t="shared" si="84"/>
        <v>2.34238773516088E-7</v>
      </c>
      <c r="AV22">
        <f t="shared" si="85"/>
        <v>1.5707963267948966</v>
      </c>
      <c r="AW22" t="str">
        <f t="shared" si="60"/>
        <v>1+0.000238048193016176i</v>
      </c>
      <c r="AX22">
        <f t="shared" si="86"/>
        <v>1.0000000283334707</v>
      </c>
      <c r="AY22">
        <f t="shared" si="87"/>
        <v>2.3804818851968842E-4</v>
      </c>
      <c r="AZ22" t="str">
        <f t="shared" si="61"/>
        <v>1+0.00809363856254999i</v>
      </c>
      <c r="BA22">
        <f t="shared" si="88"/>
        <v>1.0000327529562125</v>
      </c>
      <c r="BB22">
        <f t="shared" si="89"/>
        <v>8.0934618395420987E-3</v>
      </c>
      <c r="BC22" s="41" t="str">
        <f t="shared" si="90"/>
        <v>-0.558944605004519+71.1526003287343i</v>
      </c>
      <c r="BD22">
        <f t="shared" si="91"/>
        <v>37.044083522122484</v>
      </c>
      <c r="BE22" s="43">
        <f t="shared" si="92"/>
        <v>90.450082048533034</v>
      </c>
      <c r="BF22" s="41" t="str">
        <f t="shared" si="93"/>
        <v>212.711999188098+1137.39106936814i</v>
      </c>
      <c r="BG22" s="20">
        <f t="shared" si="94"/>
        <v>61.267497112573309</v>
      </c>
      <c r="BH22" s="43">
        <f t="shared" si="95"/>
        <v>79.407055085451162</v>
      </c>
      <c r="BI22" s="41" t="str">
        <f t="shared" si="96"/>
        <v>2840.22274196468+17085.6131100232i</v>
      </c>
      <c r="BJ22" s="20">
        <f t="shared" si="97"/>
        <v>84.770995981857908</v>
      </c>
      <c r="BK22" s="43">
        <f t="shared" si="98"/>
        <v>80.561757256186894</v>
      </c>
      <c r="BL22">
        <f t="shared" si="99"/>
        <v>61.267497112573309</v>
      </c>
      <c r="BM22" s="43">
        <f t="shared" si="100"/>
        <v>79.407055085451162</v>
      </c>
    </row>
    <row r="23" spans="1:65" x14ac:dyDescent="0.25">
      <c r="A23" t="s">
        <v>175</v>
      </c>
      <c r="B23" s="29">
        <f>Lm</f>
        <v>9.9999999999999991E-6</v>
      </c>
      <c r="C23" t="s">
        <v>87</v>
      </c>
      <c r="E23" t="s">
        <v>176</v>
      </c>
      <c r="N23" s="9">
        <v>5</v>
      </c>
      <c r="O23" s="34">
        <f t="shared" si="62"/>
        <v>11.220184543019636</v>
      </c>
      <c r="P23" s="33" t="str">
        <f t="shared" si="50"/>
        <v>16.5157725627975</v>
      </c>
      <c r="Q23" s="4" t="str">
        <f t="shared" si="63"/>
        <v>1+0.182412823294093i</v>
      </c>
      <c r="R23" s="4">
        <f t="shared" si="64"/>
        <v>1.0165010762916693</v>
      </c>
      <c r="S23" s="4">
        <f t="shared" si="65"/>
        <v>0.18042905244204499</v>
      </c>
      <c r="T23" s="4" t="str">
        <f t="shared" si="51"/>
        <v>1+0.00115970030303176i</v>
      </c>
      <c r="U23" s="4">
        <f t="shared" si="66"/>
        <v>1.0000006724521704</v>
      </c>
      <c r="V23" s="4">
        <f t="shared" si="67"/>
        <v>1.1596997831366809E-3</v>
      </c>
      <c r="W23" t="str">
        <f t="shared" si="52"/>
        <v>1-0.0176246246661361i</v>
      </c>
      <c r="X23" s="4">
        <f t="shared" si="68"/>
        <v>1.0001553016380116</v>
      </c>
      <c r="Y23" s="4">
        <f t="shared" si="69"/>
        <v>-1.7622800109098058E-2</v>
      </c>
      <c r="Z23" t="str">
        <f t="shared" si="53"/>
        <v>0.999999997398914+0.000246744745325906i</v>
      </c>
      <c r="AA23" s="4">
        <f t="shared" si="70"/>
        <v>1.0000000278403982</v>
      </c>
      <c r="AB23" s="4">
        <f t="shared" si="71"/>
        <v>2.4674474096019285E-4</v>
      </c>
      <c r="AC23" s="47" t="str">
        <f t="shared" si="72"/>
        <v>15.9354517997058-3.18283694660902i</v>
      </c>
      <c r="AD23" s="20">
        <f t="shared" si="73"/>
        <v>24.217175443178878</v>
      </c>
      <c r="AE23" s="43">
        <f t="shared" si="74"/>
        <v>-11.295226805125846</v>
      </c>
      <c r="AF23" t="str">
        <f t="shared" si="54"/>
        <v>247.084651286898</v>
      </c>
      <c r="AG23" t="str">
        <f t="shared" si="55"/>
        <v>1+0.178386235452438i</v>
      </c>
      <c r="AH23">
        <f t="shared" si="75"/>
        <v>1.0157862220954232</v>
      </c>
      <c r="AI23">
        <f t="shared" si="76"/>
        <v>0.17652938010339927</v>
      </c>
      <c r="AJ23" t="str">
        <f t="shared" si="56"/>
        <v>1+0.00115970030303176i</v>
      </c>
      <c r="AK23">
        <f t="shared" si="77"/>
        <v>1.0000006724521704</v>
      </c>
      <c r="AL23">
        <f t="shared" si="78"/>
        <v>1.1596997831366809E-3</v>
      </c>
      <c r="AM23" t="str">
        <f t="shared" si="57"/>
        <v>1-0.00115205301121883i</v>
      </c>
      <c r="AN23">
        <f t="shared" si="79"/>
        <v>1.0000006636128502</v>
      </c>
      <c r="AO23">
        <f t="shared" si="80"/>
        <v>-1.1520525015409453E-3</v>
      </c>
      <c r="AP23" s="41" t="str">
        <f t="shared" si="81"/>
        <v>239.465142746847-42.7153958082598i</v>
      </c>
      <c r="AQ23">
        <f t="shared" si="82"/>
        <v>47.720880611640823</v>
      </c>
      <c r="AR23" s="43">
        <f t="shared" si="83"/>
        <v>-10.113950283025272</v>
      </c>
      <c r="AS23" t="str">
        <f t="shared" si="58"/>
        <v>-0.0000166666666666667</v>
      </c>
      <c r="AT23" t="str">
        <f t="shared" si="59"/>
        <v>2.39694895459451E-07i</v>
      </c>
      <c r="AU23">
        <f t="shared" si="84"/>
        <v>2.3969489545945102E-7</v>
      </c>
      <c r="AV23">
        <f t="shared" si="85"/>
        <v>1.5707963267948966</v>
      </c>
      <c r="AW23" t="str">
        <f t="shared" si="60"/>
        <v>1+0.00024359304773855i</v>
      </c>
      <c r="AX23">
        <f t="shared" si="86"/>
        <v>1.0000000296687861</v>
      </c>
      <c r="AY23">
        <f t="shared" si="87"/>
        <v>2.4359304292047675E-4</v>
      </c>
      <c r="AZ23" t="str">
        <f t="shared" si="61"/>
        <v>1+0.00828216362311068i</v>
      </c>
      <c r="BA23">
        <f t="shared" si="88"/>
        <v>1.0000342965290141</v>
      </c>
      <c r="BB23">
        <f t="shared" si="89"/>
        <v>8.2819742613467907E-3</v>
      </c>
      <c r="BC23" s="41" t="str">
        <f t="shared" si="90"/>
        <v>-0.558944603511786+69.532975537017i</v>
      </c>
      <c r="BD23">
        <f t="shared" si="91"/>
        <v>36.844096917377648</v>
      </c>
      <c r="BE23" s="43">
        <f t="shared" si="92"/>
        <v>90.46056531793306</v>
      </c>
      <c r="BF23" s="41" t="str">
        <f t="shared" si="93"/>
        <v>212.405088758911+1109.81840969542i</v>
      </c>
      <c r="BG23" s="20">
        <f t="shared" si="94"/>
        <v>61.061272360556515</v>
      </c>
      <c r="BH23" s="43">
        <f t="shared" si="95"/>
        <v>79.16533851280721</v>
      </c>
      <c r="BI23" s="41" t="str">
        <f t="shared" si="96"/>
        <v>2836.2808225222+16674.5994525587i</v>
      </c>
      <c r="BJ23" s="20">
        <f t="shared" si="97"/>
        <v>84.564977529018478</v>
      </c>
      <c r="BK23" s="43">
        <f t="shared" si="98"/>
        <v>80.346615034907785</v>
      </c>
      <c r="BL23">
        <f t="shared" si="99"/>
        <v>61.061272360556515</v>
      </c>
      <c r="BM23" s="43">
        <f t="shared" si="100"/>
        <v>79.16533851280721</v>
      </c>
    </row>
    <row r="24" spans="1:65" x14ac:dyDescent="0.25">
      <c r="N24" s="9">
        <v>6</v>
      </c>
      <c r="O24" s="34">
        <f t="shared" si="62"/>
        <v>11.481536214968834</v>
      </c>
      <c r="P24" s="33" t="str">
        <f t="shared" si="50"/>
        <v>16.5157725627975</v>
      </c>
      <c r="Q24" s="4" t="str">
        <f t="shared" si="63"/>
        <v>1+0.186661763778993i</v>
      </c>
      <c r="R24" s="4">
        <f t="shared" si="64"/>
        <v>1.0172721435570151</v>
      </c>
      <c r="S24" s="4">
        <f t="shared" si="65"/>
        <v>0.18453805938481577</v>
      </c>
      <c r="T24" s="4" t="str">
        <f t="shared" si="51"/>
        <v>1+0.00118671319323826i</v>
      </c>
      <c r="U24" s="4">
        <f t="shared" si="66"/>
        <v>1.0000007041438537</v>
      </c>
      <c r="V24" s="4">
        <f t="shared" si="67"/>
        <v>1.1867126361606673E-3</v>
      </c>
      <c r="W24" t="str">
        <f t="shared" si="52"/>
        <v>1-0.0180351549124356i</v>
      </c>
      <c r="X24" s="4">
        <f t="shared" si="68"/>
        <v>1.0001626201836957</v>
      </c>
      <c r="Y24" s="4">
        <f t="shared" si="69"/>
        <v>-1.8033199881513692E-2</v>
      </c>
      <c r="Z24" t="str">
        <f t="shared" si="53"/>
        <v>0.999999997276329+0.000252492168774099i</v>
      </c>
      <c r="AA24" s="4">
        <f t="shared" si="70"/>
        <v>1.0000000291524762</v>
      </c>
      <c r="AB24" s="4">
        <f t="shared" si="71"/>
        <v>2.52492164096153E-4</v>
      </c>
      <c r="AC24" s="47" t="str">
        <f t="shared" si="72"/>
        <v>15.9090229735222-3.25204149496895i</v>
      </c>
      <c r="AD24" s="20">
        <f t="shared" si="73"/>
        <v>24.210653077910962</v>
      </c>
      <c r="AE24" s="43">
        <f t="shared" si="74"/>
        <v>-11.552951316427064</v>
      </c>
      <c r="AF24" t="str">
        <f t="shared" si="54"/>
        <v>247.084651286898</v>
      </c>
      <c r="AG24" t="str">
        <f t="shared" si="55"/>
        <v>1+0.182541384657825i</v>
      </c>
      <c r="AH24">
        <f t="shared" si="75"/>
        <v>1.0165241547119261</v>
      </c>
      <c r="AI24">
        <f t="shared" si="76"/>
        <v>0.18055347093200272</v>
      </c>
      <c r="AJ24" t="str">
        <f t="shared" si="56"/>
        <v>1+0.00118671319323826i</v>
      </c>
      <c r="AK24">
        <f t="shared" si="77"/>
        <v>1.0000007041438537</v>
      </c>
      <c r="AL24">
        <f t="shared" si="78"/>
        <v>1.1867126361606673E-3</v>
      </c>
      <c r="AM24" t="str">
        <f t="shared" si="57"/>
        <v>1-0.00117888777311617i</v>
      </c>
      <c r="AN24">
        <f t="shared" si="79"/>
        <v>1.0000006948879494</v>
      </c>
      <c r="AO24">
        <f t="shared" si="80"/>
        <v>-1.1788872269864975E-3</v>
      </c>
      <c r="AP24" s="41" t="str">
        <f t="shared" si="81"/>
        <v>239.117626098824-43.6469290229694i</v>
      </c>
      <c r="AQ24">
        <f t="shared" si="82"/>
        <v>47.714573459087426</v>
      </c>
      <c r="AR24" s="43">
        <f t="shared" si="83"/>
        <v>-10.344503497923114</v>
      </c>
      <c r="AS24" t="str">
        <f t="shared" si="58"/>
        <v>-0.0000166666666666667</v>
      </c>
      <c r="AT24" t="str">
        <f t="shared" si="59"/>
        <v>2.45278106809125E-07i</v>
      </c>
      <c r="AU24">
        <f t="shared" si="84"/>
        <v>2.4527810680912499E-7</v>
      </c>
      <c r="AV24">
        <f t="shared" si="85"/>
        <v>1.5707963267948966</v>
      </c>
      <c r="AW24" t="str">
        <f t="shared" si="60"/>
        <v>1+0.000249267058719169i</v>
      </c>
      <c r="AX24">
        <f t="shared" si="86"/>
        <v>1.0000000310670327</v>
      </c>
      <c r="AY24">
        <f t="shared" si="87"/>
        <v>2.4926705355651053E-4</v>
      </c>
      <c r="AZ24" t="str">
        <f t="shared" si="61"/>
        <v>1+0.00847507999645175i</v>
      </c>
      <c r="BA24">
        <f t="shared" si="88"/>
        <v>1.0000359128456069</v>
      </c>
      <c r="BB24">
        <f t="shared" si="89"/>
        <v>8.4748770920596087E-3</v>
      </c>
      <c r="BC24" s="41" t="str">
        <f t="shared" si="90"/>
        <v>-0.5589446019487+67.9502180493068i</v>
      </c>
      <c r="BD24">
        <f t="shared" si="91"/>
        <v>36.644110943887341</v>
      </c>
      <c r="BE24" s="43">
        <f t="shared" si="92"/>
        <v>90.471292739126667</v>
      </c>
      <c r="BF24" s="41" t="str">
        <f t="shared" si="93"/>
        <v>212.084666175206+1082.83929104119i</v>
      </c>
      <c r="BG24" s="20">
        <f t="shared" si="94"/>
        <v>60.854764021798296</v>
      </c>
      <c r="BH24" s="43">
        <f t="shared" si="95"/>
        <v>78.918341422699598</v>
      </c>
      <c r="BI24" s="41" t="str">
        <f t="shared" si="96"/>
        <v>2832.16483795466+16272.4910482167i</v>
      </c>
      <c r="BJ24" s="20">
        <f t="shared" si="97"/>
        <v>84.358684402974745</v>
      </c>
      <c r="BK24" s="43">
        <f t="shared" si="98"/>
        <v>80.126789241203554</v>
      </c>
      <c r="BL24">
        <f t="shared" si="99"/>
        <v>60.854764021798296</v>
      </c>
      <c r="BM24" s="43">
        <f t="shared" si="100"/>
        <v>78.918341422699598</v>
      </c>
    </row>
    <row r="25" spans="1:65" x14ac:dyDescent="0.25">
      <c r="A25" t="s">
        <v>137</v>
      </c>
      <c r="B25" s="29">
        <f>R_cs</f>
        <v>2E-3</v>
      </c>
      <c r="C25" s="2" t="s">
        <v>36</v>
      </c>
      <c r="E25" t="s">
        <v>177</v>
      </c>
      <c r="N25" s="9">
        <v>7</v>
      </c>
      <c r="O25" s="34">
        <f t="shared" si="62"/>
        <v>11.748975549395301</v>
      </c>
      <c r="P25" s="33" t="str">
        <f t="shared" si="50"/>
        <v>16.5157725627975</v>
      </c>
      <c r="Q25" s="4" t="str">
        <f t="shared" si="63"/>
        <v>1+0.191009674801809i</v>
      </c>
      <c r="R25" s="4">
        <f t="shared" si="64"/>
        <v>1.0180789241841188</v>
      </c>
      <c r="S25" s="4">
        <f t="shared" si="65"/>
        <v>0.18873626132056859</v>
      </c>
      <c r="T25" s="4" t="str">
        <f t="shared" si="51"/>
        <v>1+0.00121435529448783i</v>
      </c>
      <c r="U25" s="4">
        <f t="shared" si="66"/>
        <v>1.0000007373291189</v>
      </c>
      <c r="V25" s="4">
        <f t="shared" si="67"/>
        <v>1.2143546975684587E-3</v>
      </c>
      <c r="W25" t="str">
        <f t="shared" si="52"/>
        <v>1-0.0184552476365932i</v>
      </c>
      <c r="X25" s="4">
        <f t="shared" si="68"/>
        <v>1.0001702835844144</v>
      </c>
      <c r="Y25" s="4">
        <f t="shared" si="69"/>
        <v>-1.8453152802480284E-2</v>
      </c>
      <c r="Z25" t="str">
        <f t="shared" si="53"/>
        <v>0.999999997147966+0.000258373466912305i</v>
      </c>
      <c r="AA25" s="4">
        <f t="shared" si="70"/>
        <v>1.0000000305263896</v>
      </c>
      <c r="AB25" s="4">
        <f t="shared" si="71"/>
        <v>2.5837346189979565E-4</v>
      </c>
      <c r="AC25" s="47" t="str">
        <f t="shared" si="72"/>
        <v>15.8814343096941-3.32252157417544i</v>
      </c>
      <c r="AD25" s="20">
        <f t="shared" si="73"/>
        <v>24.203834010627077</v>
      </c>
      <c r="AE25" s="43">
        <f t="shared" si="74"/>
        <v>-11.816305298941355</v>
      </c>
      <c r="AF25" t="str">
        <f t="shared" si="54"/>
        <v>247.084651286898</v>
      </c>
      <c r="AG25" t="str">
        <f t="shared" si="55"/>
        <v>1+0.186793319721578i</v>
      </c>
      <c r="AH25">
        <f t="shared" si="75"/>
        <v>1.0172962912999377</v>
      </c>
      <c r="AI25">
        <f t="shared" si="76"/>
        <v>0.18466518288976769</v>
      </c>
      <c r="AJ25" t="str">
        <f t="shared" si="56"/>
        <v>1+0.00121435529448783i</v>
      </c>
      <c r="AK25">
        <f t="shared" si="77"/>
        <v>1.0000007373291189</v>
      </c>
      <c r="AL25">
        <f t="shared" si="78"/>
        <v>1.2143546975684587E-3</v>
      </c>
      <c r="AM25" t="str">
        <f t="shared" si="57"/>
        <v>1-0.00120634759691524i</v>
      </c>
      <c r="AN25">
        <f t="shared" si="79"/>
        <v>1.0000007276369975</v>
      </c>
      <c r="AO25">
        <f t="shared" si="80"/>
        <v>-1.2063470117267758E-3</v>
      </c>
      <c r="AP25" s="41" t="str">
        <f t="shared" si="81"/>
        <v>238.754811020369-44.5958251708303i</v>
      </c>
      <c r="AQ25">
        <f t="shared" si="82"/>
        <v>47.707978864031489</v>
      </c>
      <c r="AR25" s="43">
        <f t="shared" si="83"/>
        <v>-10.580076795992737</v>
      </c>
      <c r="AS25" t="str">
        <f t="shared" si="58"/>
        <v>-0.0000166666666666667</v>
      </c>
      <c r="AT25" t="str">
        <f t="shared" si="59"/>
        <v>2.50991367857667E-07i</v>
      </c>
      <c r="AU25">
        <f t="shared" si="84"/>
        <v>2.50991367857667E-7</v>
      </c>
      <c r="AV25">
        <f t="shared" si="85"/>
        <v>1.5707963267948966</v>
      </c>
      <c r="AW25" t="str">
        <f t="shared" si="60"/>
        <v>1+0.000255073234393761i</v>
      </c>
      <c r="AX25">
        <f t="shared" si="86"/>
        <v>1.0000000325311769</v>
      </c>
      <c r="AY25">
        <f t="shared" si="87"/>
        <v>2.5507322886187279E-4</v>
      </c>
      <c r="AZ25" t="str">
        <f t="shared" si="61"/>
        <v>1+0.00867248996938787i</v>
      </c>
      <c r="BA25">
        <f t="shared" si="88"/>
        <v>1.0000376053340541</v>
      </c>
      <c r="BB25">
        <f t="shared" si="89"/>
        <v>8.6722725538561328E-3</v>
      </c>
      <c r="BC25" s="41" t="str">
        <f t="shared" si="90"/>
        <v>-0.558944600311951+66.4034886666341i</v>
      </c>
      <c r="BD25">
        <f t="shared" si="91"/>
        <v>36.444125631397476</v>
      </c>
      <c r="BE25" s="43">
        <f t="shared" si="92"/>
        <v>90.482269996642529</v>
      </c>
      <c r="BF25" s="41" t="str">
        <f t="shared" si="93"/>
        <v>211.750181742794+1056.43974868697i</v>
      </c>
      <c r="BG25" s="20">
        <f t="shared" si="94"/>
        <v>60.647959642024539</v>
      </c>
      <c r="BH25" s="43">
        <f t="shared" si="95"/>
        <v>78.665964697701156</v>
      </c>
      <c r="BI25" s="41" t="str">
        <f t="shared" si="96"/>
        <v>2827.86765889209+15879.0789833711i</v>
      </c>
      <c r="BJ25" s="20">
        <f t="shared" si="97"/>
        <v>84.152104495428958</v>
      </c>
      <c r="BK25" s="43">
        <f t="shared" si="98"/>
        <v>79.902193200649776</v>
      </c>
      <c r="BL25">
        <f t="shared" si="99"/>
        <v>60.647959642024539</v>
      </c>
      <c r="BM25" s="43">
        <f t="shared" si="100"/>
        <v>78.665964697701156</v>
      </c>
    </row>
    <row r="26" spans="1:65" x14ac:dyDescent="0.25">
      <c r="A26" t="s">
        <v>138</v>
      </c>
      <c r="B26" s="29">
        <f>R_sl</f>
        <v>0</v>
      </c>
      <c r="C26" s="2" t="s">
        <v>36</v>
      </c>
      <c r="E26" t="s">
        <v>493</v>
      </c>
      <c r="N26" s="9">
        <v>8</v>
      </c>
      <c r="O26" s="34">
        <f t="shared" si="62"/>
        <v>12.022644346174133</v>
      </c>
      <c r="P26" s="33" t="str">
        <f t="shared" si="50"/>
        <v>16.5157725627975</v>
      </c>
      <c r="Q26" s="4" t="str">
        <f t="shared" si="63"/>
        <v>1+0.195458861682517i</v>
      </c>
      <c r="R26" s="4">
        <f t="shared" si="64"/>
        <v>1.0189230425357085</v>
      </c>
      <c r="S26" s="4">
        <f t="shared" si="65"/>
        <v>0.19302529196057841</v>
      </c>
      <c r="T26" s="4" t="str">
        <f t="shared" si="51"/>
        <v>1+0.00124264126298843i</v>
      </c>
      <c r="U26" s="4">
        <f t="shared" si="66"/>
        <v>1.0000007720783561</v>
      </c>
      <c r="V26" s="4">
        <f t="shared" si="67"/>
        <v>1.2426406233778265E-3</v>
      </c>
      <c r="W26" t="str">
        <f t="shared" si="52"/>
        <v>1-0.0188851255773317i</v>
      </c>
      <c r="X26" s="4">
        <f t="shared" si="68"/>
        <v>1.0001783080871489</v>
      </c>
      <c r="Y26" s="4">
        <f t="shared" si="69"/>
        <v>-1.8882880943750551E-2</v>
      </c>
      <c r="Z26" t="str">
        <f t="shared" si="53"/>
        <v>0.999999997013554+0.000264391758082644i</v>
      </c>
      <c r="AA26" s="4">
        <f t="shared" si="70"/>
        <v>1.0000000319650544</v>
      </c>
      <c r="AB26" s="4">
        <f t="shared" si="71"/>
        <v>2.6439175271164339E-4</v>
      </c>
      <c r="AC26" s="47" t="str">
        <f t="shared" si="72"/>
        <v>15.8526389700762-3.39428474297382i</v>
      </c>
      <c r="AD26" s="20">
        <f t="shared" si="73"/>
        <v>24.196705252181758</v>
      </c>
      <c r="AE26" s="43">
        <f t="shared" si="74"/>
        <v>-12.085394420143881</v>
      </c>
      <c r="AF26" t="str">
        <f t="shared" si="54"/>
        <v>247.084651286898</v>
      </c>
      <c r="AG26" t="str">
        <f t="shared" si="55"/>
        <v>1+0.191144295075949i</v>
      </c>
      <c r="AH26">
        <f t="shared" si="75"/>
        <v>1.0181041899236452</v>
      </c>
      <c r="AI26">
        <f t="shared" si="76"/>
        <v>0.18886613968178009</v>
      </c>
      <c r="AJ26" t="str">
        <f t="shared" si="56"/>
        <v>1+0.00124264126298843i</v>
      </c>
      <c r="AK26">
        <f t="shared" si="77"/>
        <v>1.0000007720783561</v>
      </c>
      <c r="AL26">
        <f t="shared" si="78"/>
        <v>1.2426406233778265E-3</v>
      </c>
      <c r="AM26" t="str">
        <f t="shared" si="57"/>
        <v>1-0.00123444704217809i</v>
      </c>
      <c r="AN26">
        <f t="shared" si="79"/>
        <v>1.0000007619294597</v>
      </c>
      <c r="AO26">
        <f t="shared" si="80"/>
        <v>-1.2344464151373793E-3</v>
      </c>
      <c r="AP26" s="41" t="str">
        <f t="shared" si="81"/>
        <v>238.376075285525-45.5622022072315i</v>
      </c>
      <c r="AQ26">
        <f t="shared" si="82"/>
        <v>47.701084193017309</v>
      </c>
      <c r="AR26" s="43">
        <f t="shared" si="83"/>
        <v>-10.820763203145644</v>
      </c>
      <c r="AS26" t="str">
        <f t="shared" si="58"/>
        <v>-0.0000166666666666667</v>
      </c>
      <c r="AT26" t="str">
        <f t="shared" si="59"/>
        <v>2.56837707851712E-07i</v>
      </c>
      <c r="AU26">
        <f t="shared" si="84"/>
        <v>2.5683770785171202E-7</v>
      </c>
      <c r="AV26">
        <f t="shared" si="85"/>
        <v>1.5707963267948966</v>
      </c>
      <c r="AW26" t="str">
        <f t="shared" si="60"/>
        <v>1+0.000261014653273522i</v>
      </c>
      <c r="AX26">
        <f t="shared" si="86"/>
        <v>1.000000034064324</v>
      </c>
      <c r="AY26">
        <f t="shared" si="87"/>
        <v>2.6101464734599696E-4</v>
      </c>
      <c r="AZ26" t="str">
        <f t="shared" si="61"/>
        <v>1+0.00887449821129973i</v>
      </c>
      <c r="BA26">
        <f t="shared" si="88"/>
        <v>1.000039377583954</v>
      </c>
      <c r="BB26">
        <f t="shared" si="89"/>
        <v>8.8742652468556463E-3</v>
      </c>
      <c r="BC26" s="41" t="str">
        <f t="shared" si="90"/>
        <v>-0.558944598598061+64.8919672926061i</v>
      </c>
      <c r="BD26">
        <f t="shared" si="91"/>
        <v>36.244141011055248</v>
      </c>
      <c r="BE26" s="43">
        <f t="shared" si="92"/>
        <v>90.493502907240426</v>
      </c>
      <c r="BF26" s="41" t="str">
        <f t="shared" si="93"/>
        <v>211.401067597+1030.60614667087i</v>
      </c>
      <c r="BG26" s="20">
        <f t="shared" si="94"/>
        <v>60.440846263237034</v>
      </c>
      <c r="BH26" s="43">
        <f t="shared" si="95"/>
        <v>78.40810848709657</v>
      </c>
      <c r="BI26" s="41" t="str">
        <f t="shared" si="96"/>
        <v>2823.38191569492+15494.1592275921i</v>
      </c>
      <c r="BJ26" s="20">
        <f t="shared" si="97"/>
        <v>83.945225204072585</v>
      </c>
      <c r="BK26" s="43">
        <f t="shared" si="98"/>
        <v>79.672739704094838</v>
      </c>
      <c r="BL26">
        <f t="shared" si="99"/>
        <v>60.440846263237034</v>
      </c>
      <c r="BM26" s="43">
        <f t="shared" si="100"/>
        <v>78.40810848709657</v>
      </c>
    </row>
    <row r="27" spans="1:65" x14ac:dyDescent="0.25">
      <c r="A27" t="s">
        <v>129</v>
      </c>
      <c r="B27" s="12">
        <f>Rsl_int</f>
        <v>3000</v>
      </c>
      <c r="C27" s="2" t="s">
        <v>36</v>
      </c>
      <c r="E27" t="s">
        <v>178</v>
      </c>
      <c r="N27" s="9">
        <v>9</v>
      </c>
      <c r="O27" s="34">
        <f t="shared" si="62"/>
        <v>12.302687708123818</v>
      </c>
      <c r="P27" s="33" t="str">
        <f t="shared" si="50"/>
        <v>16.5157725627975</v>
      </c>
      <c r="Q27" s="4" t="str">
        <f t="shared" si="63"/>
        <v>1+0.200011683438893i</v>
      </c>
      <c r="R27" s="4">
        <f t="shared" si="64"/>
        <v>1.0198061940937897</v>
      </c>
      <c r="S27" s="4">
        <f t="shared" si="65"/>
        <v>0.19740679390049812</v>
      </c>
      <c r="T27" s="4" t="str">
        <f t="shared" si="51"/>
        <v>1+0.00127158609633497i</v>
      </c>
      <c r="U27" s="4">
        <f t="shared" si="66"/>
        <v>1.0000008084652734</v>
      </c>
      <c r="V27" s="4">
        <f t="shared" si="67"/>
        <v>1.2715854109798905E-3</v>
      </c>
      <c r="W27" t="str">
        <f t="shared" si="52"/>
        <v>1-0.0193250166616256i</v>
      </c>
      <c r="X27" s="4">
        <f t="shared" si="68"/>
        <v>1.0001867107040425</v>
      </c>
      <c r="Y27" s="4">
        <f t="shared" si="69"/>
        <v>-1.9322611517658832E-2</v>
      </c>
      <c r="Z27" t="str">
        <f t="shared" si="53"/>
        <v>0.999999996872807+0.000270550233262758i</v>
      </c>
      <c r="AA27" s="4">
        <f t="shared" si="70"/>
        <v>1.0000000334715207</v>
      </c>
      <c r="AB27" s="4">
        <f t="shared" si="71"/>
        <v>2.7055022750762726E-4</v>
      </c>
      <c r="AC27" s="47" t="str">
        <f t="shared" si="72"/>
        <v>15.8225886010889-3.46733737038966i</v>
      </c>
      <c r="AD27" s="20">
        <f t="shared" si="73"/>
        <v>24.189253291874572</v>
      </c>
      <c r="AE27" s="43">
        <f t="shared" si="74"/>
        <v>-12.360325135683134</v>
      </c>
      <c r="AF27" t="str">
        <f t="shared" si="54"/>
        <v>247.084651286898</v>
      </c>
      <c r="AG27" t="str">
        <f t="shared" si="55"/>
        <v>1+0.195596617665663i</v>
      </c>
      <c r="AH27">
        <f t="shared" si="75"/>
        <v>1.0189494770803151</v>
      </c>
      <c r="AI27">
        <f t="shared" si="76"/>
        <v>0.19315797531341528</v>
      </c>
      <c r="AJ27" t="str">
        <f t="shared" si="56"/>
        <v>1+0.00127158609633497i</v>
      </c>
      <c r="AK27">
        <f t="shared" si="77"/>
        <v>1.0000008084652734</v>
      </c>
      <c r="AL27">
        <f t="shared" si="78"/>
        <v>1.2715854109798905E-3</v>
      </c>
      <c r="AM27" t="str">
        <f t="shared" si="57"/>
        <v>1-0.00126320100760255i</v>
      </c>
      <c r="AN27">
        <f t="shared" si="79"/>
        <v>1.0000007978380745</v>
      </c>
      <c r="AO27">
        <f t="shared" si="80"/>
        <v>-1.263200335716352E-3</v>
      </c>
      <c r="AP27" s="41" t="str">
        <f t="shared" si="81"/>
        <v>237.980776113285-46.5461630504825i</v>
      </c>
      <c r="AQ27">
        <f t="shared" si="82"/>
        <v>47.693876300646906</v>
      </c>
      <c r="AR27" s="43">
        <f t="shared" si="83"/>
        <v>-11.066656335327339</v>
      </c>
      <c r="AS27" t="str">
        <f t="shared" si="58"/>
        <v>-0.0000166666666666667</v>
      </c>
      <c r="AT27" t="str">
        <f t="shared" si="59"/>
        <v>2.62820226598108E-07i</v>
      </c>
      <c r="AU27">
        <f t="shared" si="84"/>
        <v>2.6282022659810801E-7</v>
      </c>
      <c r="AV27">
        <f t="shared" si="85"/>
        <v>1.5707963267948966</v>
      </c>
      <c r="AW27" t="str">
        <f t="shared" si="60"/>
        <v>1+0.000267094465577386i</v>
      </c>
      <c r="AX27">
        <f t="shared" si="86"/>
        <v>1.0000000356697261</v>
      </c>
      <c r="AY27">
        <f t="shared" si="87"/>
        <v>2.6709445922592855E-4</v>
      </c>
      <c r="AZ27" t="str">
        <f t="shared" si="61"/>
        <v>1+0.00908121182963111i</v>
      </c>
      <c r="BA27">
        <f t="shared" si="88"/>
        <v>1.0000412333540527</v>
      </c>
      <c r="BB27">
        <f t="shared" si="89"/>
        <v>9.0809622042877253E-3</v>
      </c>
      <c r="BC27" s="41" t="str">
        <f t="shared" si="90"/>
        <v>-0.558944596803401+63.4148524985836i</v>
      </c>
      <c r="BD27">
        <f t="shared" si="91"/>
        <v>36.044157115475528</v>
      </c>
      <c r="BE27" s="43">
        <f t="shared" si="92"/>
        <v>90.504997422978533</v>
      </c>
      <c r="BF27" s="41" t="str">
        <f t="shared" si="93"/>
        <v>211.036737500065+1005.3251717723i</v>
      </c>
      <c r="BG27" s="20">
        <f t="shared" si="94"/>
        <v>60.233410407350128</v>
      </c>
      <c r="BH27" s="43">
        <f t="shared" si="95"/>
        <v>78.144672287295464</v>
      </c>
      <c r="BI27" s="41" t="str">
        <f t="shared" si="96"/>
        <v>2818.69999526977+15117.5325410614i</v>
      </c>
      <c r="BJ27" s="20">
        <f t="shared" si="97"/>
        <v>83.738033416122434</v>
      </c>
      <c r="BK27" s="43">
        <f t="shared" si="98"/>
        <v>79.438341087651182</v>
      </c>
      <c r="BL27">
        <f t="shared" si="99"/>
        <v>60.233410407350128</v>
      </c>
      <c r="BM27" s="43">
        <f t="shared" si="100"/>
        <v>78.144672287295464</v>
      </c>
    </row>
    <row r="28" spans="1:65" x14ac:dyDescent="0.25">
      <c r="A28" t="s">
        <v>127</v>
      </c>
      <c r="B28" s="12">
        <f>Isl</f>
        <v>2.9999999999999997E-5</v>
      </c>
      <c r="C28" s="2" t="s">
        <v>11</v>
      </c>
      <c r="E28" t="s">
        <v>179</v>
      </c>
      <c r="N28" s="9">
        <v>10</v>
      </c>
      <c r="O28" s="34">
        <f t="shared" si="62"/>
        <v>12.58925411794168</v>
      </c>
      <c r="P28" s="33" t="str">
        <f t="shared" si="50"/>
        <v>16.5157725627975</v>
      </c>
      <c r="Q28" s="4" t="str">
        <f t="shared" si="63"/>
        <v>1+0.204670554037296i</v>
      </c>
      <c r="R28" s="4">
        <f t="shared" si="64"/>
        <v>1.0207301483202764</v>
      </c>
      <c r="S28" s="4">
        <f t="shared" si="65"/>
        <v>0.20188241703556276</v>
      </c>
      <c r="T28" s="4" t="str">
        <f t="shared" si="51"/>
        <v>1+0.00130120514146121i</v>
      </c>
      <c r="U28" s="4">
        <f t="shared" si="66"/>
        <v>1.0000008465670518</v>
      </c>
      <c r="V28" s="4">
        <f t="shared" si="67"/>
        <v>1.3012044070900451E-3</v>
      </c>
      <c r="W28" t="str">
        <f t="shared" si="52"/>
        <v>1-0.0197751541255503i</v>
      </c>
      <c r="X28" s="4">
        <f t="shared" si="68"/>
        <v>1.0001955092484116</v>
      </c>
      <c r="Y28" s="4">
        <f t="shared" si="69"/>
        <v>-1.977257699456476E-2</v>
      </c>
      <c r="Z28" t="str">
        <f t="shared" si="53"/>
        <v>0.999999996725427+0.000276852157757704i</v>
      </c>
      <c r="AA28" s="4">
        <f t="shared" si="70"/>
        <v>1.000000035048985</v>
      </c>
      <c r="AB28" s="4">
        <f t="shared" si="71"/>
        <v>2.7685215159097026E-4</v>
      </c>
      <c r="AC28" s="47" t="str">
        <f t="shared" si="72"/>
        <v>15.7912333203931-3.54168453459428i</v>
      </c>
      <c r="AD28" s="20">
        <f t="shared" si="73"/>
        <v>24.181464080867539</v>
      </c>
      <c r="AE28" s="43">
        <f t="shared" si="74"/>
        <v>-12.641204604948973</v>
      </c>
      <c r="AF28" t="str">
        <f t="shared" si="54"/>
        <v>247.084651286898</v>
      </c>
      <c r="AG28" t="str">
        <f t="shared" si="55"/>
        <v>1+0.200152648171091i</v>
      </c>
      <c r="AH28">
        <f t="shared" si="75"/>
        <v>1.0198338504726643</v>
      </c>
      <c r="AI28">
        <f t="shared" si="76"/>
        <v>0.1975423326278381</v>
      </c>
      <c r="AJ28" t="str">
        <f t="shared" si="56"/>
        <v>1+0.00130120514146121i</v>
      </c>
      <c r="AK28">
        <f t="shared" si="77"/>
        <v>1.0000008465670518</v>
      </c>
      <c r="AL28">
        <f t="shared" si="78"/>
        <v>1.3012044070900451E-3</v>
      </c>
      <c r="AM28" t="str">
        <f t="shared" si="57"/>
        <v>1-0.00129262473892168i</v>
      </c>
      <c r="AN28">
        <f t="shared" si="79"/>
        <v>1.0000008354390089</v>
      </c>
      <c r="AO28">
        <f t="shared" si="80"/>
        <v>-1.2926240189826805E-3</v>
      </c>
      <c r="AP28" s="41" t="str">
        <f t="shared" si="81"/>
        <v>237.568249939813-47.5477942610559i</v>
      </c>
      <c r="AQ28">
        <f t="shared" si="82"/>
        <v>47.68634151284769</v>
      </c>
      <c r="AR28" s="43">
        <f t="shared" si="83"/>
        <v>-11.317850314719461</v>
      </c>
      <c r="AS28" t="str">
        <f t="shared" si="58"/>
        <v>-0.0000166666666666667</v>
      </c>
      <c r="AT28" t="str">
        <f t="shared" si="59"/>
        <v>2.68942096107484E-07i</v>
      </c>
      <c r="AU28">
        <f t="shared" si="84"/>
        <v>2.6894209610748399E-7</v>
      </c>
      <c r="AV28">
        <f t="shared" si="85"/>
        <v>1.5707963267948966</v>
      </c>
      <c r="AW28" t="str">
        <f t="shared" si="60"/>
        <v>1+0.000273315894902312i</v>
      </c>
      <c r="AX28">
        <f t="shared" si="86"/>
        <v>1.0000000373507885</v>
      </c>
      <c r="AY28">
        <f t="shared" si="87"/>
        <v>2.7331588809660276E-4</v>
      </c>
      <c r="AZ28" t="str">
        <f t="shared" si="61"/>
        <v>1+0.00929274042667861i</v>
      </c>
      <c r="BA28">
        <f t="shared" si="88"/>
        <v>1.0000431765802102</v>
      </c>
      <c r="BB28">
        <f t="shared" si="89"/>
        <v>9.2924729489278022E-3</v>
      </c>
      <c r="BC28" s="41" t="str">
        <f t="shared" si="90"/>
        <v>-0.558944594924159+61.9713610987505i</v>
      </c>
      <c r="BD28">
        <f t="shared" si="91"/>
        <v>35.844173978809621</v>
      </c>
      <c r="BE28" s="43">
        <f t="shared" si="92"/>
        <v>90.516759634351246</v>
      </c>
      <c r="BF28" s="41" t="str">
        <f t="shared" si="93"/>
        <v>210.656586679582+980.58382772024i</v>
      </c>
      <c r="BG28" s="20">
        <f t="shared" si="94"/>
        <v>60.025638059677163</v>
      </c>
      <c r="BH28" s="43">
        <f t="shared" si="95"/>
        <v>77.875555029402292</v>
      </c>
      <c r="BI28" s="41" t="str">
        <f t="shared" si="96"/>
        <v>2813.81403837154+14749.0043852211i</v>
      </c>
      <c r="BJ28" s="20">
        <f t="shared" si="97"/>
        <v>83.530515491657283</v>
      </c>
      <c r="BK28" s="43">
        <f t="shared" si="98"/>
        <v>79.198909319631767</v>
      </c>
      <c r="BL28">
        <f t="shared" si="99"/>
        <v>60.025638059677163</v>
      </c>
      <c r="BM28" s="43">
        <f t="shared" si="100"/>
        <v>77.875555029402292</v>
      </c>
    </row>
    <row r="29" spans="1:65" x14ac:dyDescent="0.25">
      <c r="A29" t="s">
        <v>491</v>
      </c>
      <c r="B29" s="12">
        <f>Vsl</f>
        <v>4.4999999999999998E-2</v>
      </c>
      <c r="C29" s="2"/>
      <c r="N29" s="9">
        <v>11</v>
      </c>
      <c r="O29" s="34">
        <f t="shared" si="62"/>
        <v>12.882495516931346</v>
      </c>
      <c r="P29" s="33" t="str">
        <f t="shared" si="50"/>
        <v>16.5157725627975</v>
      </c>
      <c r="Q29" s="4" t="str">
        <f t="shared" si="63"/>
        <v>1+0.209437943672584i</v>
      </c>
      <c r="R29" s="4">
        <f t="shared" si="64"/>
        <v>1.021696751609694</v>
      </c>
      <c r="S29" s="4">
        <f t="shared" si="65"/>
        <v>0.20645381684334535</v>
      </c>
      <c r="T29" s="4" t="str">
        <f t="shared" si="51"/>
        <v>1+0.00133151410277694i</v>
      </c>
      <c r="U29" s="4">
        <f t="shared" si="66"/>
        <v>1.00000088646451</v>
      </c>
      <c r="V29" s="4">
        <f t="shared" si="67"/>
        <v>1.3315133158840972E-3</v>
      </c>
      <c r="W29" t="str">
        <f t="shared" si="52"/>
        <v>1-0.0202357766379475i</v>
      </c>
      <c r="X29" s="4">
        <f t="shared" si="68"/>
        <v>1.0002047223724455</v>
      </c>
      <c r="Y29" s="4">
        <f t="shared" si="69"/>
        <v>-2.0233015222870038E-2</v>
      </c>
      <c r="Z29" t="str">
        <f t="shared" si="53"/>
        <v>0.999999996571101+0.000283300872931264i</v>
      </c>
      <c r="AA29" s="4">
        <f t="shared" si="70"/>
        <v>1.0000000367007926</v>
      </c>
      <c r="AB29" s="4">
        <f t="shared" si="71"/>
        <v>2.8330086632348978E-4</v>
      </c>
      <c r="AC29" s="47" t="str">
        <f t="shared" si="72"/>
        <v>15.7585217073772-3.61732991673418i</v>
      </c>
      <c r="AD29" s="20">
        <f t="shared" si="73"/>
        <v>24.173323015489277</v>
      </c>
      <c r="AE29" s="43">
        <f t="shared" si="74"/>
        <v>-12.928140599192105</v>
      </c>
      <c r="AF29" t="str">
        <f t="shared" si="54"/>
        <v>247.084651286898</v>
      </c>
      <c r="AG29" t="str">
        <f t="shared" si="55"/>
        <v>1+0.204814802259913i</v>
      </c>
      <c r="AH29">
        <f t="shared" si="75"/>
        <v>1.0207590818722934</v>
      </c>
      <c r="AI29">
        <f t="shared" si="76"/>
        <v>0.20202086171724856</v>
      </c>
      <c r="AJ29" t="str">
        <f t="shared" si="56"/>
        <v>1+0.00133151410277694i</v>
      </c>
      <c r="AK29">
        <f t="shared" si="77"/>
        <v>1.00000088646451</v>
      </c>
      <c r="AL29">
        <f t="shared" si="78"/>
        <v>1.3315133158840972E-3</v>
      </c>
      <c r="AM29" t="str">
        <f t="shared" si="57"/>
        <v>1-0.00132273383698729i</v>
      </c>
      <c r="AN29">
        <f t="shared" si="79"/>
        <v>1.000000874812019</v>
      </c>
      <c r="AO29">
        <f t="shared" si="80"/>
        <v>-1.3227330655587899E-3</v>
      </c>
      <c r="AP29" s="41" t="str">
        <f t="shared" si="81"/>
        <v>237.137812237271-48.5671646528142i</v>
      </c>
      <c r="AQ29">
        <f t="shared" si="82"/>
        <v>47.678465609975106</v>
      </c>
      <c r="AR29" s="43">
        <f t="shared" si="83"/>
        <v>-11.574439678707661</v>
      </c>
      <c r="AS29" t="str">
        <f t="shared" si="58"/>
        <v>-0.0000166666666666667</v>
      </c>
      <c r="AT29" t="str">
        <f t="shared" si="59"/>
        <v>2.75206562276086E-07i</v>
      </c>
      <c r="AU29">
        <f t="shared" si="84"/>
        <v>2.7520656227608601E-7</v>
      </c>
      <c r="AV29">
        <f t="shared" si="85"/>
        <v>1.5707963267948966</v>
      </c>
      <c r="AW29" t="str">
        <f t="shared" si="60"/>
        <v>1+0.000279682239932479i</v>
      </c>
      <c r="AX29">
        <f t="shared" si="86"/>
        <v>1.000000039111077</v>
      </c>
      <c r="AY29">
        <f t="shared" si="87"/>
        <v>2.7968223264003013E-4</v>
      </c>
      <c r="AZ29" t="str">
        <f t="shared" si="61"/>
        <v>1+0.00950919615770427i</v>
      </c>
      <c r="BA29">
        <f t="shared" si="88"/>
        <v>1.0000452113837481</v>
      </c>
      <c r="BB29">
        <f t="shared" si="89"/>
        <v>9.5089095508303668E-3</v>
      </c>
      <c r="BC29" s="41" t="str">
        <f t="shared" si="90"/>
        <v>-0.558944592956349+60.5607277348598i</v>
      </c>
      <c r="BD29">
        <f t="shared" si="91"/>
        <v>35.644191636817851</v>
      </c>
      <c r="BE29" s="43">
        <f t="shared" si="92"/>
        <v>90.528795773499141</v>
      </c>
      <c r="BF29" s="41" t="str">
        <f t="shared" si="93"/>
        <v>210.259991713178+956.369429622246i</v>
      </c>
      <c r="BG29" s="20">
        <f t="shared" si="94"/>
        <v>59.817514652307125</v>
      </c>
      <c r="BH29" s="43">
        <f t="shared" si="95"/>
        <v>77.60065517430705</v>
      </c>
      <c r="BI29" s="41" t="str">
        <f t="shared" si="96"/>
        <v>2808.71593745767+14388.3848366196i</v>
      </c>
      <c r="BJ29" s="20">
        <f t="shared" si="97"/>
        <v>83.322657246792971</v>
      </c>
      <c r="BK29" s="43">
        <f t="shared" si="98"/>
        <v>78.954356094791493</v>
      </c>
      <c r="BL29">
        <f t="shared" si="99"/>
        <v>59.817514652307125</v>
      </c>
      <c r="BM29" s="43">
        <f t="shared" si="100"/>
        <v>77.60065517430705</v>
      </c>
    </row>
    <row r="30" spans="1:65" x14ac:dyDescent="0.25">
      <c r="A30" t="s">
        <v>201</v>
      </c>
      <c r="B30" s="12">
        <f>Gcomp</f>
        <v>1</v>
      </c>
      <c r="C30" s="2"/>
      <c r="E30" t="s">
        <v>202</v>
      </c>
      <c r="N30" s="9">
        <v>12</v>
      </c>
      <c r="O30" s="34">
        <f t="shared" si="62"/>
        <v>13.182567385564075</v>
      </c>
      <c r="P30" s="33" t="str">
        <f t="shared" si="50"/>
        <v>16.5157725627975</v>
      </c>
      <c r="Q30" s="4" t="str">
        <f t="shared" si="63"/>
        <v>1+0.214316380077847i</v>
      </c>
      <c r="R30" s="4">
        <f t="shared" si="64"/>
        <v>1.0227079303347912</v>
      </c>
      <c r="S30" s="4">
        <f t="shared" si="65"/>
        <v>0.21112265252759582</v>
      </c>
      <c r="T30" s="4" t="str">
        <f t="shared" si="51"/>
        <v>1+0.00136252905049464i</v>
      </c>
      <c r="U30" s="4">
        <f t="shared" si="66"/>
        <v>1.0000009282422759</v>
      </c>
      <c r="V30" s="4">
        <f t="shared" si="67"/>
        <v>1.36252820732381E-3</v>
      </c>
      <c r="W30" t="str">
        <f t="shared" si="52"/>
        <v>1-0.0207071284269702i</v>
      </c>
      <c r="X30" s="4">
        <f t="shared" si="68"/>
        <v>1.0002143696066814</v>
      </c>
      <c r="Y30" s="4">
        <f t="shared" si="69"/>
        <v>-2.0704169551654363E-2</v>
      </c>
      <c r="Z30" t="str">
        <f t="shared" si="53"/>
        <v>0.999999996409502+0.000289899797977583i</v>
      </c>
      <c r="AA30" s="4">
        <f t="shared" si="70"/>
        <v>1.0000000384304477</v>
      </c>
      <c r="AB30" s="4">
        <f t="shared" si="71"/>
        <v>2.8989979089722535E-4</v>
      </c>
      <c r="AC30" s="47" t="str">
        <f t="shared" si="72"/>
        <v>15.7244007979184-3.69427568966793i</v>
      </c>
      <c r="AD30" s="20">
        <f t="shared" si="73"/>
        <v>24.164814920473333</v>
      </c>
      <c r="AE30" s="43">
        <f t="shared" si="74"/>
        <v>-13.221241401824228</v>
      </c>
      <c r="AF30" t="str">
        <f t="shared" si="54"/>
        <v>247.084651286898</v>
      </c>
      <c r="AG30" t="str">
        <f t="shared" si="55"/>
        <v>1+0.209585551867937i</v>
      </c>
      <c r="AH30">
        <f t="shared" si="75"/>
        <v>1.0217270200752193</v>
      </c>
      <c r="AI30">
        <f t="shared" si="76"/>
        <v>0.2065952182014841</v>
      </c>
      <c r="AJ30" t="str">
        <f t="shared" si="56"/>
        <v>1+0.00136252905049464i</v>
      </c>
      <c r="AK30">
        <f t="shared" si="77"/>
        <v>1.0000009282422759</v>
      </c>
      <c r="AL30">
        <f t="shared" si="78"/>
        <v>1.36252820732381E-3</v>
      </c>
      <c r="AM30" t="str">
        <f t="shared" si="57"/>
        <v>1-0.00135354426604173i</v>
      </c>
      <c r="AN30">
        <f t="shared" si="79"/>
        <v>1.0000009160406205</v>
      </c>
      <c r="AO30">
        <f t="shared" si="80"/>
        <v>-1.3535434394412406E-3</v>
      </c>
      <c r="AP30" s="41" t="str">
        <f t="shared" si="81"/>
        <v>236.688757385103-49.6043238351597i</v>
      </c>
      <c r="AQ30">
        <f t="shared" si="82"/>
        <v>47.670233809788982</v>
      </c>
      <c r="AR30" s="43">
        <f t="shared" si="83"/>
        <v>-11.836519281249805</v>
      </c>
      <c r="AS30" t="str">
        <f t="shared" si="58"/>
        <v>-0.0000166666666666667</v>
      </c>
      <c r="AT30" t="str">
        <f t="shared" si="59"/>
        <v>2.81616946606795E-07i</v>
      </c>
      <c r="AU30">
        <f t="shared" si="84"/>
        <v>2.8161694660679502E-7</v>
      </c>
      <c r="AV30">
        <f t="shared" si="85"/>
        <v>1.5707963267948966</v>
      </c>
      <c r="AW30" t="str">
        <f t="shared" si="60"/>
        <v>1+0.00028619687618829i</v>
      </c>
      <c r="AX30">
        <f t="shared" si="86"/>
        <v>1.000000040954325</v>
      </c>
      <c r="AY30">
        <f t="shared" si="87"/>
        <v>2.8619686837429029E-4</v>
      </c>
      <c r="AZ30" t="str">
        <f t="shared" si="61"/>
        <v>1+0.00973069379040186i</v>
      </c>
      <c r="BA30">
        <f t="shared" si="88"/>
        <v>1.000047342080185</v>
      </c>
      <c r="BB30">
        <f t="shared" si="89"/>
        <v>9.7303866863886496E-3</v>
      </c>
      <c r="BC30" s="41" t="str">
        <f t="shared" si="90"/>
        <v>-0.558944590895805+59.1822044704303i</v>
      </c>
      <c r="BD30">
        <f t="shared" si="91"/>
        <v>35.444210126945329</v>
      </c>
      <c r="BE30" s="43">
        <f t="shared" si="92"/>
        <v>90.541112217492639</v>
      </c>
      <c r="BF30" s="41" t="str">
        <f t="shared" si="93"/>
        <v>209.846310464993+932.669598611422i</v>
      </c>
      <c r="BG30" s="20">
        <f t="shared" si="94"/>
        <v>59.609025047418662</v>
      </c>
      <c r="BH30" s="43">
        <f t="shared" si="95"/>
        <v>77.319870815668438</v>
      </c>
      <c r="BI30" s="41" t="str">
        <f t="shared" si="96"/>
        <v>2803.39733516361+14035.4885039099i</v>
      </c>
      <c r="BJ30" s="20">
        <f t="shared" si="97"/>
        <v>83.114443936734276</v>
      </c>
      <c r="BK30" s="43">
        <f t="shared" si="98"/>
        <v>78.704592936242804</v>
      </c>
      <c r="BL30">
        <f t="shared" si="99"/>
        <v>59.609025047418662</v>
      </c>
      <c r="BM30" s="43">
        <f t="shared" si="100"/>
        <v>77.319870815668438</v>
      </c>
    </row>
    <row r="31" spans="1:65" x14ac:dyDescent="0.25">
      <c r="A31" t="s">
        <v>481</v>
      </c>
      <c r="B31">
        <f>IF(Variable_Management!B20=3,1,IF((VOUT*IOUT)/(VIN_var*Np)&lt;((VIN_var*(1-(VIN_var/VOUT)))/(2*Lm*Fsw)),0,1))</f>
        <v>1</v>
      </c>
      <c r="E31" t="s">
        <v>482</v>
      </c>
      <c r="N31" s="9">
        <v>13</v>
      </c>
      <c r="O31" s="34">
        <f t="shared" si="62"/>
        <v>13.489628825916535</v>
      </c>
      <c r="P31" s="33" t="str">
        <f t="shared" si="50"/>
        <v>16.5157725627975</v>
      </c>
      <c r="Q31" s="4" t="str">
        <f t="shared" si="63"/>
        <v>1+0.219308449864639i</v>
      </c>
      <c r="R31" s="4">
        <f t="shared" si="64"/>
        <v>1.0237656939857043</v>
      </c>
      <c r="S31" s="4">
        <f t="shared" si="65"/>
        <v>0.21589058501662045</v>
      </c>
      <c r="T31" s="4" t="str">
        <f t="shared" si="51"/>
        <v>1+0.00139426642915012i</v>
      </c>
      <c r="U31" s="4">
        <f t="shared" si="66"/>
        <v>1.0000009719889653</v>
      </c>
      <c r="V31" s="4">
        <f t="shared" si="67"/>
        <v>1.3942655256763456E-3</v>
      </c>
      <c r="W31" t="str">
        <f t="shared" si="52"/>
        <v>1-0.0211894594095763i</v>
      </c>
      <c r="X31" s="4">
        <f t="shared" si="68"/>
        <v>1.0002244714013302</v>
      </c>
      <c r="Y31" s="4">
        <f t="shared" si="69"/>
        <v>-2.1186288955981007E-2</v>
      </c>
      <c r="Z31" t="str">
        <f t="shared" si="53"/>
        <v>0.999999996240287+0.000296652431734067i</v>
      </c>
      <c r="AA31" s="4">
        <f t="shared" si="70"/>
        <v>1.0000000402416187</v>
      </c>
      <c r="AB31" s="4">
        <f t="shared" si="71"/>
        <v>2.9665242414732713E-4</v>
      </c>
      <c r="AC31" s="47" t="str">
        <f t="shared" si="72"/>
        <v>15.6888160839029-3.77252240157812i</v>
      </c>
      <c r="AD31" s="20">
        <f t="shared" si="73"/>
        <v>24.155924032179279</v>
      </c>
      <c r="AE31" s="43">
        <f t="shared" si="74"/>
        <v>-13.520615700529104</v>
      </c>
      <c r="AF31" t="str">
        <f t="shared" si="54"/>
        <v>247.084651286898</v>
      </c>
      <c r="AG31" t="str">
        <f t="shared" si="55"/>
        <v>1+0.214467426509754i</v>
      </c>
      <c r="AH31">
        <f t="shared" si="75"/>
        <v>1.0227395939503452</v>
      </c>
      <c r="AI31">
        <f t="shared" si="76"/>
        <v>0.2112670613675042</v>
      </c>
      <c r="AJ31" t="str">
        <f t="shared" si="56"/>
        <v>1+0.00139426642915012i</v>
      </c>
      <c r="AK31">
        <f t="shared" si="77"/>
        <v>1.0000009719889653</v>
      </c>
      <c r="AL31">
        <f t="shared" si="78"/>
        <v>1.3942655256763456E-3</v>
      </c>
      <c r="AM31" t="str">
        <f t="shared" si="57"/>
        <v>1-0.0013850723621823i</v>
      </c>
      <c r="AN31">
        <f t="shared" si="79"/>
        <v>1.0000009592122643</v>
      </c>
      <c r="AO31">
        <f t="shared" si="80"/>
        <v>-1.3850714764639636E-3</v>
      </c>
      <c r="AP31" s="41" t="str">
        <f t="shared" si="81"/>
        <v>236.220358600099-50.6593006853437i</v>
      </c>
      <c r="AQ31">
        <f t="shared" si="82"/>
        <v>47.661630750349573</v>
      </c>
      <c r="AR31" s="43">
        <f t="shared" si="83"/>
        <v>-12.104184186272821</v>
      </c>
      <c r="AS31" t="str">
        <f t="shared" si="58"/>
        <v>-0.0000166666666666667</v>
      </c>
      <c r="AT31" t="str">
        <f t="shared" si="59"/>
        <v>2.88176647970237E-07i</v>
      </c>
      <c r="AU31">
        <f t="shared" si="84"/>
        <v>2.88176647970237E-7</v>
      </c>
      <c r="AV31">
        <f t="shared" si="85"/>
        <v>1.5707963267948966</v>
      </c>
      <c r="AW31" t="str">
        <f t="shared" si="60"/>
        <v>1+0.00029286325781612i</v>
      </c>
      <c r="AX31">
        <f t="shared" si="86"/>
        <v>1.0000000428844429</v>
      </c>
      <c r="AY31">
        <f t="shared" si="87"/>
        <v>2.9286324944326848E-4</v>
      </c>
      <c r="AZ31" t="str">
        <f t="shared" si="61"/>
        <v>1+0.00995735076574807i</v>
      </c>
      <c r="BA31">
        <f t="shared" si="88"/>
        <v>1.0000495731883856</v>
      </c>
      <c r="BB31">
        <f t="shared" si="89"/>
        <v>9.9570216987501913E-3</v>
      </c>
      <c r="BC31" s="41" t="str">
        <f t="shared" si="90"/>
        <v>-0.558944588738146+57.8350603941798i</v>
      </c>
      <c r="BD31">
        <f t="shared" si="91"/>
        <v>35.244229488401103</v>
      </c>
      <c r="BE31" s="43">
        <f t="shared" si="92"/>
        <v>90.55371549169098</v>
      </c>
      <c r="BF31" s="41" t="str">
        <f t="shared" si="93"/>
        <v>209.414882079861+909.472256707959i</v>
      </c>
      <c r="BG31" s="20">
        <f t="shared" si="94"/>
        <v>59.400153520580375</v>
      </c>
      <c r="BH31" s="43">
        <f t="shared" si="95"/>
        <v>77.033099791161888</v>
      </c>
      <c r="BI31" s="41" t="str">
        <f t="shared" si="96"/>
        <v>2797.84962347446+13690.1344479589i</v>
      </c>
      <c r="BJ31" s="20">
        <f t="shared" si="97"/>
        <v>82.905860238750705</v>
      </c>
      <c r="BK31" s="43">
        <f t="shared" si="98"/>
        <v>78.449531305418176</v>
      </c>
      <c r="BL31">
        <f t="shared" si="99"/>
        <v>59.400153520580375</v>
      </c>
      <c r="BM31" s="43">
        <f t="shared" si="100"/>
        <v>77.033099791161888</v>
      </c>
    </row>
    <row r="32" spans="1:65" ht="15.75" x14ac:dyDescent="0.25">
      <c r="A32" s="35" t="s">
        <v>476</v>
      </c>
      <c r="E32" s="31" t="s">
        <v>500</v>
      </c>
      <c r="N32" s="9">
        <v>14</v>
      </c>
      <c r="O32" s="34">
        <f t="shared" si="62"/>
        <v>13.803842646028857</v>
      </c>
      <c r="P32" s="33" t="str">
        <f t="shared" si="50"/>
        <v>16.5157725627975</v>
      </c>
      <c r="Q32" s="4" t="str">
        <f t="shared" si="63"/>
        <v>1+0.22441679989444i</v>
      </c>
      <c r="R32" s="4">
        <f t="shared" si="64"/>
        <v>1.0248721384030601</v>
      </c>
      <c r="S32" s="4">
        <f t="shared" si="65"/>
        <v>0.22075927480966751</v>
      </c>
      <c r="T32" s="4" t="str">
        <f t="shared" si="51"/>
        <v>1+0.00142674306632163i</v>
      </c>
      <c r="U32" s="4">
        <f t="shared" si="66"/>
        <v>1.0000010177973706</v>
      </c>
      <c r="V32" s="4">
        <f t="shared" si="67"/>
        <v>1.4267420982320919E-3</v>
      </c>
      <c r="W32" t="str">
        <f t="shared" si="52"/>
        <v>1-0.0216830253240369i</v>
      </c>
      <c r="X32" s="4">
        <f t="shared" si="68"/>
        <v>1.0002350491695453</v>
      </c>
      <c r="Y32" s="4">
        <f t="shared" si="69"/>
        <v>-2.1679628164918179E-2</v>
      </c>
      <c r="Z32" t="str">
        <f t="shared" si="53"/>
        <v>0.999999996063098+0.000303562354536516i</v>
      </c>
      <c r="AA32" s="4">
        <f t="shared" si="70"/>
        <v>1.0000000421381487</v>
      </c>
      <c r="AB32" s="4">
        <f t="shared" si="71"/>
        <v>3.0356234640717752E-4</v>
      </c>
      <c r="AC32" s="47" t="str">
        <f t="shared" si="72"/>
        <v>15.6517115180289-3.85206885445556i</v>
      </c>
      <c r="AD32" s="20">
        <f t="shared" si="73"/>
        <v>24.146633981855388</v>
      </c>
      <c r="AE32" s="43">
        <f t="shared" si="74"/>
        <v>-13.826372470811384</v>
      </c>
      <c r="AF32" t="str">
        <f t="shared" si="54"/>
        <v>247.084651286898</v>
      </c>
      <c r="AG32" t="str">
        <f t="shared" si="55"/>
        <v>1+0.21946301461992i</v>
      </c>
      <c r="AH32">
        <f t="shared" si="75"/>
        <v>1.0237988155814908</v>
      </c>
      <c r="AI32">
        <f t="shared" si="76"/>
        <v>0.21603805216322122</v>
      </c>
      <c r="AJ32" t="str">
        <f t="shared" si="56"/>
        <v>1+0.00142674306632163i</v>
      </c>
      <c r="AK32">
        <f t="shared" si="77"/>
        <v>1.0000010177973706</v>
      </c>
      <c r="AL32">
        <f t="shared" si="78"/>
        <v>1.4267420982320919E-3</v>
      </c>
      <c r="AM32" t="str">
        <f t="shared" si="57"/>
        <v>1-0.0014173348420229i</v>
      </c>
      <c r="AN32">
        <f t="shared" si="79"/>
        <v>1.0000010044185228</v>
      </c>
      <c r="AO32">
        <f t="shared" si="80"/>
        <v>-1.4173338929586552E-3</v>
      </c>
      <c r="AP32" s="41" t="str">
        <f t="shared" si="81"/>
        <v>235.731867931933-51.7321017505068i</v>
      </c>
      <c r="AQ32">
        <f t="shared" si="82"/>
        <v>47.652640472882752</v>
      </c>
      <c r="AR32" s="43">
        <f t="shared" si="83"/>
        <v>-12.377529552724743</v>
      </c>
      <c r="AS32" t="str">
        <f t="shared" si="58"/>
        <v>-0.0000166666666666667</v>
      </c>
      <c r="AT32" t="str">
        <f t="shared" si="59"/>
        <v>2.94889144406901E-07i</v>
      </c>
      <c r="AU32">
        <f t="shared" si="84"/>
        <v>2.94889144406901E-7</v>
      </c>
      <c r="AV32">
        <f t="shared" si="85"/>
        <v>1.5707963267948966</v>
      </c>
      <c r="AW32" t="str">
        <f t="shared" si="60"/>
        <v>1+0.000299684919419747i</v>
      </c>
      <c r="AX32">
        <f t="shared" si="86"/>
        <v>1.0000000449055244</v>
      </c>
      <c r="AY32">
        <f t="shared" si="87"/>
        <v>2.9968491044807494E-4</v>
      </c>
      <c r="AZ32" t="str">
        <f t="shared" si="61"/>
        <v>1+0.0101892872602714i</v>
      </c>
      <c r="BA32">
        <f t="shared" si="88"/>
        <v>1.0000519094401412</v>
      </c>
      <c r="BB32">
        <f t="shared" si="89"/>
        <v>1.0188934659618943E-2</v>
      </c>
      <c r="BC32" s="41" t="str">
        <f t="shared" si="90"/>
        <v>-0.558944586478801+56.5185812324878i</v>
      </c>
      <c r="BD32">
        <f t="shared" si="91"/>
        <v>35.044249762241513</v>
      </c>
      <c r="BE32" s="43">
        <f t="shared" si="92"/>
        <v>90.566612273178293</v>
      </c>
      <c r="BF32" s="41" t="str">
        <f t="shared" si="93"/>
        <v>208.965027041553+886.765621892123i</v>
      </c>
      <c r="BG32" s="20">
        <f t="shared" si="94"/>
        <v>59.190883744096901</v>
      </c>
      <c r="BH32" s="43">
        <f t="shared" si="95"/>
        <v>76.740239802366901</v>
      </c>
      <c r="BI32" s="41" t="str">
        <f t="shared" si="96"/>
        <v>2792.06394367225+13352.1461050177i</v>
      </c>
      <c r="BJ32" s="20">
        <f t="shared" si="97"/>
        <v>82.696890235124286</v>
      </c>
      <c r="BK32" s="43">
        <f t="shared" si="98"/>
        <v>78.189082720453598</v>
      </c>
      <c r="BL32">
        <f t="shared" si="99"/>
        <v>59.190883744096901</v>
      </c>
      <c r="BM32" s="43">
        <f t="shared" si="100"/>
        <v>76.740239802366901</v>
      </c>
    </row>
    <row r="33" spans="1:65" x14ac:dyDescent="0.25">
      <c r="N33" s="9">
        <v>15</v>
      </c>
      <c r="O33" s="34">
        <f t="shared" si="62"/>
        <v>14.125375446227544</v>
      </c>
      <c r="P33" s="33" t="str">
        <f t="shared" si="50"/>
        <v>16.5157725627975</v>
      </c>
      <c r="Q33" s="4" t="str">
        <f t="shared" si="63"/>
        <v>1+0.229644138682053i</v>
      </c>
      <c r="R33" s="4">
        <f t="shared" si="64"/>
        <v>1.0260294491051523</v>
      </c>
      <c r="S33" s="4">
        <f t="shared" si="65"/>
        <v>0.22573037966475934</v>
      </c>
      <c r="T33" s="4" t="str">
        <f t="shared" si="51"/>
        <v>1+0.00145997618155207i</v>
      </c>
      <c r="U33" s="4">
        <f t="shared" si="66"/>
        <v>1.0000010657646574</v>
      </c>
      <c r="V33" s="4">
        <f t="shared" si="67"/>
        <v>1.4599751442255005E-3</v>
      </c>
      <c r="W33" t="str">
        <f t="shared" si="52"/>
        <v>1-0.0221880878655331i</v>
      </c>
      <c r="X33" s="4">
        <f t="shared" si="68"/>
        <v>1.0002461253327246</v>
      </c>
      <c r="Y33" s="4">
        <f t="shared" si="69"/>
        <v>-2.2184447792328754E-2</v>
      </c>
      <c r="Z33" t="str">
        <f t="shared" si="53"/>
        <v>0.999999995877557+0.000310633230117462i</v>
      </c>
      <c r="AA33" s="4">
        <f t="shared" si="70"/>
        <v>1.0000000441240577</v>
      </c>
      <c r="AB33" s="4">
        <f t="shared" si="71"/>
        <v>3.1063322140671918E-4</v>
      </c>
      <c r="AC33" s="47" t="str">
        <f t="shared" si="72"/>
        <v>15.6130295244376-3.93291197748284i</v>
      </c>
      <c r="AD33" s="20">
        <f t="shared" si="73"/>
        <v>24.136927779002619</v>
      </c>
      <c r="AE33" s="43">
        <f t="shared" si="74"/>
        <v>-14.138620850610238</v>
      </c>
      <c r="AF33" t="str">
        <f t="shared" si="54"/>
        <v>247.084651286898</v>
      </c>
      <c r="AG33" t="str">
        <f t="shared" si="55"/>
        <v>1+0.224574964925372i</v>
      </c>
      <c r="AH33">
        <f t="shared" si="75"/>
        <v>1.0249067835033741</v>
      </c>
      <c r="AI33">
        <f t="shared" si="76"/>
        <v>0.22090985103911984</v>
      </c>
      <c r="AJ33" t="str">
        <f t="shared" si="56"/>
        <v>1+0.00145997618155207i</v>
      </c>
      <c r="AK33">
        <f t="shared" si="77"/>
        <v>1.0000010657646574</v>
      </c>
      <c r="AL33">
        <f t="shared" si="78"/>
        <v>1.4599751442255005E-3</v>
      </c>
      <c r="AM33" t="str">
        <f t="shared" si="57"/>
        <v>1-0.00145034881155738i</v>
      </c>
      <c r="AN33">
        <f t="shared" si="79"/>
        <v>1.0000010517552846</v>
      </c>
      <c r="AO33">
        <f t="shared" si="80"/>
        <v>-1.4503477946167776E-3</v>
      </c>
      <c r="AP33" s="41" t="str">
        <f t="shared" si="81"/>
        <v>235.222516331342-52.8227095794108i</v>
      </c>
      <c r="AQ33">
        <f t="shared" si="82"/>
        <v>47.643246404671416</v>
      </c>
      <c r="AR33" s="43">
        <f t="shared" si="83"/>
        <v>-12.656650510904765</v>
      </c>
      <c r="AS33" t="str">
        <f t="shared" si="58"/>
        <v>-0.0000166666666666667</v>
      </c>
      <c r="AT33" t="str">
        <f t="shared" si="59"/>
        <v>3.01757994971249E-07i</v>
      </c>
      <c r="AU33">
        <f t="shared" si="84"/>
        <v>3.01757994971249E-7</v>
      </c>
      <c r="AV33">
        <f t="shared" si="85"/>
        <v>1.5707963267948966</v>
      </c>
      <c r="AW33" t="str">
        <f t="shared" si="60"/>
        <v>1+0.00030666547793445i</v>
      </c>
      <c r="AX33">
        <f t="shared" si="86"/>
        <v>1.0000000470218566</v>
      </c>
      <c r="AY33">
        <f t="shared" si="87"/>
        <v>3.0666546832113027E-4</v>
      </c>
      <c r="AZ33" t="str">
        <f t="shared" si="61"/>
        <v>1+0.0104266262497713i</v>
      </c>
      <c r="BA33">
        <f t="shared" si="88"/>
        <v>1.0000543557902002</v>
      </c>
      <c r="BB33">
        <f t="shared" si="89"/>
        <v>1.0426248432474245E-2</v>
      </c>
      <c r="BC33" s="41" t="str">
        <f t="shared" si="90"/>
        <v>-0.558944584112978+55.2320689706771i</v>
      </c>
      <c r="BD33">
        <f t="shared" si="91"/>
        <v>34.844270991456973</v>
      </c>
      <c r="BE33" s="43">
        <f t="shared" si="92"/>
        <v>90.57980939427847</v>
      </c>
      <c r="BF33" s="41" t="str">
        <f t="shared" si="93"/>
        <v>208.496047301654+864.538203384562i</v>
      </c>
      <c r="BG33" s="20">
        <f t="shared" si="94"/>
        <v>58.981198770459585</v>
      </c>
      <c r="BH33" s="43">
        <f t="shared" si="95"/>
        <v>76.441188543668204</v>
      </c>
      <c r="BI33" s="41" t="str">
        <f t="shared" si="96"/>
        <v>2786.03118714323+13021.3512129065i</v>
      </c>
      <c r="BJ33" s="20">
        <f t="shared" si="97"/>
        <v>82.487517396128396</v>
      </c>
      <c r="BK33" s="43">
        <f t="shared" si="98"/>
        <v>77.923158883373731</v>
      </c>
      <c r="BL33">
        <f t="shared" si="99"/>
        <v>58.981198770459585</v>
      </c>
      <c r="BM33" s="43">
        <f t="shared" si="100"/>
        <v>76.441188543668204</v>
      </c>
    </row>
    <row r="34" spans="1:65" x14ac:dyDescent="0.25">
      <c r="A34" t="s">
        <v>494</v>
      </c>
      <c r="B34">
        <f>(R_cs*Acs/(2*Lm*Fsw))*(1-(VIN_var/VOUT))*(VIN_var/VOUT)</f>
        <v>1.2818181818181819E-4</v>
      </c>
      <c r="E34" t="s">
        <v>497</v>
      </c>
      <c r="N34" s="9">
        <v>16</v>
      </c>
      <c r="O34" s="34">
        <f t="shared" si="62"/>
        <v>14.454397707459275</v>
      </c>
      <c r="P34" s="33" t="str">
        <f t="shared" si="50"/>
        <v>16.5157725627975</v>
      </c>
      <c r="Q34" s="4" t="str">
        <f t="shared" si="63"/>
        <v>1+0.234993237831695i</v>
      </c>
      <c r="R34" s="4">
        <f t="shared" si="64"/>
        <v>1.0272399047090333</v>
      </c>
      <c r="S34" s="4">
        <f t="shared" si="65"/>
        <v>0.23080555212150633</v>
      </c>
      <c r="T34" s="4" t="str">
        <f t="shared" si="51"/>
        <v>1+0.00149398339547905i</v>
      </c>
      <c r="U34" s="4">
        <f t="shared" si="66"/>
        <v>1.0000011159925704</v>
      </c>
      <c r="V34" s="4">
        <f t="shared" si="67"/>
        <v>1.4939822839636721E-3</v>
      </c>
      <c r="W34" t="str">
        <f t="shared" si="52"/>
        <v>1-0.0227049148249096i</v>
      </c>
      <c r="X34" s="4">
        <f t="shared" si="68"/>
        <v>1.0002577233679359</v>
      </c>
      <c r="Y34" s="4">
        <f t="shared" si="69"/>
        <v>-2.2701014470473794E-2</v>
      </c>
      <c r="Z34" t="str">
        <f t="shared" si="53"/>
        <v>0.999999995683272+0.000317868807548734i</v>
      </c>
      <c r="AA34" s="4">
        <f t="shared" si="70"/>
        <v>1.0000000462035605</v>
      </c>
      <c r="AB34" s="4">
        <f t="shared" si="71"/>
        <v>3.1786879821500496E-4</v>
      </c>
      <c r="AC34" s="47" t="str">
        <f t="shared" si="72"/>
        <v>15.5727110157574-4.01504669538395i</v>
      </c>
      <c r="AD34" s="20">
        <f t="shared" si="73"/>
        <v>24.126787794911166</v>
      </c>
      <c r="AE34" s="43">
        <f t="shared" si="74"/>
        <v>-14.457470005610842</v>
      </c>
      <c r="AF34" t="str">
        <f t="shared" si="54"/>
        <v>247.084651286898</v>
      </c>
      <c r="AG34" t="str">
        <f t="shared" si="55"/>
        <v>1+0.229805987849829i</v>
      </c>
      <c r="AH34">
        <f t="shared" si="75"/>
        <v>1.0260656860316673</v>
      </c>
      <c r="AI34">
        <f t="shared" si="76"/>
        <v>0.22588411563114974</v>
      </c>
      <c r="AJ34" t="str">
        <f t="shared" si="56"/>
        <v>1+0.00149398339547905i</v>
      </c>
      <c r="AK34">
        <f t="shared" si="77"/>
        <v>1.0000011159925704</v>
      </c>
      <c r="AL34">
        <f t="shared" si="78"/>
        <v>1.4939822839636721E-3</v>
      </c>
      <c r="AM34" t="str">
        <f t="shared" si="57"/>
        <v>1-0.00148413177522939i</v>
      </c>
      <c r="AN34">
        <f t="shared" si="79"/>
        <v>1.0000011013229566</v>
      </c>
      <c r="AO34">
        <f t="shared" si="80"/>
        <v>-1.4841306855579669E-3</v>
      </c>
      <c r="AP34" s="41" t="str">
        <f t="shared" si="81"/>
        <v>234.691513798446-53.9310809842696i</v>
      </c>
      <c r="AQ34">
        <f t="shared" si="82"/>
        <v>47.633431342033006</v>
      </c>
      <c r="AR34" s="43">
        <f t="shared" si="83"/>
        <v>-12.94164202969983</v>
      </c>
      <c r="AS34" t="str">
        <f t="shared" si="58"/>
        <v>-0.0000166666666666667</v>
      </c>
      <c r="AT34" t="str">
        <f t="shared" si="59"/>
        <v>3.08786841618771E-07i</v>
      </c>
      <c r="AU34">
        <f t="shared" si="84"/>
        <v>3.0878684161877099E-7</v>
      </c>
      <c r="AV34">
        <f t="shared" si="85"/>
        <v>1.5707963267948966</v>
      </c>
      <c r="AW34" t="str">
        <f t="shared" si="60"/>
        <v>1+0.000313808634544751i</v>
      </c>
      <c r="AX34">
        <f t="shared" si="86"/>
        <v>1.0000000492379284</v>
      </c>
      <c r="AY34">
        <f t="shared" si="87"/>
        <v>3.1380862424389334E-4</v>
      </c>
      <c r="AZ34" t="str">
        <f t="shared" si="61"/>
        <v>1+0.0106694935745215i</v>
      </c>
      <c r="BA34">
        <f t="shared" si="88"/>
        <v>1.0000569174267717</v>
      </c>
      <c r="BB34">
        <f t="shared" si="89"/>
        <v>1.0669088737238264E-2</v>
      </c>
      <c r="BC34" s="41" t="str">
        <f t="shared" si="90"/>
        <v>-0.558944581635653+53.9748414829174i</v>
      </c>
      <c r="BD34">
        <f t="shared" si="91"/>
        <v>34.644293221063116</v>
      </c>
      <c r="BE34" s="43">
        <f t="shared" si="92"/>
        <v>90.593313846150323</v>
      </c>
      <c r="BF34" s="41" t="str">
        <f t="shared" si="93"/>
        <v>208.007226486225+842.778797130186i</v>
      </c>
      <c r="BG34" s="20">
        <f t="shared" si="94"/>
        <v>58.771081015974275</v>
      </c>
      <c r="BH34" s="43">
        <f t="shared" si="95"/>
        <v>76.135843840539465</v>
      </c>
      <c r="BI34" s="41" t="str">
        <f t="shared" si="96"/>
        <v>2779.74199713482+12697.581740155i</v>
      </c>
      <c r="BJ34" s="20">
        <f t="shared" si="97"/>
        <v>82.277724563096143</v>
      </c>
      <c r="BK34" s="43">
        <f t="shared" si="98"/>
        <v>77.651671816450559</v>
      </c>
      <c r="BL34">
        <f t="shared" si="99"/>
        <v>58.771081015974275</v>
      </c>
      <c r="BM34" s="43">
        <f t="shared" si="100"/>
        <v>76.135843840539465</v>
      </c>
    </row>
    <row r="35" spans="1:65" x14ac:dyDescent="0.25">
      <c r="A35" t="s">
        <v>495</v>
      </c>
      <c r="B35">
        <f>1/((0.5-(1-(VIN_var/VOUT)))*(R_cs*Acs/(Lm*Fsw))+(Vsl*Acs/VOUT))</f>
        <v>142.85714285714286</v>
      </c>
      <c r="E35" t="s">
        <v>497</v>
      </c>
      <c r="N35" s="9">
        <v>17</v>
      </c>
      <c r="O35" s="34">
        <f t="shared" si="62"/>
        <v>14.791083881682074</v>
      </c>
      <c r="P35" s="33" t="str">
        <f t="shared" si="50"/>
        <v>16.5157725627975</v>
      </c>
      <c r="Q35" s="4" t="str">
        <f t="shared" si="63"/>
        <v>1+0.240466933506538i</v>
      </c>
      <c r="R35" s="4">
        <f t="shared" si="64"/>
        <v>1.0285058804450453</v>
      </c>
      <c r="S35" s="4">
        <f t="shared" si="65"/>
        <v>0.23598643685252668</v>
      </c>
      <c r="T35" s="4" t="str">
        <f t="shared" si="51"/>
        <v>1+0.00152878273917752i</v>
      </c>
      <c r="U35" s="4">
        <f t="shared" si="66"/>
        <v>1.0000011685876489</v>
      </c>
      <c r="V35" s="4">
        <f t="shared" si="67"/>
        <v>1.5287815481674096E-3</v>
      </c>
      <c r="W35" t="str">
        <f t="shared" si="52"/>
        <v>1-0.0232337802306614i</v>
      </c>
      <c r="X35" s="4">
        <f t="shared" si="68"/>
        <v>1.000269867857573</v>
      </c>
      <c r="Y35" s="4">
        <f t="shared" si="69"/>
        <v>-2.3229600986481799E-2</v>
      </c>
      <c r="Z35" t="str">
        <f t="shared" si="53"/>
        <v>0.999999995479831+0.000325272923229259i</v>
      </c>
      <c r="AA35" s="4">
        <f t="shared" si="70"/>
        <v>1.0000000483810669</v>
      </c>
      <c r="AB35" s="4">
        <f t="shared" si="71"/>
        <v>3.2527291322798806E-4</v>
      </c>
      <c r="AC35" s="47" t="str">
        <f t="shared" si="72"/>
        <v>15.5306954171688-4.09846579184495i</v>
      </c>
      <c r="AD35" s="20">
        <f t="shared" si="73"/>
        <v>24.116195746443271</v>
      </c>
      <c r="AE35" s="43">
        <f t="shared" si="74"/>
        <v>-14.783028984889098</v>
      </c>
      <c r="AF35" t="str">
        <f t="shared" si="54"/>
        <v>247.084651286898</v>
      </c>
      <c r="AG35" t="str">
        <f t="shared" si="55"/>
        <v>1+0.235158856950887i</v>
      </c>
      <c r="AH35">
        <f t="shared" si="75"/>
        <v>1.027277804686954</v>
      </c>
      <c r="AI35">
        <f t="shared" si="76"/>
        <v>0.23096249827838114</v>
      </c>
      <c r="AJ35" t="str">
        <f t="shared" si="56"/>
        <v>1+0.00152878273917752i</v>
      </c>
      <c r="AK35">
        <f t="shared" si="77"/>
        <v>1.0000011685876489</v>
      </c>
      <c r="AL35">
        <f t="shared" si="78"/>
        <v>1.5287815481674096E-3</v>
      </c>
      <c r="AM35" t="str">
        <f t="shared" si="57"/>
        <v>1-0.00151870164521342i</v>
      </c>
      <c r="AN35">
        <f t="shared" si="79"/>
        <v>1.0000011532266786</v>
      </c>
      <c r="AO35">
        <f t="shared" si="80"/>
        <v>-1.5187004776095264E-3</v>
      </c>
      <c r="AP35" s="41" t="str">
        <f t="shared" si="81"/>
        <v>234.13804961925-55.0571452335862i</v>
      </c>
      <c r="AQ35">
        <f t="shared" si="82"/>
        <v>47.623177433453577</v>
      </c>
      <c r="AR35" s="43">
        <f t="shared" si="83"/>
        <v>-13.232598774352843</v>
      </c>
      <c r="AS35" t="str">
        <f t="shared" si="58"/>
        <v>-0.0000166666666666667</v>
      </c>
      <c r="AT35" t="str">
        <f t="shared" si="59"/>
        <v>3.15979411136995E-07i</v>
      </c>
      <c r="AU35">
        <f t="shared" si="84"/>
        <v>3.1597941113699501E-7</v>
      </c>
      <c r="AV35">
        <f t="shared" si="85"/>
        <v>1.5707963267948966</v>
      </c>
      <c r="AW35" t="str">
        <f t="shared" si="60"/>
        <v>1+0.000321118176646835i</v>
      </c>
      <c r="AX35">
        <f t="shared" si="86"/>
        <v>1.0000000515584404</v>
      </c>
      <c r="AY35">
        <f t="shared" si="87"/>
        <v>3.2111816560926714E-4</v>
      </c>
      <c r="AZ35" t="str">
        <f t="shared" si="61"/>
        <v>1+0.0109180180059924i</v>
      </c>
      <c r="BA35">
        <f t="shared" si="88"/>
        <v>1.0000595997825226</v>
      </c>
      <c r="BB35">
        <f t="shared" si="89"/>
        <v>1.0917584216424175E-2</v>
      </c>
      <c r="BC35" s="41" t="str">
        <f t="shared" si="90"/>
        <v>-0.55894457904158+52.7462321705534i</v>
      </c>
      <c r="BD35">
        <f t="shared" si="91"/>
        <v>34.444316498196152</v>
      </c>
      <c r="BE35" s="43">
        <f t="shared" si="92"/>
        <v>90.607132782465357</v>
      </c>
      <c r="BF35" s="41" t="str">
        <f t="shared" si="93"/>
        <v>207.497830187552+821.476481480874i</v>
      </c>
      <c r="BG35" s="20">
        <f t="shared" si="94"/>
        <v>58.560512244639426</v>
      </c>
      <c r="BH35" s="43">
        <f t="shared" si="95"/>
        <v>75.824103797576285</v>
      </c>
      <c r="BI35" s="41" t="str">
        <f t="shared" si="96"/>
        <v>2773.18677155657+12380.6738180433i</v>
      </c>
      <c r="BJ35" s="20">
        <f t="shared" si="97"/>
        <v>82.067493931649707</v>
      </c>
      <c r="BK35" s="43">
        <f t="shared" si="98"/>
        <v>77.374534008112477</v>
      </c>
      <c r="BL35">
        <f t="shared" si="99"/>
        <v>58.560512244639426</v>
      </c>
      <c r="BM35" s="43">
        <f t="shared" si="100"/>
        <v>75.824103797576285</v>
      </c>
    </row>
    <row r="36" spans="1:65" x14ac:dyDescent="0.25">
      <c r="A36" t="s">
        <v>496</v>
      </c>
      <c r="B36">
        <f>2+((VOUT*((VIN_var/VOUT)^2))/(IOUT_VAR*R_cs*Acs))*((1/Km)+(Kex/(VIN_var/VOUT)))</f>
        <v>2.0182727272727274</v>
      </c>
      <c r="E36" t="s">
        <v>497</v>
      </c>
      <c r="N36" s="9">
        <v>18</v>
      </c>
      <c r="O36" s="34">
        <f t="shared" si="62"/>
        <v>15.135612484362087</v>
      </c>
      <c r="P36" s="33" t="str">
        <f t="shared" si="50"/>
        <v>16.5157725627975</v>
      </c>
      <c r="Q36" s="4" t="str">
        <f t="shared" si="63"/>
        <v>1+0.246068127932482i</v>
      </c>
      <c r="R36" s="4">
        <f t="shared" si="64"/>
        <v>1.0298298517639681</v>
      </c>
      <c r="S36" s="4">
        <f t="shared" si="65"/>
        <v>0.24127466783727045</v>
      </c>
      <c r="T36" s="4" t="str">
        <f t="shared" si="51"/>
        <v>1+0.00156439266372013i</v>
      </c>
      <c r="U36" s="4">
        <f t="shared" si="66"/>
        <v>1.0000012236614544</v>
      </c>
      <c r="V36" s="4">
        <f t="shared" si="67"/>
        <v>1.5643913875298882E-3</v>
      </c>
      <c r="W36" t="str">
        <f t="shared" si="52"/>
        <v>1-0.023774964494227i</v>
      </c>
      <c r="X36" s="4">
        <f t="shared" si="68"/>
        <v>1.0002825845413394</v>
      </c>
      <c r="Y36" s="4">
        <f t="shared" si="69"/>
        <v>-2.3770486421730852E-2</v>
      </c>
      <c r="Z36" t="str">
        <f t="shared" si="53"/>
        <v>0.999999995266802+0.000332849502919177i</v>
      </c>
      <c r="AA36" s="4">
        <f t="shared" si="70"/>
        <v>1.0000000506611966</v>
      </c>
      <c r="AB36" s="4">
        <f t="shared" si="71"/>
        <v>3.3284949220262211E-4</v>
      </c>
      <c r="AC36" s="47" t="str">
        <f t="shared" si="72"/>
        <v>15.4869206981303-4.18315976815902i</v>
      </c>
      <c r="AD36" s="20">
        <f t="shared" si="73"/>
        <v>24.105132680145481</v>
      </c>
      <c r="AE36" s="43">
        <f t="shared" si="74"/>
        <v>-15.115406566538866</v>
      </c>
      <c r="AF36" t="str">
        <f t="shared" si="54"/>
        <v>247.084651286898</v>
      </c>
      <c r="AG36" t="str">
        <f t="shared" si="55"/>
        <v>1+0.240636410390595i</v>
      </c>
      <c r="AH36">
        <f t="shared" si="75"/>
        <v>1.0285455177121092</v>
      </c>
      <c r="AI36">
        <f t="shared" si="76"/>
        <v>0.23614664336908125</v>
      </c>
      <c r="AJ36" t="str">
        <f t="shared" si="56"/>
        <v>1+0.00156439266372013i</v>
      </c>
      <c r="AK36">
        <f t="shared" si="77"/>
        <v>1.0000012236614544</v>
      </c>
      <c r="AL36">
        <f t="shared" si="78"/>
        <v>1.5643913875298882E-3</v>
      </c>
      <c r="AM36" t="str">
        <f t="shared" si="57"/>
        <v>1-0.00155407675091215i</v>
      </c>
      <c r="AN36">
        <f t="shared" si="79"/>
        <v>1.0000012075765448</v>
      </c>
      <c r="AO36">
        <f t="shared" si="80"/>
        <v>-1.554075499802119E-3</v>
      </c>
      <c r="AP36" s="41" t="str">
        <f t="shared" si="81"/>
        <v>233.56129269865-56.2008021774714i</v>
      </c>
      <c r="AQ36">
        <f t="shared" si="82"/>
        <v>47.612466162951108</v>
      </c>
      <c r="AR36" s="43">
        <f t="shared" si="83"/>
        <v>-13.529614954400644</v>
      </c>
      <c r="AS36" t="str">
        <f t="shared" si="58"/>
        <v>-0.0000166666666666667</v>
      </c>
      <c r="AT36" t="str">
        <f t="shared" si="59"/>
        <v>3.23339517121486E-07i</v>
      </c>
      <c r="AU36">
        <f t="shared" si="84"/>
        <v>3.23339517121486E-7</v>
      </c>
      <c r="AV36">
        <f t="shared" si="85"/>
        <v>1.5707963267948966</v>
      </c>
      <c r="AW36" t="str">
        <f t="shared" si="60"/>
        <v>1+0.00032859797985668i</v>
      </c>
      <c r="AX36">
        <f t="shared" si="86"/>
        <v>1.0000000539883147</v>
      </c>
      <c r="AY36">
        <f t="shared" si="87"/>
        <v>3.28597968029713E-4</v>
      </c>
      <c r="AZ36" t="str">
        <f t="shared" si="61"/>
        <v>1+0.0111723313151271i</v>
      </c>
      <c r="BA36">
        <f t="shared" si="88"/>
        <v>1.0000624085460943</v>
      </c>
      <c r="BB36">
        <f t="shared" si="89"/>
        <v>1.1171866502796933E-2</v>
      </c>
      <c r="BC36" s="41" t="str">
        <f t="shared" si="90"/>
        <v>-0.558944576325248+51.5455896086653i</v>
      </c>
      <c r="BD36">
        <f t="shared" si="91"/>
        <v>34.244340872212774</v>
      </c>
      <c r="BE36" s="43">
        <f t="shared" si="92"/>
        <v>90.621273523169151</v>
      </c>
      <c r="BF36" s="41" t="str">
        <f t="shared" si="93"/>
        <v>206.967106348805+800.620613072083i</v>
      </c>
      <c r="BG36" s="20">
        <f t="shared" si="94"/>
        <v>58.349473552358255</v>
      </c>
      <c r="BH36" s="43">
        <f t="shared" si="95"/>
        <v>75.5058669566303</v>
      </c>
      <c r="BI36" s="41" t="str">
        <f t="shared" si="96"/>
        <v>2766.3556669243+12070.4676754762i</v>
      </c>
      <c r="BJ36" s="20">
        <f t="shared" si="97"/>
        <v>81.856807035163882</v>
      </c>
      <c r="BK36" s="43">
        <f t="shared" si="98"/>
        <v>77.091658568768537</v>
      </c>
      <c r="BL36">
        <f t="shared" si="99"/>
        <v>58.349473552358255</v>
      </c>
      <c r="BM36" s="43">
        <f t="shared" si="100"/>
        <v>75.5058669566303</v>
      </c>
    </row>
    <row r="37" spans="1:65" x14ac:dyDescent="0.25">
      <c r="N37" s="9">
        <v>19</v>
      </c>
      <c r="O37" s="34">
        <f t="shared" si="62"/>
        <v>15.488166189124817</v>
      </c>
      <c r="P37" s="33" t="str">
        <f t="shared" si="50"/>
        <v>16.5157725627975</v>
      </c>
      <c r="Q37" s="4" t="str">
        <f t="shared" si="63"/>
        <v>1+0.251799790936953i</v>
      </c>
      <c r="R37" s="4">
        <f t="shared" si="64"/>
        <v>1.0312143980355846</v>
      </c>
      <c r="S37" s="4">
        <f t="shared" si="65"/>
        <v>0.24667186535226393</v>
      </c>
      <c r="T37" s="4" t="str">
        <f t="shared" si="51"/>
        <v>1+0.00160083204996023i</v>
      </c>
      <c r="U37" s="4">
        <f t="shared" si="66"/>
        <v>1.0000012813308052</v>
      </c>
      <c r="V37" s="4">
        <f t="shared" si="67"/>
        <v>1.6008306824978433E-3</v>
      </c>
      <c r="W37" t="str">
        <f t="shared" si="52"/>
        <v>1-0.0243287545586662i</v>
      </c>
      <c r="X37" s="4">
        <f t="shared" si="68"/>
        <v>1.0002959003706733</v>
      </c>
      <c r="Y37" s="4">
        <f t="shared" si="69"/>
        <v>-2.4323956294193812E-2</v>
      </c>
      <c r="Z37" t="str">
        <f t="shared" si="53"/>
        <v>0.999999995043734+0.000340602563821326i</v>
      </c>
      <c r="AA37" s="4">
        <f t="shared" si="70"/>
        <v>1.0000000530487858</v>
      </c>
      <c r="AB37" s="4">
        <f t="shared" si="71"/>
        <v>3.4060255233833036E-4</v>
      </c>
      <c r="AC37" s="47" t="str">
        <f t="shared" si="72"/>
        <v>15.4413234124307-4.26911669729885i</v>
      </c>
      <c r="AD37" s="20">
        <f t="shared" si="73"/>
        <v>24.093578956779332</v>
      </c>
      <c r="AE37" s="43">
        <f t="shared" si="74"/>
        <v>-15.454711092940249</v>
      </c>
      <c r="AF37" t="str">
        <f t="shared" si="54"/>
        <v>247.084651286898</v>
      </c>
      <c r="AG37" t="str">
        <f t="shared" si="55"/>
        <v>1+0.246241552440291i</v>
      </c>
      <c r="AH37">
        <f t="shared" si="75"/>
        <v>1.0298713036822633</v>
      </c>
      <c r="AI37">
        <f t="shared" si="76"/>
        <v>0.24143818450901144</v>
      </c>
      <c r="AJ37" t="str">
        <f t="shared" si="56"/>
        <v>1+0.00160083204996023i</v>
      </c>
      <c r="AK37">
        <f t="shared" si="77"/>
        <v>1.0000012813308052</v>
      </c>
      <c r="AL37">
        <f t="shared" si="78"/>
        <v>1.6008306824978433E-3</v>
      </c>
      <c r="AM37" t="str">
        <f t="shared" si="57"/>
        <v>1-0.00159027584867485i</v>
      </c>
      <c r="AN37">
        <f t="shared" si="79"/>
        <v>1.000001264487838</v>
      </c>
      <c r="AO37">
        <f t="shared" si="80"/>
        <v>-1.59027450808639E-3</v>
      </c>
      <c r="AP37" s="41" t="str">
        <f t="shared" si="81"/>
        <v>232.960391998754-57.3619203075583i</v>
      </c>
      <c r="AQ37">
        <f t="shared" si="82"/>
        <v>47.601278333751161</v>
      </c>
      <c r="AR37" s="43">
        <f t="shared" si="83"/>
        <v>-13.832784161425598</v>
      </c>
      <c r="AS37" t="str">
        <f t="shared" si="58"/>
        <v>-0.0000166666666666667</v>
      </c>
      <c r="AT37" t="str">
        <f t="shared" si="59"/>
        <v>3.3087106199786E-07i</v>
      </c>
      <c r="AU37">
        <f t="shared" si="84"/>
        <v>3.3087106199786001E-7</v>
      </c>
      <c r="AV37">
        <f t="shared" si="85"/>
        <v>1.5707963267948966</v>
      </c>
      <c r="AW37" t="str">
        <f t="shared" si="60"/>
        <v>1+0.000336252010064953i</v>
      </c>
      <c r="AX37">
        <f t="shared" si="86"/>
        <v>1.0000000565327056</v>
      </c>
      <c r="AY37">
        <f t="shared" si="87"/>
        <v>3.3625199739212958E-4</v>
      </c>
      <c r="AZ37" t="str">
        <f t="shared" si="61"/>
        <v>1+0.0114325683422084i</v>
      </c>
      <c r="BA37">
        <f t="shared" si="88"/>
        <v>1.0000653496741596</v>
      </c>
      <c r="BB37">
        <f t="shared" si="89"/>
        <v>1.143207028858105E-2</v>
      </c>
      <c r="BC37" s="41" t="str">
        <f t="shared" si="90"/>
        <v>-0.558944573480901+50.3722772006738i</v>
      </c>
      <c r="BD37">
        <f t="shared" si="91"/>
        <v>34.044366394794466</v>
      </c>
      <c r="BE37" s="43">
        <f t="shared" si="92"/>
        <v>90.635743558329182</v>
      </c>
      <c r="BF37" s="41" t="str">
        <f t="shared" si="93"/>
        <v>206.414285749621+780.200822887725i</v>
      </c>
      <c r="BG37" s="20">
        <f t="shared" si="94"/>
        <v>58.137945351573791</v>
      </c>
      <c r="BH37" s="43">
        <f t="shared" si="95"/>
        <v>75.181032465388924</v>
      </c>
      <c r="BI37" s="41" t="str">
        <f t="shared" si="96"/>
        <v>2759.2386035516+11766.8075766192i</v>
      </c>
      <c r="BJ37" s="20">
        <f t="shared" si="97"/>
        <v>81.645644728545619</v>
      </c>
      <c r="BK37" s="43">
        <f t="shared" si="98"/>
        <v>76.80295939690356</v>
      </c>
      <c r="BL37">
        <f t="shared" si="99"/>
        <v>58.137945351573791</v>
      </c>
      <c r="BM37" s="43">
        <f t="shared" si="100"/>
        <v>75.181032465388924</v>
      </c>
    </row>
    <row r="38" spans="1:65" x14ac:dyDescent="0.25">
      <c r="A38" t="s">
        <v>200</v>
      </c>
      <c r="B38" s="16">
        <f>(Gcomp*(VIN_var/VOUT)*(VOUT/IOUT))/(Kd*R_cs*Acs/Np)</f>
        <v>16.515772562797469</v>
      </c>
      <c r="C38" t="s">
        <v>150</v>
      </c>
      <c r="E38" t="s">
        <v>204</v>
      </c>
      <c r="N38" s="9">
        <v>20</v>
      </c>
      <c r="O38" s="34">
        <f t="shared" si="62"/>
        <v>15.848931924611136</v>
      </c>
      <c r="P38" s="33" t="str">
        <f t="shared" si="50"/>
        <v>16.5157725627975</v>
      </c>
      <c r="Q38" s="4" t="str">
        <f t="shared" si="63"/>
        <v>1+0.257664961523543i</v>
      </c>
      <c r="R38" s="4">
        <f t="shared" si="64"/>
        <v>1.0326622063370621</v>
      </c>
      <c r="S38" s="4">
        <f t="shared" si="65"/>
        <v>0.25217963277209404</v>
      </c>
      <c r="T38" s="4" t="str">
        <f t="shared" si="51"/>
        <v>1+0.00163812021854274i</v>
      </c>
      <c r="U38" s="4">
        <f t="shared" si="66"/>
        <v>1.0000013417180251</v>
      </c>
      <c r="V38" s="4">
        <f t="shared" si="67"/>
        <v>1.6381187532804999E-3</v>
      </c>
      <c r="W38" t="str">
        <f t="shared" si="52"/>
        <v>1-0.0248954440508015i</v>
      </c>
      <c r="X38" s="4">
        <f t="shared" si="68"/>
        <v>1.0003098435657256</v>
      </c>
      <c r="Y38" s="4">
        <f t="shared" si="69"/>
        <v>-2.4890302703795469E-2</v>
      </c>
      <c r="Z38" t="str">
        <f t="shared" si="53"/>
        <v>0.999999994810152+0.000348536216711221i</v>
      </c>
      <c r="AA38" s="4">
        <f t="shared" si="70"/>
        <v>1.0000000555488977</v>
      </c>
      <c r="AB38" s="4">
        <f t="shared" si="71"/>
        <v>3.4853620440696969E-4</v>
      </c>
      <c r="AC38" s="47" t="str">
        <f t="shared" si="72"/>
        <v>15.3938387472602-4.35632207367704i</v>
      </c>
      <c r="AD38" s="20">
        <f t="shared" si="73"/>
        <v>24.081514236368413</v>
      </c>
      <c r="AE38" s="43">
        <f t="shared" si="74"/>
        <v>-15.801050295346309</v>
      </c>
      <c r="AF38" t="str">
        <f t="shared" si="54"/>
        <v>247.084651286898</v>
      </c>
      <c r="AG38" t="str">
        <f t="shared" si="55"/>
        <v>1+0.251977255020484i</v>
      </c>
      <c r="AH38">
        <f t="shared" si="75"/>
        <v>1.0312577452061429</v>
      </c>
      <c r="AI38">
        <f t="shared" si="76"/>
        <v>0.24683874150596291</v>
      </c>
      <c r="AJ38" t="str">
        <f t="shared" si="56"/>
        <v>1+0.00163812021854274i</v>
      </c>
      <c r="AK38">
        <f t="shared" si="77"/>
        <v>1.0000013417180251</v>
      </c>
      <c r="AL38">
        <f t="shared" si="78"/>
        <v>1.6381187532804999E-3</v>
      </c>
      <c r="AM38" t="str">
        <f t="shared" si="57"/>
        <v>1-0.0016273181317423i</v>
      </c>
      <c r="AN38">
        <f t="shared" si="79"/>
        <v>1.0000013240812744</v>
      </c>
      <c r="AO38">
        <f t="shared" si="80"/>
        <v>-1.6273166952759876E-3</v>
      </c>
      <c r="AP38" s="41" t="str">
        <f t="shared" si="81"/>
        <v>232.334477091638-58.5403347543202i</v>
      </c>
      <c r="AQ38">
        <f t="shared" si="82"/>
        <v>47.589594052362742</v>
      </c>
      <c r="AR38" s="43">
        <f t="shared" si="83"/>
        <v>-14.142199196278654</v>
      </c>
      <c r="AS38" t="str">
        <f t="shared" si="58"/>
        <v>-0.0000166666666666667</v>
      </c>
      <c r="AT38" t="str">
        <f t="shared" si="59"/>
        <v>3.38578039090901E-07i</v>
      </c>
      <c r="AU38">
        <f t="shared" si="84"/>
        <v>3.3857803909090102E-7</v>
      </c>
      <c r="AV38">
        <f t="shared" si="85"/>
        <v>1.5707963267948966</v>
      </c>
      <c r="AW38" t="str">
        <f t="shared" si="60"/>
        <v>1+0.000344084325539784i</v>
      </c>
      <c r="AX38">
        <f t="shared" si="86"/>
        <v>1.0000000591970097</v>
      </c>
      <c r="AY38">
        <f t="shared" si="87"/>
        <v>3.4408431196060913E-4</v>
      </c>
      <c r="AZ38" t="str">
        <f t="shared" si="61"/>
        <v>1+0.0116988670683527i</v>
      </c>
      <c r="BA38">
        <f t="shared" si="88"/>
        <v>1.0000684294040498</v>
      </c>
      <c r="BB38">
        <f t="shared" si="89"/>
        <v>1.1698333396248147E-2</v>
      </c>
      <c r="BC38" s="41" t="str">
        <f t="shared" si="90"/>
        <v>-0.558944570502508+49.2256728408101i</v>
      </c>
      <c r="BD38">
        <f t="shared" si="91"/>
        <v>33.844393120057376</v>
      </c>
      <c r="BE38" s="43">
        <f t="shared" si="92"/>
        <v>90.650550552069959</v>
      </c>
      <c r="BF38" s="41" t="str">
        <f t="shared" si="93"/>
        <v>205.838582601053+760.207012507258i</v>
      </c>
      <c r="BG38" s="20">
        <f t="shared" si="94"/>
        <v>57.925907356425775</v>
      </c>
      <c r="BH38" s="43">
        <f t="shared" si="95"/>
        <v>74.849500256723658</v>
      </c>
      <c r="BI38" s="41" t="str">
        <f t="shared" si="96"/>
        <v>2751.82527209676+11469.54176122i</v>
      </c>
      <c r="BJ38" s="20">
        <f t="shared" si="97"/>
        <v>81.433987172420132</v>
      </c>
      <c r="BK38" s="43">
        <f t="shared" si="98"/>
        <v>76.508351355791319</v>
      </c>
      <c r="BL38">
        <f t="shared" si="99"/>
        <v>57.925907356425775</v>
      </c>
      <c r="BM38" s="43">
        <f t="shared" si="100"/>
        <v>74.849500256723658</v>
      </c>
    </row>
    <row r="39" spans="1:65" x14ac:dyDescent="0.25">
      <c r="A39" t="s">
        <v>217</v>
      </c>
      <c r="B39" s="18">
        <f>Kd/(Cout*(VOUT/IOUT_VAR))</f>
        <v>386.47775628626698</v>
      </c>
      <c r="C39" t="s">
        <v>216</v>
      </c>
      <c r="E39" t="s">
        <v>207</v>
      </c>
      <c r="N39" s="9">
        <v>21</v>
      </c>
      <c r="O39" s="34">
        <f t="shared" si="62"/>
        <v>16.218100973589298</v>
      </c>
      <c r="P39" s="33" t="str">
        <f t="shared" si="50"/>
        <v>16.5157725627975</v>
      </c>
      <c r="Q39" s="4" t="str">
        <f t="shared" si="63"/>
        <v>1+0.263666749483331i</v>
      </c>
      <c r="R39" s="4">
        <f t="shared" si="64"/>
        <v>1.0341760753291025</v>
      </c>
      <c r="S39" s="4">
        <f t="shared" si="65"/>
        <v>0.2577995531758242</v>
      </c>
      <c r="T39" s="4" t="str">
        <f t="shared" si="51"/>
        <v>1+0.0016762769401482i</v>
      </c>
      <c r="U39" s="4">
        <f t="shared" si="66"/>
        <v>1.0000014049512032</v>
      </c>
      <c r="V39" s="4">
        <f t="shared" si="67"/>
        <v>1.6762753700915415E-3</v>
      </c>
      <c r="W39" t="str">
        <f t="shared" si="52"/>
        <v>1-0.0254753334369028i</v>
      </c>
      <c r="X39" s="4">
        <f t="shared" si="68"/>
        <v>1.0003244436750116</v>
      </c>
      <c r="Y39" s="4">
        <f t="shared" si="69"/>
        <v>-2.5469824480829281E-2</v>
      </c>
      <c r="Z39" t="str">
        <f t="shared" si="53"/>
        <v>0.999999994565562+0.000356654668116638i</v>
      </c>
      <c r="AA39" s="4">
        <f t="shared" si="70"/>
        <v>1.0000000581668362</v>
      </c>
      <c r="AB39" s="4">
        <f t="shared" si="71"/>
        <v>3.5665465493239524E-4</v>
      </c>
      <c r="AC39" s="47" t="str">
        <f t="shared" si="72"/>
        <v>15.3444005820128-4.44475865891679i</v>
      </c>
      <c r="AD39" s="20">
        <f t="shared" si="73"/>
        <v>24.068917463866203</v>
      </c>
      <c r="AE39" s="43">
        <f t="shared" si="74"/>
        <v>-16.154531107487031</v>
      </c>
      <c r="AF39" t="str">
        <f t="shared" si="54"/>
        <v>247.084651286898</v>
      </c>
      <c r="AG39" t="str">
        <f t="shared" si="55"/>
        <v>1+0.257846559276601i</v>
      </c>
      <c r="AH39">
        <f t="shared" si="75"/>
        <v>1.0327075327171684</v>
      </c>
      <c r="AI39">
        <f t="shared" si="76"/>
        <v>0.2523499171648616</v>
      </c>
      <c r="AJ39" t="str">
        <f t="shared" si="56"/>
        <v>1+0.0016762769401482i</v>
      </c>
      <c r="AK39">
        <f t="shared" si="77"/>
        <v>1.0000014049512032</v>
      </c>
      <c r="AL39">
        <f t="shared" si="78"/>
        <v>1.6762753700915415E-3</v>
      </c>
      <c r="AM39" t="str">
        <f t="shared" si="57"/>
        <v>1-0.0016652232404233i</v>
      </c>
      <c r="AN39">
        <f t="shared" si="79"/>
        <v>1.0000013864832591</v>
      </c>
      <c r="AO39">
        <f t="shared" si="80"/>
        <v>-1.6652217012220302E-3</v>
      </c>
      <c r="AP39" s="41" t="str">
        <f t="shared" si="81"/>
        <v>231.682658836049-59.7358452253879i</v>
      </c>
      <c r="AQ39">
        <f t="shared" si="82"/>
        <v>47.577392713151824</v>
      </c>
      <c r="AR39" s="43">
        <f t="shared" si="83"/>
        <v>-14.457951885448145</v>
      </c>
      <c r="AS39" t="str">
        <f t="shared" si="58"/>
        <v>-0.0000166666666666667</v>
      </c>
      <c r="AT39" t="str">
        <f t="shared" si="59"/>
        <v>3.46464534741878E-07i</v>
      </c>
      <c r="AU39">
        <f t="shared" si="84"/>
        <v>3.4646453474187802E-7</v>
      </c>
      <c r="AV39">
        <f t="shared" si="85"/>
        <v>1.5707963267948966</v>
      </c>
      <c r="AW39" t="str">
        <f t="shared" si="60"/>
        <v>1+0.00035209907907851i</v>
      </c>
      <c r="AX39">
        <f t="shared" si="86"/>
        <v>1.0000000619868787</v>
      </c>
      <c r="AY39">
        <f t="shared" si="87"/>
        <v>3.5209906452816198E-4</v>
      </c>
      <c r="AZ39" t="str">
        <f t="shared" si="61"/>
        <v>1+0.0119713686886693i</v>
      </c>
      <c r="BA39">
        <f t="shared" si="88"/>
        <v>1.000071654266973</v>
      </c>
      <c r="BB39">
        <f t="shared" si="89"/>
        <v>1.1970796850919426E-2</v>
      </c>
      <c r="BC39" s="41" t="str">
        <f t="shared" si="90"/>
        <v>-0.558944567383738+48.1051685842653i</v>
      </c>
      <c r="BD39">
        <f t="shared" si="91"/>
        <v>33.644421104666542</v>
      </c>
      <c r="BE39" s="43">
        <f t="shared" si="92"/>
        <v>90.665702346598209</v>
      </c>
      <c r="BF39" s="41" t="str">
        <f t="shared" si="93"/>
        <v>205.239195258489+740.629350527958i</v>
      </c>
      <c r="BG39" s="20">
        <f t="shared" si="94"/>
        <v>57.713338568532748</v>
      </c>
      <c r="BH39" s="43">
        <f t="shared" si="95"/>
        <v>74.511171239111192</v>
      </c>
      <c r="BI39" s="41" t="str">
        <f t="shared" si="96"/>
        <v>2744.10514157743+11178.5223875258i</v>
      </c>
      <c r="BJ39" s="20">
        <f t="shared" si="97"/>
        <v>81.221813817818401</v>
      </c>
      <c r="BK39" s="43">
        <f t="shared" si="98"/>
        <v>76.207750461150141</v>
      </c>
      <c r="BL39">
        <f t="shared" si="99"/>
        <v>57.713338568532748</v>
      </c>
      <c r="BM39" s="43">
        <f t="shared" si="100"/>
        <v>74.511171239111192</v>
      </c>
    </row>
    <row r="40" spans="1:65" x14ac:dyDescent="0.25">
      <c r="B40" s="17">
        <f>wp_lf/(2*PI())</f>
        <v>61.509845308024218</v>
      </c>
      <c r="C40" t="s">
        <v>65</v>
      </c>
      <c r="N40" s="9">
        <v>22</v>
      </c>
      <c r="O40" s="34">
        <f t="shared" si="62"/>
        <v>16.595869074375614</v>
      </c>
      <c r="P40" s="33" t="str">
        <f t="shared" si="50"/>
        <v>16.5157725627975</v>
      </c>
      <c r="Q40" s="4" t="str">
        <f t="shared" si="63"/>
        <v>1+0.269808337043739i</v>
      </c>
      <c r="R40" s="4">
        <f t="shared" si="64"/>
        <v>1.0357589192173571</v>
      </c>
      <c r="S40" s="4">
        <f t="shared" si="65"/>
        <v>0.2635331857539861</v>
      </c>
      <c r="T40" s="4" t="str">
        <f t="shared" si="51"/>
        <v>1+0.00171532244597549i</v>
      </c>
      <c r="U40" s="4">
        <f t="shared" si="66"/>
        <v>1.0000014711644647</v>
      </c>
      <c r="V40" s="4">
        <f t="shared" si="67"/>
        <v>1.715320763629604E-3</v>
      </c>
      <c r="W40" t="str">
        <f t="shared" si="52"/>
        <v>1-0.0260687301819983i</v>
      </c>
      <c r="X40" s="4">
        <f t="shared" si="68"/>
        <v>1.0003397316378579</v>
      </c>
      <c r="Y40" s="4">
        <f t="shared" si="69"/>
        <v>-2.6062827337482143E-2</v>
      </c>
      <c r="Z40" t="str">
        <f t="shared" si="53"/>
        <v>0.999999994309445+0.000364962222547975i</v>
      </c>
      <c r="AA40" s="4">
        <f t="shared" si="70"/>
        <v>1.0000000609081552</v>
      </c>
      <c r="AB40" s="4">
        <f t="shared" si="71"/>
        <v>3.6496220842080436E-4</v>
      </c>
      <c r="AC40" s="47" t="str">
        <f t="shared" si="72"/>
        <v>15.2929415575536-4.53440632402329i</v>
      </c>
      <c r="AD40" s="20">
        <f t="shared" si="73"/>
        <v>24.055766855558289</v>
      </c>
      <c r="AE40" s="43">
        <f t="shared" si="74"/>
        <v>-16.515259467913683</v>
      </c>
      <c r="AF40" t="str">
        <f t="shared" si="54"/>
        <v>247.084651286898</v>
      </c>
      <c r="AG40" t="str">
        <f t="shared" si="55"/>
        <v>1+0.263852577191451i</v>
      </c>
      <c r="AH40">
        <f t="shared" si="75"/>
        <v>1.0342234683522564</v>
      </c>
      <c r="AI40">
        <f t="shared" si="76"/>
        <v>0.25797329388815871</v>
      </c>
      <c r="AJ40" t="str">
        <f t="shared" si="56"/>
        <v>1+0.00171532244597549i</v>
      </c>
      <c r="AK40">
        <f t="shared" si="77"/>
        <v>1.0000014711644647</v>
      </c>
      <c r="AL40">
        <f t="shared" si="78"/>
        <v>1.715320763629604E-3</v>
      </c>
      <c r="AM40" t="str">
        <f t="shared" si="57"/>
        <v>1-0.00170401127250822i</v>
      </c>
      <c r="AN40">
        <f t="shared" si="79"/>
        <v>1.0000014518261546</v>
      </c>
      <c r="AO40">
        <f t="shared" si="80"/>
        <v>-1.7040096232244742E-3</v>
      </c>
      <c r="AP40" s="41" t="str">
        <f t="shared" si="81"/>
        <v>231.004030187825-60.9482138893175i</v>
      </c>
      <c r="AQ40">
        <f t="shared" si="82"/>
        <v>47.564652983516062</v>
      </c>
      <c r="AR40" s="43">
        <f t="shared" si="83"/>
        <v>-14.780132886272819</v>
      </c>
      <c r="AS40" t="str">
        <f t="shared" si="58"/>
        <v>-0.0000166666666666667</v>
      </c>
      <c r="AT40" t="str">
        <f t="shared" si="59"/>
        <v>3.54534730475176E-07i</v>
      </c>
      <c r="AU40">
        <f t="shared" si="84"/>
        <v>3.54534730475176E-7</v>
      </c>
      <c r="AV40">
        <f t="shared" si="85"/>
        <v>1.5707963267948966</v>
      </c>
      <c r="AW40" t="str">
        <f t="shared" si="60"/>
        <v>1+0.000360300520209548i</v>
      </c>
      <c r="AX40">
        <f t="shared" si="86"/>
        <v>1.0000000649082303</v>
      </c>
      <c r="AY40">
        <f t="shared" si="87"/>
        <v>3.6030050461856929E-4</v>
      </c>
      <c r="AZ40" t="str">
        <f t="shared" si="61"/>
        <v>1+0.0122502176871246i</v>
      </c>
      <c r="BA40">
        <f t="shared" si="88"/>
        <v>1.0000750311018578</v>
      </c>
      <c r="BB40">
        <f t="shared" si="89"/>
        <v>1.2249604954418947E-2</v>
      </c>
      <c r="BC40" s="41" t="str">
        <f t="shared" si="90"/>
        <v>-0.558944564117994+47.0101703248508i</v>
      </c>
      <c r="BD40">
        <f t="shared" si="91"/>
        <v>33.444450407956076</v>
      </c>
      <c r="BE40" s="43">
        <f t="shared" si="92"/>
        <v>90.681206966319664</v>
      </c>
      <c r="BF40" s="41" t="str">
        <f t="shared" si="93"/>
        <v>204.615307061447+721.458269154899i</v>
      </c>
      <c r="BG40" s="20">
        <f t="shared" si="94"/>
        <v>57.500217263514372</v>
      </c>
      <c r="BH40" s="43">
        <f t="shared" si="95"/>
        <v>74.16594749840597</v>
      </c>
      <c r="BI40" s="41" t="str">
        <f t="shared" si="96"/>
        <v>2736.06746896942+10893.6054777028i</v>
      </c>
      <c r="BJ40" s="20">
        <f t="shared" si="97"/>
        <v>81.009103391472166</v>
      </c>
      <c r="BK40" s="43">
        <f t="shared" si="98"/>
        <v>75.901074080046897</v>
      </c>
      <c r="BL40">
        <f t="shared" si="99"/>
        <v>57.500217263514372</v>
      </c>
      <c r="BM40" s="43">
        <f t="shared" si="100"/>
        <v>74.16594749840597</v>
      </c>
    </row>
    <row r="41" spans="1:65" x14ac:dyDescent="0.25">
      <c r="B41" s="1"/>
      <c r="C41" t="s">
        <v>237</v>
      </c>
      <c r="E41" t="s">
        <v>236</v>
      </c>
      <c r="N41" s="9">
        <v>23</v>
      </c>
      <c r="O41" s="34">
        <f t="shared" si="62"/>
        <v>16.982436524617448</v>
      </c>
      <c r="P41" s="33" t="str">
        <f t="shared" si="50"/>
        <v>16.5157725627975</v>
      </c>
      <c r="Q41" s="4" t="str">
        <f t="shared" si="63"/>
        <v>1+0.276092980555781i</v>
      </c>
      <c r="R41" s="4">
        <f t="shared" si="64"/>
        <v>1.0374137717960827</v>
      </c>
      <c r="S41" s="4">
        <f t="shared" si="65"/>
        <v>0.26938206201182052</v>
      </c>
      <c r="T41" s="4" t="str">
        <f t="shared" si="51"/>
        <v>1+0.00175527743846859i</v>
      </c>
      <c r="U41" s="4">
        <f t="shared" si="66"/>
        <v>1.0000015404982565</v>
      </c>
      <c r="V41" s="4">
        <f t="shared" si="67"/>
        <v>1.7552756358026448E-3</v>
      </c>
      <c r="W41" t="str">
        <f t="shared" si="52"/>
        <v>1-0.0266759489128965i</v>
      </c>
      <c r="X41" s="4">
        <f t="shared" si="68"/>
        <v>1.0003557398497813</v>
      </c>
      <c r="Y41" s="4">
        <f t="shared" si="69"/>
        <v>-2.6669624022515253E-2</v>
      </c>
      <c r="Z41" t="str">
        <f t="shared" si="53"/>
        <v>0.999999994041257+0.000373463284780551i</v>
      </c>
      <c r="AA41" s="4">
        <f t="shared" si="70"/>
        <v>1.0000000637786675</v>
      </c>
      <c r="AB41" s="4">
        <f t="shared" si="71"/>
        <v>3.7346326964301515E-4</v>
      </c>
      <c r="AC41" s="47" t="str">
        <f t="shared" si="72"/>
        <v>15.2393931566975-4.62524188842007i</v>
      </c>
      <c r="AD41" s="20">
        <f t="shared" si="73"/>
        <v>24.042039886319916</v>
      </c>
      <c r="AE41" s="43">
        <f t="shared" si="74"/>
        <v>-16.883340110839665</v>
      </c>
      <c r="AF41" t="str">
        <f t="shared" si="54"/>
        <v>247.084651286898</v>
      </c>
      <c r="AG41" t="str">
        <f t="shared" si="55"/>
        <v>1+0.269998493235227i</v>
      </c>
      <c r="AH41">
        <f t="shared" si="75"/>
        <v>1.0358084699157915</v>
      </c>
      <c r="AI41">
        <f t="shared" si="76"/>
        <v>0.26371043007663436</v>
      </c>
      <c r="AJ41" t="str">
        <f t="shared" si="56"/>
        <v>1+0.00175527743846859i</v>
      </c>
      <c r="AK41">
        <f t="shared" si="77"/>
        <v>1.0000015404982565</v>
      </c>
      <c r="AL41">
        <f t="shared" si="78"/>
        <v>1.7552756358026448E-3</v>
      </c>
      <c r="AM41" t="str">
        <f t="shared" si="57"/>
        <v>1-0.00174370279392506i</v>
      </c>
      <c r="AN41">
        <f t="shared" si="79"/>
        <v>1.0000015202485613</v>
      </c>
      <c r="AO41">
        <f t="shared" si="80"/>
        <v>-1.7437010266858316E-3</v>
      </c>
      <c r="AP41" s="41" t="str">
        <f t="shared" si="81"/>
        <v>230.297667154096-62.1771632101829i</v>
      </c>
      <c r="AQ41">
        <f t="shared" si="82"/>
        <v>47.551352789773283</v>
      </c>
      <c r="AR41" s="43">
        <f t="shared" si="83"/>
        <v>-15.108831480719038</v>
      </c>
      <c r="AS41" t="str">
        <f t="shared" si="58"/>
        <v>-0.0000166666666666667</v>
      </c>
      <c r="AT41" t="str">
        <f t="shared" si="59"/>
        <v>3.62792905215393E-07i</v>
      </c>
      <c r="AU41">
        <f t="shared" si="84"/>
        <v>3.62792905215393E-7</v>
      </c>
      <c r="AV41">
        <f t="shared" si="85"/>
        <v>1.5707963267948966</v>
      </c>
      <c r="AW41" t="str">
        <f t="shared" si="60"/>
        <v>1+0.000368692997445539i</v>
      </c>
      <c r="AX41">
        <f t="shared" si="86"/>
        <v>1.0000000679672609</v>
      </c>
      <c r="AY41">
        <f t="shared" si="87"/>
        <v>3.6869298073950436E-4</v>
      </c>
      <c r="AZ41" t="str">
        <f t="shared" si="61"/>
        <v>1+0.0125355619131483i</v>
      </c>
      <c r="BA41">
        <f t="shared" si="88"/>
        <v>1.0000785670698469</v>
      </c>
      <c r="BB41">
        <f t="shared" si="89"/>
        <v>1.2534905361010967E-2</v>
      </c>
      <c r="BC41" s="41" t="str">
        <f t="shared" si="90"/>
        <v>-0.558944560698336+45.9400974799958i</v>
      </c>
      <c r="BD41">
        <f t="shared" si="91"/>
        <v>33.244481092054855</v>
      </c>
      <c r="BE41" s="43">
        <f t="shared" si="92"/>
        <v>90.697072622049362</v>
      </c>
      <c r="BF41" s="41" t="str">
        <f t="shared" si="93"/>
        <v>203.966087309298+702.684460950111i</v>
      </c>
      <c r="BG41" s="20">
        <f t="shared" si="94"/>
        <v>57.286520978374782</v>
      </c>
      <c r="BH41" s="43">
        <f t="shared" si="95"/>
        <v>73.813732511209736</v>
      </c>
      <c r="BI41" s="41" t="str">
        <f t="shared" si="96"/>
        <v>2727.70131050811+10614.6508656508i</v>
      </c>
      <c r="BJ41" s="20">
        <f t="shared" si="97"/>
        <v>80.795833881828145</v>
      </c>
      <c r="BK41" s="43">
        <f t="shared" si="98"/>
        <v>75.588241141330371</v>
      </c>
      <c r="BL41">
        <f t="shared" si="99"/>
        <v>57.286520978374782</v>
      </c>
      <c r="BM41" s="43">
        <f t="shared" si="100"/>
        <v>73.813732511209736</v>
      </c>
    </row>
    <row r="42" spans="1:65" x14ac:dyDescent="0.25">
      <c r="A42" t="s">
        <v>218</v>
      </c>
      <c r="B42" s="18">
        <f>((VOUT/IOUT)*((VIN_var/VOUT)^2))/(Lm)</f>
        <v>4000.0000000000005</v>
      </c>
      <c r="C42" t="s">
        <v>216</v>
      </c>
      <c r="E42" t="s">
        <v>208</v>
      </c>
      <c r="N42" s="9">
        <v>24</v>
      </c>
      <c r="O42" s="34">
        <f t="shared" si="62"/>
        <v>17.378008287493756</v>
      </c>
      <c r="P42" s="33" t="str">
        <f t="shared" si="50"/>
        <v>16.5157725627975</v>
      </c>
      <c r="Q42" s="4" t="str">
        <f t="shared" si="63"/>
        <v>1+0.282524012220638i</v>
      </c>
      <c r="R42" s="4">
        <f t="shared" si="64"/>
        <v>1.0391437905705097</v>
      </c>
      <c r="S42" s="4">
        <f t="shared" si="65"/>
        <v>0.27534768176513669</v>
      </c>
      <c r="T42" s="4" t="str">
        <f t="shared" si="51"/>
        <v>1+0.00179616310229343i</v>
      </c>
      <c r="U42" s="4">
        <f t="shared" si="66"/>
        <v>1.0000016130996441</v>
      </c>
      <c r="V42" s="4">
        <f t="shared" si="67"/>
        <v>1.7961611707022372E-3</v>
      </c>
      <c r="W42" t="str">
        <f t="shared" si="52"/>
        <v>1-0.0272973115850065i</v>
      </c>
      <c r="X42" s="4">
        <f t="shared" si="68"/>
        <v>1.0003725022309284</v>
      </c>
      <c r="Y42" s="4">
        <f t="shared" si="69"/>
        <v>-2.7290534479148761E-2</v>
      </c>
      <c r="Z42" t="str">
        <f t="shared" si="53"/>
        <v>0.99999999376043+0.000382162362190091i</v>
      </c>
      <c r="AA42" s="4">
        <f t="shared" si="70"/>
        <v>1.0000000667844633</v>
      </c>
      <c r="AB42" s="4">
        <f t="shared" si="71"/>
        <v>3.8216234596992916E-4</v>
      </c>
      <c r="AC42" s="47" t="str">
        <f t="shared" si="72"/>
        <v>15.183685796657-4.71723895639493i</v>
      </c>
      <c r="AD42" s="20">
        <f t="shared" si="73"/>
        <v>24.027713277858904</v>
      </c>
      <c r="AE42" s="43">
        <f t="shared" si="74"/>
        <v>-17.258876345271517</v>
      </c>
      <c r="AF42" t="str">
        <f t="shared" si="54"/>
        <v>247.084651286898</v>
      </c>
      <c r="AG42" t="str">
        <f t="shared" si="55"/>
        <v>1+0.276287566053972i</v>
      </c>
      <c r="AH42">
        <f t="shared" si="75"/>
        <v>1.0374655749257553</v>
      </c>
      <c r="AI42">
        <f t="shared" si="76"/>
        <v>0.26956285632636912</v>
      </c>
      <c r="AJ42" t="str">
        <f t="shared" si="56"/>
        <v>1+0.00179616310229343i</v>
      </c>
      <c r="AK42">
        <f t="shared" si="77"/>
        <v>1.0000016130996441</v>
      </c>
      <c r="AL42">
        <f t="shared" si="78"/>
        <v>1.7961611707022372E-3</v>
      </c>
      <c r="AM42" t="str">
        <f t="shared" si="57"/>
        <v>1-0.0017843188496439i</v>
      </c>
      <c r="AN42">
        <f t="shared" si="79"/>
        <v>1.0000015918956116</v>
      </c>
      <c r="AO42">
        <f t="shared" si="80"/>
        <v>-1.7843169560131126E-3</v>
      </c>
      <c r="AP42" s="41" t="str">
        <f t="shared" si="81"/>
        <v>229.562629901511-63.4223737394017i</v>
      </c>
      <c r="AQ42">
        <f t="shared" si="82"/>
        <v>47.537469303884265</v>
      </c>
      <c r="AR42" s="43">
        <f t="shared" si="83"/>
        <v>-15.444135357479027</v>
      </c>
      <c r="AS42" t="str">
        <f t="shared" si="58"/>
        <v>-0.0000166666666666667</v>
      </c>
      <c r="AT42" t="str">
        <f t="shared" si="59"/>
        <v>3.71243437556088E-07i</v>
      </c>
      <c r="AU42">
        <f t="shared" si="84"/>
        <v>3.7124343755608799E-7</v>
      </c>
      <c r="AV42">
        <f t="shared" si="85"/>
        <v>1.5707963267948966</v>
      </c>
      <c r="AW42" t="str">
        <f t="shared" si="60"/>
        <v>1+0.000377280960589007i</v>
      </c>
      <c r="AX42">
        <f t="shared" si="86"/>
        <v>1.0000000711704591</v>
      </c>
      <c r="AY42">
        <f t="shared" si="87"/>
        <v>3.7728094268816849E-4</v>
      </c>
      <c r="AZ42" t="str">
        <f t="shared" si="61"/>
        <v>1+0.0128275526600263i</v>
      </c>
      <c r="BA42">
        <f t="shared" si="88"/>
        <v>1.0000822696694736</v>
      </c>
      <c r="BB42">
        <f t="shared" si="89"/>
        <v>1.282684915486185E-2</v>
      </c>
      <c r="BC42" s="41" t="str">
        <f t="shared" si="90"/>
        <v>-0.55894455711752+44.8943826829136i</v>
      </c>
      <c r="BD42">
        <f t="shared" si="91"/>
        <v>33.044513222017898</v>
      </c>
      <c r="BE42" s="43">
        <f t="shared" si="92"/>
        <v>90.713307715317782</v>
      </c>
      <c r="BF42" s="41" t="str">
        <f t="shared" si="93"/>
        <v>203.290692382118+684.298875731539i</v>
      </c>
      <c r="BG42" s="20">
        <f t="shared" si="94"/>
        <v>57.072226499876805</v>
      </c>
      <c r="BH42" s="43">
        <f t="shared" si="95"/>
        <v>73.454431370046265</v>
      </c>
      <c r="BI42" s="41" t="str">
        <f t="shared" si="96"/>
        <v>2718.99553481444+10341.5221470956i</v>
      </c>
      <c r="BJ42" s="20">
        <f t="shared" si="97"/>
        <v>80.581982525902148</v>
      </c>
      <c r="BK42" s="43">
        <f t="shared" si="98"/>
        <v>75.269172357838713</v>
      </c>
      <c r="BL42">
        <f t="shared" si="99"/>
        <v>57.072226499876805</v>
      </c>
      <c r="BM42" s="43">
        <f t="shared" si="100"/>
        <v>73.454431370046265</v>
      </c>
    </row>
    <row r="43" spans="1:65" x14ac:dyDescent="0.25">
      <c r="B43" s="1">
        <f>wz_rhp/(2*PI())</f>
        <v>636.61977236758139</v>
      </c>
      <c r="C43" t="s">
        <v>65</v>
      </c>
      <c r="N43" s="9">
        <v>25</v>
      </c>
      <c r="O43" s="34">
        <f t="shared" si="62"/>
        <v>17.782794100389236</v>
      </c>
      <c r="P43" s="33" t="str">
        <f t="shared" si="50"/>
        <v>16.5157725627975</v>
      </c>
      <c r="Q43" s="4" t="str">
        <f t="shared" si="63"/>
        <v>1+0.289104841856419i</v>
      </c>
      <c r="R43" s="4">
        <f t="shared" si="64"/>
        <v>1.0409522609537984</v>
      </c>
      <c r="S43" s="4">
        <f t="shared" si="65"/>
        <v>0.28143150892581958</v>
      </c>
      <c r="T43" s="4" t="str">
        <f t="shared" si="51"/>
        <v>1+0.00183800111557011i</v>
      </c>
      <c r="U43" s="4">
        <f t="shared" si="66"/>
        <v>1.0000016891226238</v>
      </c>
      <c r="V43" s="4">
        <f t="shared" si="67"/>
        <v>1.837999045833046E-3</v>
      </c>
      <c r="W43" t="str">
        <f t="shared" si="52"/>
        <v>1-0.0279331476530412i</v>
      </c>
      <c r="X43" s="4">
        <f t="shared" si="68"/>
        <v>1.0003900542977258</v>
      </c>
      <c r="Y43" s="4">
        <f t="shared" si="69"/>
        <v>-2.7925886006192585E-2</v>
      </c>
      <c r="Z43" t="str">
        <f t="shared" si="53"/>
        <v>0.999999993466368+0.000391064067142577i</v>
      </c>
      <c r="AA43" s="4">
        <f t="shared" si="70"/>
        <v>1.0000000699319178</v>
      </c>
      <c r="AB43" s="4">
        <f t="shared" si="71"/>
        <v>3.9106404976236057E-4</v>
      </c>
      <c r="AC43" s="47" t="str">
        <f t="shared" si="72"/>
        <v>15.1257489342213-4.81036775158453i</v>
      </c>
      <c r="AD43" s="20">
        <f t="shared" si="73"/>
        <v>24.012762988082596</v>
      </c>
      <c r="AE43" s="43">
        <f t="shared" si="74"/>
        <v>-17.64196982226143</v>
      </c>
      <c r="AF43" t="str">
        <f t="shared" si="54"/>
        <v>247.084651286898</v>
      </c>
      <c r="AG43" t="str">
        <f t="shared" si="55"/>
        <v>1+0.282723130197334i</v>
      </c>
      <c r="AH43">
        <f t="shared" si="75"/>
        <v>1.0391979447384307</v>
      </c>
      <c r="AI43">
        <f t="shared" si="76"/>
        <v>0.27553207141817293</v>
      </c>
      <c r="AJ43" t="str">
        <f t="shared" si="56"/>
        <v>1+0.00183800111557011i</v>
      </c>
      <c r="AK43">
        <f t="shared" si="77"/>
        <v>1.0000016891226238</v>
      </c>
      <c r="AL43">
        <f t="shared" si="78"/>
        <v>1.837999045833046E-3</v>
      </c>
      <c r="AM43" t="str">
        <f t="shared" si="57"/>
        <v>1-0.00182588097483505i</v>
      </c>
      <c r="AN43">
        <f t="shared" si="79"/>
        <v>1.0000016669192779</v>
      </c>
      <c r="AO43">
        <f t="shared" si="80"/>
        <v>-1.8258789457732869E-3</v>
      </c>
      <c r="AP43" s="41" t="str">
        <f t="shared" si="81"/>
        <v>228.797964028896-64.6834818722793i</v>
      </c>
      <c r="AQ43">
        <f t="shared" si="82"/>
        <v>47.522978931139129</v>
      </c>
      <c r="AR43" s="43">
        <f t="shared" si="83"/>
        <v>-15.786130382177754</v>
      </c>
      <c r="AS43" t="str">
        <f t="shared" si="58"/>
        <v>-0.0000166666666666667</v>
      </c>
      <c r="AT43" t="str">
        <f t="shared" si="59"/>
        <v>3.79890808081363E-07i</v>
      </c>
      <c r="AU43">
        <f t="shared" si="84"/>
        <v>3.7989080808136298E-7</v>
      </c>
      <c r="AV43">
        <f t="shared" si="85"/>
        <v>1.5707963267948966</v>
      </c>
      <c r="AW43" t="str">
        <f t="shared" si="60"/>
        <v>1+0.000386068963091681i</v>
      </c>
      <c r="AX43">
        <f t="shared" si="86"/>
        <v>1.0000000745246194</v>
      </c>
      <c r="AY43">
        <f t="shared" si="87"/>
        <v>3.86068943910587E-4</v>
      </c>
      <c r="AZ43" t="str">
        <f t="shared" si="61"/>
        <v>1+0.0131263447451171i</v>
      </c>
      <c r="BA43">
        <f t="shared" si="88"/>
        <v>1.0000861467525524</v>
      </c>
      <c r="BB43">
        <f t="shared" si="89"/>
        <v>1.3125590929258999E-2</v>
      </c>
      <c r="BC43" s="41" t="str">
        <f t="shared" si="90"/>
        <v>-0.558944553367933+43.8724714817771i</v>
      </c>
      <c r="BD43">
        <f t="shared" si="91"/>
        <v>32.844546865964212</v>
      </c>
      <c r="BE43" s="43">
        <f t="shared" si="92"/>
        <v>90.72992084277459</v>
      </c>
      <c r="BF43" s="41" t="str">
        <f t="shared" si="93"/>
        <v>202.588267015859+666.292717611589i</v>
      </c>
      <c r="BG43" s="20">
        <f t="shared" si="94"/>
        <v>56.857309854046811</v>
      </c>
      <c r="BH43" s="43">
        <f t="shared" si="95"/>
        <v>73.087951020513131</v>
      </c>
      <c r="BI43" s="41" t="str">
        <f t="shared" si="96"/>
        <v>2709.938837968+10074.0866318318i</v>
      </c>
      <c r="BJ43" s="20">
        <f t="shared" si="97"/>
        <v>80.367525797103355</v>
      </c>
      <c r="BK43" s="43">
        <f t="shared" si="98"/>
        <v>74.94379046059683</v>
      </c>
      <c r="BL43">
        <f t="shared" si="99"/>
        <v>56.857309854046811</v>
      </c>
      <c r="BM43" s="43">
        <f t="shared" si="100"/>
        <v>73.087951020513131</v>
      </c>
    </row>
    <row r="44" spans="1:65" x14ac:dyDescent="0.25">
      <c r="B44" s="1"/>
      <c r="N44" s="9">
        <v>26</v>
      </c>
      <c r="O44" s="34">
        <f t="shared" si="62"/>
        <v>18.197008586099841</v>
      </c>
      <c r="P44" s="33" t="str">
        <f t="shared" si="50"/>
        <v>16.5157725627975</v>
      </c>
      <c r="Q44" s="4" t="str">
        <f t="shared" si="63"/>
        <v>1+0.29583895870611i</v>
      </c>
      <c r="R44" s="4">
        <f t="shared" si="64"/>
        <v>1.0428426005339038</v>
      </c>
      <c r="S44" s="4">
        <f t="shared" si="65"/>
        <v>0.28763496707499203</v>
      </c>
      <c r="T44" s="4" t="str">
        <f t="shared" si="51"/>
        <v>1+0.00188081366136711i</v>
      </c>
      <c r="U44" s="4">
        <f t="shared" si="66"/>
        <v>1.0000017687284501</v>
      </c>
      <c r="V44" s="4">
        <f t="shared" si="67"/>
        <v>1.880811443604101E-3</v>
      </c>
      <c r="W44" t="str">
        <f t="shared" si="52"/>
        <v>1-0.0285837942457008i</v>
      </c>
      <c r="X44" s="4">
        <f t="shared" si="68"/>
        <v>1.0004084332378853</v>
      </c>
      <c r="Y44" s="4">
        <f t="shared" si="69"/>
        <v>-2.8576013422475517E-2</v>
      </c>
      <c r="Z44" t="str">
        <f t="shared" si="53"/>
        <v>0.999999993158448+0.00040017311943981i</v>
      </c>
      <c r="AA44" s="4">
        <f t="shared" si="70"/>
        <v>1.0000000732277083</v>
      </c>
      <c r="AB44" s="4">
        <f t="shared" si="71"/>
        <v>4.0017310081657241E-4</v>
      </c>
      <c r="AC44" s="47" t="str">
        <f t="shared" si="72"/>
        <v>15.0655111844227-4.90459495021996i</v>
      </c>
      <c r="AD44" s="20">
        <f t="shared" si="73"/>
        <v>23.997164201734421</v>
      </c>
      <c r="AE44" s="43">
        <f t="shared" si="74"/>
        <v>-18.032720290171486</v>
      </c>
      <c r="AF44" t="str">
        <f t="shared" si="54"/>
        <v>247.084651286898</v>
      </c>
      <c r="AG44" t="str">
        <f t="shared" si="55"/>
        <v>1+0.289308597886611i</v>
      </c>
      <c r="AH44">
        <f t="shared" si="75"/>
        <v>1.0410088687475803</v>
      </c>
      <c r="AI44">
        <f t="shared" si="76"/>
        <v>0.28161953809665585</v>
      </c>
      <c r="AJ44" t="str">
        <f t="shared" si="56"/>
        <v>1+0.00188081366136711i</v>
      </c>
      <c r="AK44">
        <f t="shared" si="77"/>
        <v>1.0000017687284501</v>
      </c>
      <c r="AL44">
        <f t="shared" si="78"/>
        <v>1.880811443604101E-3</v>
      </c>
      <c r="AM44" t="str">
        <f t="shared" si="57"/>
        <v>1-0.00186841120628746i</v>
      </c>
      <c r="AN44">
        <f t="shared" si="79"/>
        <v>1.0000017454786945</v>
      </c>
      <c r="AO44">
        <f t="shared" si="80"/>
        <v>-1.8684090321088142E-3</v>
      </c>
      <c r="AP44" s="41" t="str">
        <f t="shared" si="81"/>
        <v>228.002702014734-65.9600775779531i</v>
      </c>
      <c r="AQ44">
        <f t="shared" si="82"/>
        <v>47.507857298943364</v>
      </c>
      <c r="AR44" s="43">
        <f t="shared" si="83"/>
        <v>-16.134900355527634</v>
      </c>
      <c r="AS44" t="str">
        <f t="shared" si="58"/>
        <v>-0.0000166666666666667</v>
      </c>
      <c r="AT44" t="str">
        <f t="shared" si="59"/>
        <v>3.88739601741531E-07i</v>
      </c>
      <c r="AU44">
        <f t="shared" si="84"/>
        <v>3.8873960174153098E-7</v>
      </c>
      <c r="AV44">
        <f t="shared" si="85"/>
        <v>1.5707963267948966</v>
      </c>
      <c r="AW44" t="str">
        <f t="shared" si="60"/>
        <v>1+0.000395061664468815i</v>
      </c>
      <c r="AX44">
        <f t="shared" si="86"/>
        <v>1.0000000780368563</v>
      </c>
      <c r="AY44">
        <f t="shared" si="87"/>
        <v>3.9506164391590252E-4</v>
      </c>
      <c r="AZ44" t="str">
        <f t="shared" si="61"/>
        <v>1+0.0134320965919397i</v>
      </c>
      <c r="BA44">
        <f t="shared" si="88"/>
        <v>1.0000902065408177</v>
      </c>
      <c r="BB44">
        <f t="shared" si="89"/>
        <v>1.343128886762996E-2</v>
      </c>
      <c r="BC44" s="41" t="str">
        <f t="shared" si="90"/>
        <v>-0.558944549441646+42.8738220457409i</v>
      </c>
      <c r="BD44">
        <f t="shared" si="91"/>
        <v>32.64458209522104</v>
      </c>
      <c r="BE44" s="43">
        <f t="shared" si="92"/>
        <v>90.746920800692351</v>
      </c>
      <c r="BF44" s="41" t="str">
        <f t="shared" si="93"/>
        <v>201.857945741085+648.657442163703i</v>
      </c>
      <c r="BG44" s="20">
        <f t="shared" si="94"/>
        <v>56.641746296955461</v>
      </c>
      <c r="BH44" s="43">
        <f t="shared" si="95"/>
        <v>72.714200510520882</v>
      </c>
      <c r="BI44" s="41" t="str">
        <f t="shared" si="96"/>
        <v>2700.51976065132+9812.21529797074i</v>
      </c>
      <c r="BJ44" s="20">
        <f t="shared" si="97"/>
        <v>80.152439394164418</v>
      </c>
      <c r="BK44" s="43">
        <f t="shared" si="98"/>
        <v>74.612020445164745</v>
      </c>
      <c r="BL44">
        <f t="shared" si="99"/>
        <v>56.641746296955461</v>
      </c>
      <c r="BM44" s="43">
        <f t="shared" si="100"/>
        <v>72.714200510520882</v>
      </c>
    </row>
    <row r="45" spans="1:65" x14ac:dyDescent="0.25">
      <c r="A45" t="s">
        <v>219</v>
      </c>
      <c r="B45" s="18">
        <f>1/(Cout*Resr)</f>
        <v>60790.273556231004</v>
      </c>
      <c r="C45" t="s">
        <v>216</v>
      </c>
      <c r="E45" t="s">
        <v>209</v>
      </c>
      <c r="N45" s="9">
        <v>27</v>
      </c>
      <c r="O45" s="34">
        <f t="shared" si="62"/>
        <v>18.62087136662868</v>
      </c>
      <c r="P45" s="33" t="str">
        <f t="shared" si="50"/>
        <v>16.5157725627975</v>
      </c>
      <c r="Q45" s="4" t="str">
        <f t="shared" si="63"/>
        <v>1+0.302729933287598i</v>
      </c>
      <c r="R45" s="4">
        <f t="shared" si="64"/>
        <v>1.0448183634050052</v>
      </c>
      <c r="S45" s="4">
        <f t="shared" si="65"/>
        <v>0.29395943482269254</v>
      </c>
      <c r="T45" s="4" t="str">
        <f t="shared" si="51"/>
        <v>1+0.00192462343946287i</v>
      </c>
      <c r="U45" s="4">
        <f t="shared" si="66"/>
        <v>1.0000018520859768</v>
      </c>
      <c r="V45" s="4">
        <f t="shared" si="67"/>
        <v>1.9246210630872291E-3</v>
      </c>
      <c r="W45" t="str">
        <f t="shared" si="52"/>
        <v>1-0.0292495963444205i</v>
      </c>
      <c r="X45" s="4">
        <f t="shared" si="68"/>
        <v>1.0004276779889247</v>
      </c>
      <c r="Y45" s="4">
        <f t="shared" si="69"/>
        <v>-2.9241259234608033E-2</v>
      </c>
      <c r="Z45" t="str">
        <f t="shared" si="53"/>
        <v>0.999999992836015+0.000409494348821887i</v>
      </c>
      <c r="AA45" s="4">
        <f t="shared" si="70"/>
        <v>1.0000000766788228</v>
      </c>
      <c r="AB45" s="4">
        <f t="shared" si="71"/>
        <v>4.0949432886672871E-4</v>
      </c>
      <c r="AC45" s="47" t="str">
        <f t="shared" si="72"/>
        <v>15.0029004534421-4.99988351395119i</v>
      </c>
      <c r="AD45" s="20">
        <f t="shared" si="73"/>
        <v>23.980891322457168</v>
      </c>
      <c r="AE45" s="43">
        <f t="shared" si="74"/>
        <v>-18.431225337884001</v>
      </c>
      <c r="AF45" t="str">
        <f t="shared" si="54"/>
        <v>247.084651286898</v>
      </c>
      <c r="AG45" t="str">
        <f t="shared" si="55"/>
        <v>1+0.29604746082394i</v>
      </c>
      <c r="AH45">
        <f t="shared" si="75"/>
        <v>1.0429017686533579</v>
      </c>
      <c r="AI45">
        <f t="shared" si="76"/>
        <v>0.28782667863683825</v>
      </c>
      <c r="AJ45" t="str">
        <f t="shared" si="56"/>
        <v>1+0.00192462343946287i</v>
      </c>
      <c r="AK45">
        <f t="shared" si="77"/>
        <v>1.0000018520859768</v>
      </c>
      <c r="AL45">
        <f t="shared" si="78"/>
        <v>1.9246210630872291E-3</v>
      </c>
      <c r="AM45" t="str">
        <f t="shared" si="57"/>
        <v>1-0.00191193209409278i</v>
      </c>
      <c r="AN45">
        <f t="shared" si="79"/>
        <v>1.0000018277404958</v>
      </c>
      <c r="AO45">
        <f t="shared" si="80"/>
        <v>-1.9119297644186182E-3</v>
      </c>
      <c r="AP45" s="41" t="str">
        <f t="shared" si="81"/>
        <v>227.175864849935-67.2517021126607i</v>
      </c>
      <c r="AQ45">
        <f t="shared" si="82"/>
        <v>47.492079246851404</v>
      </c>
      <c r="AR45" s="43">
        <f t="shared" si="83"/>
        <v>-16.490526759308832</v>
      </c>
      <c r="AS45" t="str">
        <f t="shared" si="58"/>
        <v>-0.0000166666666666667</v>
      </c>
      <c r="AT45" t="str">
        <f t="shared" si="59"/>
        <v>3.9779451028412E-07i</v>
      </c>
      <c r="AU45">
        <f t="shared" si="84"/>
        <v>3.9779451028412002E-7</v>
      </c>
      <c r="AV45">
        <f t="shared" si="85"/>
        <v>1.5707963267948966</v>
      </c>
      <c r="AW45" t="str">
        <f t="shared" si="60"/>
        <v>1+0.000404263832769708i</v>
      </c>
      <c r="AX45">
        <f t="shared" si="86"/>
        <v>1.00000008171462</v>
      </c>
      <c r="AY45">
        <f t="shared" si="87"/>
        <v>4.0426381074686561E-4</v>
      </c>
      <c r="AZ45" t="str">
        <f t="shared" si="61"/>
        <v>1+0.0137449703141701i</v>
      </c>
      <c r="BA45">
        <f t="shared" si="88"/>
        <v>1.0000944576433455</v>
      </c>
      <c r="BB45">
        <f t="shared" si="89"/>
        <v>1.374410482639378E-2</v>
      </c>
      <c r="BC45" s="41" t="str">
        <f t="shared" si="90"/>
        <v>-0.558944545330315+41.8979048776554i</v>
      </c>
      <c r="BD45">
        <f t="shared" si="91"/>
        <v>32.444618984474786</v>
      </c>
      <c r="BE45" s="43">
        <f t="shared" si="92"/>
        <v>90.764316589572076</v>
      </c>
      <c r="BF45" s="41" t="str">
        <f t="shared" si="93"/>
        <v>201.098854494299+631.38475370466i</v>
      </c>
      <c r="BG45" s="20">
        <f t="shared" si="94"/>
        <v>56.425510306931947</v>
      </c>
      <c r="BH45" s="43">
        <f t="shared" si="95"/>
        <v>72.333091251688089</v>
      </c>
      <c r="BI45" s="41" t="str">
        <f t="shared" si="96"/>
        <v>2690.72670748811+9555.78274804173i</v>
      </c>
      <c r="BJ45" s="20">
        <f t="shared" si="97"/>
        <v>79.93669823132619</v>
      </c>
      <c r="BK45" s="43">
        <f t="shared" si="98"/>
        <v>74.27378983026324</v>
      </c>
      <c r="BL45">
        <f t="shared" si="99"/>
        <v>56.425510306931947</v>
      </c>
      <c r="BM45" s="43">
        <f t="shared" si="100"/>
        <v>72.333091251688089</v>
      </c>
    </row>
    <row r="46" spans="1:65" x14ac:dyDescent="0.25">
      <c r="B46" s="18">
        <f>wz_esr/(2*PI())</f>
        <v>9675.072528382696</v>
      </c>
      <c r="C46" t="s">
        <v>65</v>
      </c>
      <c r="N46" s="9">
        <v>28</v>
      </c>
      <c r="O46" s="34">
        <f t="shared" si="62"/>
        <v>19.054607179632477</v>
      </c>
      <c r="P46" s="33" t="str">
        <f t="shared" si="50"/>
        <v>16.5157725627975</v>
      </c>
      <c r="Q46" s="4" t="str">
        <f t="shared" si="63"/>
        <v>1+0.309781419286819i</v>
      </c>
      <c r="R46" s="4">
        <f t="shared" si="64"/>
        <v>1.0468832445575562</v>
      </c>
      <c r="S46" s="4">
        <f t="shared" si="65"/>
        <v>0.30040624095417134</v>
      </c>
      <c r="T46" s="4" t="str">
        <f t="shared" si="51"/>
        <v>1+0.00196945367838164i</v>
      </c>
      <c r="U46" s="4">
        <f t="shared" si="66"/>
        <v>1.0000019393720152</v>
      </c>
      <c r="V46" s="4">
        <f t="shared" si="67"/>
        <v>1.9694511320495307E-3</v>
      </c>
      <c r="W46" t="str">
        <f t="shared" si="52"/>
        <v>1-0.0299309069662863i</v>
      </c>
      <c r="X46" s="4">
        <f t="shared" si="68"/>
        <v>1.000447829320362</v>
      </c>
      <c r="Y46" s="4">
        <f t="shared" si="69"/>
        <v>-2.9921973808130886E-2</v>
      </c>
      <c r="Z46" t="str">
        <f t="shared" si="53"/>
        <v>0.999999992498387+0.000419032697528007i</v>
      </c>
      <c r="AA46" s="4">
        <f t="shared" si="70"/>
        <v>1.0000000802925848</v>
      </c>
      <c r="AB46" s="4">
        <f t="shared" si="71"/>
        <v>4.1903267614566968E-4</v>
      </c>
      <c r="AC46" s="47" t="str">
        <f t="shared" si="72"/>
        <v>14.9378440864773-5.0961925231717i</v>
      </c>
      <c r="AD46" s="20">
        <f t="shared" si="73"/>
        <v>23.963917966444104</v>
      </c>
      <c r="AE46" s="43">
        <f t="shared" si="74"/>
        <v>-18.837580125968568</v>
      </c>
      <c r="AF46" t="str">
        <f t="shared" si="54"/>
        <v>247.084651286898</v>
      </c>
      <c r="AG46" t="str">
        <f t="shared" si="55"/>
        <v>1+0.302943292043649i</v>
      </c>
      <c r="AH46">
        <f t="shared" si="75"/>
        <v>1.0448802027956332</v>
      </c>
      <c r="AI46">
        <f t="shared" si="76"/>
        <v>0.29415487019731429</v>
      </c>
      <c r="AJ46" t="str">
        <f t="shared" si="56"/>
        <v>1+0.00196945367838164i</v>
      </c>
      <c r="AK46">
        <f t="shared" si="77"/>
        <v>1.0000019393720152</v>
      </c>
      <c r="AL46">
        <f t="shared" si="78"/>
        <v>1.9694511320495307E-3</v>
      </c>
      <c r="AM46" t="str">
        <f t="shared" si="57"/>
        <v>1-0.00195646671360181i</v>
      </c>
      <c r="AN46">
        <f t="shared" si="79"/>
        <v>1.0000019138791691</v>
      </c>
      <c r="AO46">
        <f t="shared" si="80"/>
        <v>-1.9564642173112287E-3</v>
      </c>
      <c r="AP46" s="41" t="str">
        <f t="shared" si="81"/>
        <v>226.316463866064-68.5578457275992i</v>
      </c>
      <c r="AQ46">
        <f t="shared" si="82"/>
        <v>47.475618817999383</v>
      </c>
      <c r="AR46" s="43">
        <f t="shared" si="83"/>
        <v>-16.853088490121301</v>
      </c>
      <c r="AS46" t="str">
        <f t="shared" si="58"/>
        <v>-0.0000166666666666667</v>
      </c>
      <c r="AT46" t="str">
        <f t="shared" si="59"/>
        <v>4.07060334741494E-07i</v>
      </c>
      <c r="AU46">
        <f t="shared" si="84"/>
        <v>4.0706033474149401E-7</v>
      </c>
      <c r="AV46">
        <f t="shared" si="85"/>
        <v>1.5707963267948966</v>
      </c>
      <c r="AW46" t="str">
        <f t="shared" si="60"/>
        <v>1+0.000413680347105801i</v>
      </c>
      <c r="AX46">
        <f t="shared" si="86"/>
        <v>1.0000000855657112</v>
      </c>
      <c r="AY46">
        <f t="shared" si="87"/>
        <v>4.1368032350790036E-4</v>
      </c>
      <c r="AZ46" t="str">
        <f t="shared" si="61"/>
        <v>1+0.0140651318015972i</v>
      </c>
      <c r="BA46">
        <f t="shared" si="88"/>
        <v>1.0000989090747956</v>
      </c>
      <c r="BB46">
        <f t="shared" si="89"/>
        <v>1.4064204419689938E-2</v>
      </c>
      <c r="BC46" s="41" t="str">
        <f t="shared" si="90"/>
        <v>-0.558944541025221+40.9442025333203i</v>
      </c>
      <c r="BD46">
        <f t="shared" si="91"/>
        <v>32.2446576119291</v>
      </c>
      <c r="BE46" s="43">
        <f t="shared" si="92"/>
        <v>90.782117418852863</v>
      </c>
      <c r="BF46" s="41" t="str">
        <f t="shared" si="93"/>
        <v>200.310112410712+614.466602678728i</v>
      </c>
      <c r="BG46" s="20">
        <f t="shared" si="94"/>
        <v>56.2085755783732</v>
      </c>
      <c r="BH46" s="43">
        <f t="shared" si="95"/>
        <v>71.94453729288432</v>
      </c>
      <c r="BI46" s="41" t="str">
        <f t="shared" si="96"/>
        <v>2680.54796869688+9304.66716677088i</v>
      </c>
      <c r="BJ46" s="20">
        <f t="shared" si="97"/>
        <v>79.720276429928475</v>
      </c>
      <c r="BK46" s="43">
        <f t="shared" si="98"/>
        <v>73.929028928731569</v>
      </c>
      <c r="BL46">
        <f t="shared" si="99"/>
        <v>56.2085755783732</v>
      </c>
      <c r="BM46" s="43">
        <f t="shared" si="100"/>
        <v>71.94453729288432</v>
      </c>
    </row>
    <row r="47" spans="1:65" x14ac:dyDescent="0.25">
      <c r="B47" s="1"/>
      <c r="N47" s="9">
        <v>29</v>
      </c>
      <c r="O47" s="34">
        <f t="shared" si="62"/>
        <v>19.498445997580465</v>
      </c>
      <c r="P47" s="33" t="str">
        <f t="shared" si="50"/>
        <v>16.5157725627975</v>
      </c>
      <c r="Q47" s="4" t="str">
        <f t="shared" si="63"/>
        <v>1+0.316997155494988i</v>
      </c>
      <c r="R47" s="4">
        <f t="shared" si="64"/>
        <v>1.0490410843203013</v>
      </c>
      <c r="S47" s="4">
        <f t="shared" si="65"/>
        <v>0.30697665936404589</v>
      </c>
      <c r="T47" s="4" t="str">
        <f t="shared" si="51"/>
        <v>1+0.00201532814770949i</v>
      </c>
      <c r="U47" s="4">
        <f t="shared" si="66"/>
        <v>1.0000020307717095</v>
      </c>
      <c r="V47" s="4">
        <f t="shared" si="67"/>
        <v>2.0153254192657767E-3</v>
      </c>
      <c r="W47" t="str">
        <f t="shared" si="52"/>
        <v>1-0.030628087351208i</v>
      </c>
      <c r="X47" s="4">
        <f t="shared" si="68"/>
        <v>1.0004689299197618</v>
      </c>
      <c r="Y47" s="4">
        <f t="shared" si="69"/>
        <v>-3.0618515542082905E-2</v>
      </c>
      <c r="Z47" t="str">
        <f t="shared" si="53"/>
        <v>0.999999992144847+0.000428793222916912i</v>
      </c>
      <c r="AA47" s="4">
        <f t="shared" si="70"/>
        <v>1.0000000840766576</v>
      </c>
      <c r="AB47" s="4">
        <f t="shared" si="71"/>
        <v>4.2879320000532481E-4</v>
      </c>
      <c r="AC47" s="47" t="str">
        <f t="shared" si="72"/>
        <v>14.8702690312773-5.19347701187141i</v>
      </c>
      <c r="AD47" s="20">
        <f t="shared" si="73"/>
        <v>23.946216957851654</v>
      </c>
      <c r="AE47" s="43">
        <f t="shared" si="74"/>
        <v>-19.251877105876822</v>
      </c>
      <c r="AF47" t="str">
        <f t="shared" si="54"/>
        <v>247.084651286898</v>
      </c>
      <c r="AG47" t="str">
        <f t="shared" si="55"/>
        <v>1+0.309999747806728i</v>
      </c>
      <c r="AH47">
        <f t="shared" si="75"/>
        <v>1.0469478705457282</v>
      </c>
      <c r="AI47">
        <f t="shared" si="76"/>
        <v>0.30060543996002154</v>
      </c>
      <c r="AJ47" t="str">
        <f t="shared" si="56"/>
        <v>1+0.00201532814770949i</v>
      </c>
      <c r="AK47">
        <f t="shared" si="77"/>
        <v>1.0000020307717095</v>
      </c>
      <c r="AL47">
        <f t="shared" si="78"/>
        <v>2.0153254192657767E-3</v>
      </c>
      <c r="AM47" t="str">
        <f t="shared" si="57"/>
        <v>1-0.0020020386776593i</v>
      </c>
      <c r="AN47">
        <f t="shared" si="79"/>
        <v>1.0000020040774253</v>
      </c>
      <c r="AO47">
        <f t="shared" si="80"/>
        <v>-2.00203600283604E-3</v>
      </c>
      <c r="AP47" s="41" t="str">
        <f t="shared" si="81"/>
        <v>225.423502769069-69.8779453840475i</v>
      </c>
      <c r="AQ47">
        <f t="shared" si="82"/>
        <v>47.458449252101616</v>
      </c>
      <c r="AR47" s="43">
        <f t="shared" si="83"/>
        <v>-17.222661580908888</v>
      </c>
      <c r="AS47" t="str">
        <f t="shared" si="58"/>
        <v>-0.0000166666666666667</v>
      </c>
      <c r="AT47" t="str">
        <f t="shared" si="59"/>
        <v>4.16541987976429E-07i</v>
      </c>
      <c r="AU47">
        <f t="shared" si="84"/>
        <v>4.1654198797642899E-7</v>
      </c>
      <c r="AV47">
        <f t="shared" si="85"/>
        <v>1.5707963267948966</v>
      </c>
      <c r="AW47" t="str">
        <f t="shared" si="60"/>
        <v>1+0.000423316200237637i</v>
      </c>
      <c r="AX47">
        <f t="shared" si="86"/>
        <v>1.0000000895982986</v>
      </c>
      <c r="AY47">
        <f t="shared" si="87"/>
        <v>4.2331617495203102E-4</v>
      </c>
      <c r="AZ47" t="str">
        <f t="shared" si="61"/>
        <v>1+0.0143927508080797i</v>
      </c>
      <c r="BA47">
        <f t="shared" si="88"/>
        <v>1.0001035702745109</v>
      </c>
      <c r="BB47">
        <f t="shared" si="89"/>
        <v>1.4391757106020598E-2</v>
      </c>
      <c r="BC47" s="41" t="str">
        <f t="shared" si="90"/>
        <v>-0.558944536517239+40.0122093471286i</v>
      </c>
      <c r="BD47">
        <f t="shared" si="91"/>
        <v>32.044698059470342</v>
      </c>
      <c r="BE47" s="43">
        <f t="shared" si="92"/>
        <v>90.800332711728018</v>
      </c>
      <c r="BF47" s="41" t="str">
        <f t="shared" si="93"/>
        <v>199.490833806925+597.895183128904i</v>
      </c>
      <c r="BG47" s="20">
        <f t="shared" si="94"/>
        <v>55.990915017322003</v>
      </c>
      <c r="BH47" s="43">
        <f t="shared" si="95"/>
        <v>71.548455605851188</v>
      </c>
      <c r="BI47" s="41" t="str">
        <f t="shared" si="96"/>
        <v>2669.97174417838+9058.75028035448i</v>
      </c>
      <c r="BJ47" s="20">
        <f t="shared" si="97"/>
        <v>79.503147311571965</v>
      </c>
      <c r="BK47" s="43">
        <f t="shared" si="98"/>
        <v>73.577671130819127</v>
      </c>
      <c r="BL47">
        <f t="shared" si="99"/>
        <v>55.990915017322003</v>
      </c>
      <c r="BM47" s="43">
        <f t="shared" si="100"/>
        <v>71.548455605851188</v>
      </c>
    </row>
    <row r="48" spans="1:65" x14ac:dyDescent="0.25">
      <c r="A48" t="s">
        <v>212</v>
      </c>
      <c r="B48" s="1">
        <f>(Vsl*Fsw)</f>
        <v>19800</v>
      </c>
      <c r="C48" t="s">
        <v>150</v>
      </c>
      <c r="E48" t="s">
        <v>213</v>
      </c>
      <c r="N48" s="9">
        <v>30</v>
      </c>
      <c r="O48" s="34">
        <f t="shared" si="62"/>
        <v>19.952623149688804</v>
      </c>
      <c r="P48" s="33" t="str">
        <f t="shared" si="50"/>
        <v>16.5157725627975</v>
      </c>
      <c r="Q48" s="4" t="str">
        <f t="shared" si="63"/>
        <v>1+0.324380967790955i</v>
      </c>
      <c r="R48" s="4">
        <f t="shared" si="64"/>
        <v>1.0512958728469339</v>
      </c>
      <c r="S48" s="4">
        <f t="shared" si="65"/>
        <v>0.31367190378099968</v>
      </c>
      <c r="T48" s="4" t="str">
        <f t="shared" si="51"/>
        <v>1+0.00206227117069727i</v>
      </c>
      <c r="U48" s="4">
        <f t="shared" si="66"/>
        <v>1.0000021264789298</v>
      </c>
      <c r="V48" s="4">
        <f t="shared" si="67"/>
        <v>2.0622682471174939E-3</v>
      </c>
      <c r="W48" t="str">
        <f t="shared" si="52"/>
        <v>1-0.031341507153454i</v>
      </c>
      <c r="X48" s="4">
        <f t="shared" si="68"/>
        <v>1.0004910244828036</v>
      </c>
      <c r="Y48" s="4">
        <f t="shared" si="69"/>
        <v>-3.1331251047033305E-2</v>
      </c>
      <c r="Z48" t="str">
        <f t="shared" si="53"/>
        <v>0.999999991774645+0.000438781100148356i</v>
      </c>
      <c r="AA48" s="4">
        <f t="shared" si="70"/>
        <v>1.0000000880390683</v>
      </c>
      <c r="AB48" s="4">
        <f t="shared" si="71"/>
        <v>4.3878107559814809E-4</v>
      </c>
      <c r="AC48" s="47" t="str">
        <f t="shared" si="72"/>
        <v>14.8001020179973-5.29168780515709i</v>
      </c>
      <c r="AD48" s="20">
        <f t="shared" si="73"/>
        <v>23.927760326150867</v>
      </c>
      <c r="AE48" s="43">
        <f t="shared" si="74"/>
        <v>-19.674205727323148</v>
      </c>
      <c r="AF48" t="str">
        <f t="shared" si="54"/>
        <v>247.084651286898</v>
      </c>
      <c r="AG48" t="str">
        <f t="shared" si="55"/>
        <v>1+0.317220569539427i</v>
      </c>
      <c r="AH48">
        <f t="shared" si="75"/>
        <v>1.0491086167499142</v>
      </c>
      <c r="AI48">
        <f t="shared" si="76"/>
        <v>0.30717966005794278</v>
      </c>
      <c r="AJ48" t="str">
        <f t="shared" si="56"/>
        <v>1+0.00206227117069727i</v>
      </c>
      <c r="AK48">
        <f t="shared" si="77"/>
        <v>1.0000021264789298</v>
      </c>
      <c r="AL48">
        <f t="shared" si="78"/>
        <v>2.0622682471174939E-3</v>
      </c>
      <c r="AM48" t="str">
        <f t="shared" si="57"/>
        <v>1-0.00204867214912379i</v>
      </c>
      <c r="AN48">
        <f t="shared" si="79"/>
        <v>1.0000020985265854</v>
      </c>
      <c r="AO48">
        <f t="shared" si="80"/>
        <v>-2.0486692829993535E-3</v>
      </c>
      <c r="AP48" s="41" t="str">
        <f t="shared" si="81"/>
        <v>224.495979888035-71.2113824898908i</v>
      </c>
      <c r="AQ48">
        <f t="shared" si="82"/>
        <v>47.440542980179707</v>
      </c>
      <c r="AR48" s="43">
        <f t="shared" si="83"/>
        <v>-17.599318910333725</v>
      </c>
      <c r="AS48" t="str">
        <f t="shared" si="58"/>
        <v>-0.0000166666666666667</v>
      </c>
      <c r="AT48" t="str">
        <f t="shared" si="59"/>
        <v>4.26244497286974E-07i</v>
      </c>
      <c r="AU48">
        <f t="shared" si="84"/>
        <v>4.2624449728697401E-7</v>
      </c>
      <c r="AV48">
        <f t="shared" si="85"/>
        <v>1.5707963267948966</v>
      </c>
      <c r="AW48" t="str">
        <f t="shared" si="60"/>
        <v>1+0.000433176501222091i</v>
      </c>
      <c r="AX48">
        <f t="shared" si="86"/>
        <v>1.0000000938209361</v>
      </c>
      <c r="AY48">
        <f t="shared" si="87"/>
        <v>4.3317647412807617E-4</v>
      </c>
      <c r="AZ48" t="str">
        <f t="shared" si="61"/>
        <v>1+0.0147280010415511i</v>
      </c>
      <c r="BA48">
        <f t="shared" si="88"/>
        <v>1.0001084511265166</v>
      </c>
      <c r="BB48">
        <f t="shared" si="89"/>
        <v>1.4726936276847053E-2</v>
      </c>
      <c r="BC48" s="41" t="str">
        <f t="shared" si="90"/>
        <v>-0.558944531796799+39.1014311639569i</v>
      </c>
      <c r="BD48">
        <f t="shared" si="91"/>
        <v>31.844740412841052</v>
      </c>
      <c r="BE48" s="43">
        <f t="shared" si="92"/>
        <v>90.818972110069538</v>
      </c>
      <c r="BF48" s="41" t="str">
        <f t="shared" si="93"/>
        <v>198.640130361506+581.662930238929i</v>
      </c>
      <c r="BG48" s="20">
        <f t="shared" si="94"/>
        <v>55.772500738991923</v>
      </c>
      <c r="BH48" s="43">
        <f t="shared" si="95"/>
        <v>71.144766382746369</v>
      </c>
      <c r="BI48" s="41" t="str">
        <f t="shared" si="96"/>
        <v>2658.98617014989+8817.91731702147i</v>
      </c>
      <c r="BJ48" s="20">
        <f t="shared" si="97"/>
        <v>79.285283393020762</v>
      </c>
      <c r="BK48" s="43">
        <f t="shared" si="98"/>
        <v>73.219653199735816</v>
      </c>
      <c r="BL48">
        <f t="shared" si="99"/>
        <v>55.772500738991923</v>
      </c>
      <c r="BM48" s="43">
        <f t="shared" si="100"/>
        <v>71.144766382746369</v>
      </c>
    </row>
    <row r="49" spans="1:65" x14ac:dyDescent="0.25">
      <c r="A49" t="s">
        <v>215</v>
      </c>
      <c r="B49" s="1">
        <f>(R_cs*VIN_var)/Lm</f>
        <v>600.00000000000011</v>
      </c>
      <c r="C49" t="s">
        <v>150</v>
      </c>
      <c r="E49" t="s">
        <v>214</v>
      </c>
      <c r="J49">
        <f>(0.5-(1-(VIN_var/VOUT)))</f>
        <v>-0.43999999999999995</v>
      </c>
      <c r="N49" s="9">
        <v>31</v>
      </c>
      <c r="O49" s="34">
        <f t="shared" si="62"/>
        <v>20.4173794466953</v>
      </c>
      <c r="P49" s="33" t="str">
        <f t="shared" si="50"/>
        <v>16.5157725627975</v>
      </c>
      <c r="Q49" s="4" t="str">
        <f t="shared" si="63"/>
        <v>1+0.331936771169732i</v>
      </c>
      <c r="R49" s="4">
        <f t="shared" si="64"/>
        <v>1.0536517546393529</v>
      </c>
      <c r="S49" s="4">
        <f t="shared" si="65"/>
        <v>0.3204931222872151</v>
      </c>
      <c r="T49" s="4" t="str">
        <f t="shared" si="51"/>
        <v>1+0.00211030763715714i</v>
      </c>
      <c r="U49" s="4">
        <f t="shared" si="66"/>
        <v>1.0000022266966826</v>
      </c>
      <c r="V49" s="4">
        <f t="shared" si="67"/>
        <v>2.1103045044853462E-3</v>
      </c>
      <c r="W49" t="str">
        <f t="shared" si="52"/>
        <v>1-0.0320715446376465i</v>
      </c>
      <c r="X49" s="4">
        <f t="shared" si="68"/>
        <v>1.0005141598075684</v>
      </c>
      <c r="Y49" s="4">
        <f t="shared" si="69"/>
        <v>-3.2060555326613192E-2</v>
      </c>
      <c r="Z49" t="str">
        <f t="shared" si="53"/>
        <v>0.999999991386996+0.000449001624927051i</v>
      </c>
      <c r="AA49" s="4">
        <f t="shared" si="70"/>
        <v>1.0000000921882215</v>
      </c>
      <c r="AB49" s="4">
        <f t="shared" si="71"/>
        <v>4.4900159862102946E-4</v>
      </c>
      <c r="AC49" s="47" t="str">
        <f t="shared" si="72"/>
        <v>14.7272697559823-5.39077136069382i</v>
      </c>
      <c r="AD49" s="20">
        <f t="shared" si="73"/>
        <v>23.908519305605274</v>
      </c>
      <c r="AE49" s="43">
        <f t="shared" si="74"/>
        <v>-20.104652134089356</v>
      </c>
      <c r="AF49" t="str">
        <f t="shared" si="54"/>
        <v>247.084651286898</v>
      </c>
      <c r="AG49" t="str">
        <f t="shared" si="55"/>
        <v>1+0.324609585817004i</v>
      </c>
      <c r="AH49">
        <f t="shared" si="75"/>
        <v>1.0513664362173099</v>
      </c>
      <c r="AI49">
        <f t="shared" si="76"/>
        <v>0.31387874229344925</v>
      </c>
      <c r="AJ49" t="str">
        <f t="shared" si="56"/>
        <v>1+0.00211030763715714i</v>
      </c>
      <c r="AK49">
        <f t="shared" si="77"/>
        <v>1.0000022266966826</v>
      </c>
      <c r="AL49">
        <f t="shared" si="78"/>
        <v>2.1103045044853462E-3</v>
      </c>
      <c r="AM49" t="str">
        <f t="shared" si="57"/>
        <v>1-0.00209639185367912i</v>
      </c>
      <c r="AN49">
        <f t="shared" si="79"/>
        <v>1.0000021974269877</v>
      </c>
      <c r="AO49">
        <f t="shared" si="80"/>
        <v>-2.0963887825718197E-3</v>
      </c>
      <c r="AP49" s="41" t="str">
        <f t="shared" si="81"/>
        <v>223.532890647982-72.557480673211i</v>
      </c>
      <c r="AQ49">
        <f t="shared" si="82"/>
        <v>47.421871621202371</v>
      </c>
      <c r="AR49" s="43">
        <f t="shared" si="83"/>
        <v>-17.983129900154527</v>
      </c>
      <c r="AS49" t="str">
        <f t="shared" si="58"/>
        <v>-0.0000166666666666667</v>
      </c>
      <c r="AT49" t="str">
        <f t="shared" si="59"/>
        <v>4.36173007071994E-07i</v>
      </c>
      <c r="AU49">
        <f t="shared" si="84"/>
        <v>4.3617300707199401E-7</v>
      </c>
      <c r="AV49">
        <f t="shared" si="85"/>
        <v>1.5707963267948966</v>
      </c>
      <c r="AW49" t="str">
        <f t="shared" si="60"/>
        <v>1+0.00044326647812126i</v>
      </c>
      <c r="AX49">
        <f t="shared" si="86"/>
        <v>1.0000000982425805</v>
      </c>
      <c r="AY49">
        <f t="shared" si="87"/>
        <v>4.4326644908950023E-4</v>
      </c>
      <c r="AZ49" t="str">
        <f t="shared" si="61"/>
        <v>1+0.0150710602561228i</v>
      </c>
      <c r="BA49">
        <f t="shared" si="88"/>
        <v>1.0001135619804602</v>
      </c>
      <c r="BB49">
        <f t="shared" si="89"/>
        <v>1.5069919347183613E-2</v>
      </c>
      <c r="BC49" s="41" t="str">
        <f t="shared" si="90"/>
        <v>-0.558944526853888+38.2113850771566i</v>
      </c>
      <c r="BD49">
        <f t="shared" si="91"/>
        <v>31.644784761821143</v>
      </c>
      <c r="BE49" s="43">
        <f t="shared" si="92"/>
        <v>90.838045479463588</v>
      </c>
      <c r="BF49" s="41" t="str">
        <f t="shared" si="93"/>
        <v>197.757113500772+565.762517928582i</v>
      </c>
      <c r="BG49" s="20">
        <f t="shared" si="94"/>
        <v>55.55330406742641</v>
      </c>
      <c r="BH49" s="43">
        <f t="shared" si="95"/>
        <v>70.733393345374211</v>
      </c>
      <c r="BI49" s="41" t="str">
        <f t="shared" si="96"/>
        <v>2647.5793484329+8582.05696866458i</v>
      </c>
      <c r="BJ49" s="20">
        <f t="shared" si="97"/>
        <v>79.066656383023513</v>
      </c>
      <c r="BK49" s="43">
        <f t="shared" si="98"/>
        <v>72.854915579309051</v>
      </c>
      <c r="BL49">
        <f t="shared" si="99"/>
        <v>55.55330406742641</v>
      </c>
      <c r="BM49" s="43">
        <f t="shared" si="100"/>
        <v>70.733393345374211</v>
      </c>
    </row>
    <row r="50" spans="1:65" x14ac:dyDescent="0.25">
      <c r="B50" s="1"/>
      <c r="J50">
        <f>Lm*Fsw</f>
        <v>4.3999999999999995</v>
      </c>
      <c r="N50" s="9">
        <v>32</v>
      </c>
      <c r="O50" s="34">
        <f t="shared" si="62"/>
        <v>20.8929613085404</v>
      </c>
      <c r="P50" s="33" t="str">
        <f t="shared" si="50"/>
        <v>16.5157725627975</v>
      </c>
      <c r="Q50" s="4" t="str">
        <f t="shared" si="63"/>
        <v>1+0.339668571818289i</v>
      </c>
      <c r="R50" s="4">
        <f t="shared" si="64"/>
        <v>1.0561130330987665</v>
      </c>
      <c r="S50" s="4">
        <f t="shared" si="65"/>
        <v>0.32744139163843367</v>
      </c>
      <c r="T50" s="4" t="str">
        <f t="shared" si="51"/>
        <v>1+0.00215946301665947i</v>
      </c>
      <c r="U50" s="4">
        <f t="shared" si="66"/>
        <v>1.0000023316375419</v>
      </c>
      <c r="V50" s="4">
        <f t="shared" si="67"/>
        <v>2.1594596599415886E-3</v>
      </c>
      <c r="W50" t="str">
        <f t="shared" si="52"/>
        <v>1-0.0328185868793232i</v>
      </c>
      <c r="X50" s="4">
        <f t="shared" si="68"/>
        <v>1.0005383848932312</v>
      </c>
      <c r="Y50" s="4">
        <f t="shared" si="69"/>
        <v>-3.2806811962584434E-2</v>
      </c>
      <c r="Z50" t="str">
        <f t="shared" si="53"/>
        <v>0.999999990981078+0.000459460216310525i</v>
      </c>
      <c r="AA50" s="4">
        <f t="shared" si="70"/>
        <v>1.0000000965329185</v>
      </c>
      <c r="AB50" s="4">
        <f t="shared" si="71"/>
        <v>4.5946018812311509E-4</v>
      </c>
      <c r="AC50" s="47" t="str">
        <f t="shared" si="72"/>
        <v>14.651699148015-5.49066961543919i</v>
      </c>
      <c r="AD50" s="20">
        <f t="shared" si="73"/>
        <v>23.888464337066551</v>
      </c>
      <c r="AE50" s="43">
        <f t="shared" si="74"/>
        <v>-20.543298848598226</v>
      </c>
      <c r="AF50" t="str">
        <f t="shared" si="54"/>
        <v>247.084651286898</v>
      </c>
      <c r="AG50" t="str">
        <f t="shared" si="55"/>
        <v>1+0.3321707143937i</v>
      </c>
      <c r="AH50">
        <f t="shared" si="75"/>
        <v>1.0537254782441303</v>
      </c>
      <c r="AI50">
        <f t="shared" si="76"/>
        <v>0.32070383265155339</v>
      </c>
      <c r="AJ50" t="str">
        <f t="shared" si="56"/>
        <v>1+0.00215946301665947i</v>
      </c>
      <c r="AK50">
        <f t="shared" si="77"/>
        <v>1.0000023316375419</v>
      </c>
      <c r="AL50">
        <f t="shared" si="78"/>
        <v>2.1594596599415886E-3</v>
      </c>
      <c r="AM50" t="str">
        <f t="shared" si="57"/>
        <v>1-0.00214522309294432i</v>
      </c>
      <c r="AN50">
        <f t="shared" si="79"/>
        <v>1.000002300988412</v>
      </c>
      <c r="AO50">
        <f t="shared" si="80"/>
        <v>-2.1452198021939687E-3</v>
      </c>
      <c r="AP50" s="41" t="str">
        <f t="shared" si="81"/>
        <v>222.533230274974-73.9155036101904i</v>
      </c>
      <c r="AQ50">
        <f t="shared" si="82"/>
        <v>47.402405980821023</v>
      </c>
      <c r="AR50" s="43">
        <f t="shared" si="83"/>
        <v>-18.37416020085406</v>
      </c>
      <c r="AS50" t="str">
        <f t="shared" si="58"/>
        <v>-0.0000166666666666667</v>
      </c>
      <c r="AT50" t="str">
        <f t="shared" si="59"/>
        <v>4.46332781558795E-07i</v>
      </c>
      <c r="AU50">
        <f t="shared" si="84"/>
        <v>4.4633278155879502E-7</v>
      </c>
      <c r="AV50">
        <f t="shared" si="85"/>
        <v>1.5707963267948966</v>
      </c>
      <c r="AW50" t="str">
        <f t="shared" si="60"/>
        <v>1+0.000453591480774458i</v>
      </c>
      <c r="AX50">
        <f t="shared" si="86"/>
        <v>1.0000001028726104</v>
      </c>
      <c r="AY50">
        <f t="shared" si="87"/>
        <v>4.5359144966636712E-4</v>
      </c>
      <c r="AZ50" t="str">
        <f t="shared" si="61"/>
        <v>1+0.0154221103463316i</v>
      </c>
      <c r="BA50">
        <f t="shared" si="88"/>
        <v>1.0001189136735362</v>
      </c>
      <c r="BB50">
        <f t="shared" si="89"/>
        <v>1.5420887848228088E-2</v>
      </c>
      <c r="BC50" s="41" t="str">
        <f t="shared" si="90"/>
        <v>-0.558944521678034+37.3415991725116i</v>
      </c>
      <c r="BD50">
        <f t="shared" si="91"/>
        <v>31.444831200418054</v>
      </c>
      <c r="BE50" s="43">
        <f t="shared" si="92"/>
        <v>90.857562914358937</v>
      </c>
      <c r="BF50" s="41" t="str">
        <f t="shared" si="93"/>
        <v>196.840896996361+550.1868564833i</v>
      </c>
      <c r="BG50" s="20">
        <f t="shared" si="94"/>
        <v>55.333295537484616</v>
      </c>
      <c r="BH50" s="43">
        <f t="shared" si="95"/>
        <v>70.314264065760725</v>
      </c>
      <c r="BI50" s="41" t="str">
        <f t="shared" ref="BI50:BI113" si="101">IMPRODUCT(AP50,BC50)</f>
        <v>2635.73937849255+8351.06135330229i</v>
      </c>
      <c r="BJ50" s="20">
        <f t="shared" si="97"/>
        <v>78.84723718123908</v>
      </c>
      <c r="BK50" s="43">
        <f t="shared" ref="BK50:BK113" si="102">(180/PI())*IMARGUMENT(BI50)</f>
        <v>72.483402713504887</v>
      </c>
      <c r="BL50">
        <f t="shared" si="99"/>
        <v>55.333295537484616</v>
      </c>
      <c r="BM50" s="43">
        <f t="shared" si="100"/>
        <v>70.314264065760725</v>
      </c>
    </row>
    <row r="51" spans="1:65" x14ac:dyDescent="0.25">
      <c r="A51" t="s">
        <v>210</v>
      </c>
      <c r="B51" s="1">
        <f>2*PI()*Fsw</f>
        <v>2764601.5351590179</v>
      </c>
      <c r="C51" t="s">
        <v>216</v>
      </c>
      <c r="N51" s="9">
        <v>33</v>
      </c>
      <c r="O51" s="34">
        <f t="shared" si="62"/>
        <v>21.379620895022335</v>
      </c>
      <c r="P51" s="33" t="str">
        <f t="shared" si="50"/>
        <v>16.5157725627975</v>
      </c>
      <c r="Q51" s="4" t="str">
        <f t="shared" si="63"/>
        <v>1+0.347580469239666i</v>
      </c>
      <c r="R51" s="4">
        <f t="shared" si="64"/>
        <v>1.058684175095135</v>
      </c>
      <c r="S51" s="4">
        <f t="shared" si="65"/>
        <v>0.33451771139229597</v>
      </c>
      <c r="T51" s="4" t="str">
        <f t="shared" si="51"/>
        <v>1+0.00220976337203709i</v>
      </c>
      <c r="U51" s="4">
        <f t="shared" si="66"/>
        <v>1.0000024415240996</v>
      </c>
      <c r="V51" s="4">
        <f t="shared" si="67"/>
        <v>2.209759775249552E-3</v>
      </c>
      <c r="W51" t="str">
        <f t="shared" si="52"/>
        <v>1-0.0335830299701685i</v>
      </c>
      <c r="X51" s="4">
        <f t="shared" si="68"/>
        <v>1.0005637510433691</v>
      </c>
      <c r="Y51" s="4">
        <f t="shared" si="69"/>
        <v>-3.3570413303475682E-2</v>
      </c>
      <c r="Z51" t="str">
        <f t="shared" si="53"/>
        <v>0.999999990556029+0.000470162419582359i</v>
      </c>
      <c r="AA51" s="4">
        <f t="shared" si="70"/>
        <v>1.0000001010823742</v>
      </c>
      <c r="AB51" s="4">
        <f t="shared" si="71"/>
        <v>4.7016238937900543E-4</v>
      </c>
      <c r="AC51" s="47" t="str">
        <f t="shared" si="72"/>
        <v>14.5733175224872-5.59131983915711i</v>
      </c>
      <c r="AD51" s="20">
        <f t="shared" si="73"/>
        <v>23.86756507228678</v>
      </c>
      <c r="AE51" s="43">
        <f t="shared" si="74"/>
        <v>-20.990224445690451</v>
      </c>
      <c r="AF51" t="str">
        <f t="shared" si="54"/>
        <v>247.084651286898</v>
      </c>
      <c r="AG51" t="str">
        <f t="shared" si="55"/>
        <v>1+0.339907964279964i</v>
      </c>
      <c r="AH51">
        <f t="shared" si="75"/>
        <v>1.0561900511654847</v>
      </c>
      <c r="AI51">
        <f t="shared" si="76"/>
        <v>0.32765600561394947</v>
      </c>
      <c r="AJ51" t="str">
        <f t="shared" si="56"/>
        <v>1+0.00220976337203709i</v>
      </c>
      <c r="AK51">
        <f t="shared" si="77"/>
        <v>1.0000024415240996</v>
      </c>
      <c r="AL51">
        <f t="shared" si="78"/>
        <v>2.209759775249552E-3</v>
      </c>
      <c r="AM51" t="str">
        <f t="shared" si="57"/>
        <v>1-0.00219519175788876i</v>
      </c>
      <c r="AN51">
        <f t="shared" si="79"/>
        <v>1.0000024094305244</v>
      </c>
      <c r="AO51">
        <f t="shared" si="80"/>
        <v>-2.1951882317866882E-3</v>
      </c>
      <c r="AP51" s="41" t="str">
        <f t="shared" si="81"/>
        <v>221.495996740897-75.2846529261592i</v>
      </c>
      <c r="AQ51">
        <f t="shared" si="82"/>
        <v>47.382116052392192</v>
      </c>
      <c r="AR51" s="43">
        <f t="shared" si="83"/>
        <v>-18.77247136585267</v>
      </c>
      <c r="AS51" t="str">
        <f t="shared" si="58"/>
        <v>-0.0000166666666666667</v>
      </c>
      <c r="AT51" t="str">
        <f t="shared" si="59"/>
        <v>4.56729207594292E-07i</v>
      </c>
      <c r="AU51">
        <f t="shared" si="84"/>
        <v>4.56729207594292E-7</v>
      </c>
      <c r="AV51">
        <f t="shared" si="85"/>
        <v>1.5707963267948966</v>
      </c>
      <c r="AW51" t="str">
        <f t="shared" si="60"/>
        <v>1+0.000464156983634752i</v>
      </c>
      <c r="AX51">
        <f t="shared" si="86"/>
        <v>1.0000001077208469</v>
      </c>
      <c r="AY51">
        <f t="shared" si="87"/>
        <v>4.6415695030183225E-4</v>
      </c>
      <c r="AZ51" t="str">
        <f t="shared" si="61"/>
        <v>1+0.0157813374435816i</v>
      </c>
      <c r="BA51">
        <f t="shared" si="88"/>
        <v>1.0001245175534437</v>
      </c>
      <c r="BB51">
        <f t="shared" si="89"/>
        <v>1.578002752207117E-2</v>
      </c>
      <c r="BC51" s="41" t="str">
        <f t="shared" si="90"/>
        <v>-0.558944516258243+36.4916122780221i</v>
      </c>
      <c r="BD51">
        <f t="shared" si="91"/>
        <v>31.244879827065478</v>
      </c>
      <c r="BE51" s="43">
        <f t="shared" si="92"/>
        <v>90.877534743330997</v>
      </c>
      <c r="BF51" s="41" t="str">
        <f t="shared" si="93"/>
        <v>195.89059978005+534.929090197851i</v>
      </c>
      <c r="BG51" s="20">
        <f t="shared" si="94"/>
        <v>55.112444899352255</v>
      </c>
      <c r="BH51" s="43">
        <f t="shared" si="95"/>
        <v>69.887310297640525</v>
      </c>
      <c r="BI51" s="41" t="str">
        <f t="shared" si="101"/>
        <v>2623.45439231539+8124.82597811434i</v>
      </c>
      <c r="BJ51" s="20">
        <f t="shared" si="97"/>
        <v>78.626995879457667</v>
      </c>
      <c r="BK51" s="43">
        <f t="shared" si="102"/>
        <v>72.105063377478288</v>
      </c>
      <c r="BL51">
        <f t="shared" si="99"/>
        <v>55.112444899352255</v>
      </c>
      <c r="BM51" s="43">
        <f t="shared" si="100"/>
        <v>69.887310297640525</v>
      </c>
    </row>
    <row r="52" spans="1:65" x14ac:dyDescent="0.25">
      <c r="A52" t="s">
        <v>211</v>
      </c>
      <c r="B52" s="1">
        <f>1/(PI()*(((VIN_var/VOUT)*(1+(B48/B49)))-0.5))</f>
        <v>0.20669473128817584</v>
      </c>
      <c r="N52" s="9">
        <v>34</v>
      </c>
      <c r="O52" s="34">
        <f t="shared" si="62"/>
        <v>21.877616239495538</v>
      </c>
      <c r="P52" s="33" t="str">
        <f t="shared" si="50"/>
        <v>16.5157725627975</v>
      </c>
      <c r="Q52" s="4" t="str">
        <f t="shared" si="63"/>
        <v>1+0.355676658426607i</v>
      </c>
      <c r="R52" s="4">
        <f t="shared" si="64"/>
        <v>1.0613698155447597</v>
      </c>
      <c r="S52" s="4">
        <f t="shared" si="65"/>
        <v>0.34172299785470933</v>
      </c>
      <c r="T52" s="4" t="str">
        <f t="shared" si="51"/>
        <v>1+0.00226123537320424i</v>
      </c>
      <c r="U52" s="4">
        <f t="shared" si="66"/>
        <v>1.0000025565894384</v>
      </c>
      <c r="V52" s="4">
        <f t="shared" si="67"/>
        <v>2.2612315191774886E-3</v>
      </c>
      <c r="W52" t="str">
        <f t="shared" si="52"/>
        <v>1-0.034365279228028i</v>
      </c>
      <c r="X52" s="4">
        <f t="shared" si="68"/>
        <v>1.0005903119740966</v>
      </c>
      <c r="Y52" s="4">
        <f t="shared" si="69"/>
        <v>-3.435176065682144E-2</v>
      </c>
      <c r="Z52" t="str">
        <f t="shared" si="53"/>
        <v>0.999999990110949+0.000481113909192392i</v>
      </c>
      <c r="AA52" s="4">
        <f t="shared" si="70"/>
        <v>1.0000001058462402</v>
      </c>
      <c r="AB52" s="4">
        <f t="shared" si="71"/>
        <v>4.8111387682891538E-4</v>
      </c>
      <c r="AC52" s="47" t="str">
        <f t="shared" si="72"/>
        <v>14.492052883854-5.69265449631954i</v>
      </c>
      <c r="AD52" s="20">
        <f t="shared" si="73"/>
        <v>23.845790380950277</v>
      </c>
      <c r="AE52" s="43">
        <f t="shared" si="74"/>
        <v>-21.445503216169037</v>
      </c>
      <c r="AF52" t="str">
        <f t="shared" si="54"/>
        <v>247.084651286898</v>
      </c>
      <c r="AG52" t="str">
        <f t="shared" si="55"/>
        <v>1+0.347825437868104i</v>
      </c>
      <c r="AH52">
        <f t="shared" si="75"/>
        <v>1.058764626925238</v>
      </c>
      <c r="AI52">
        <f t="shared" si="76"/>
        <v>0.3347362582816677</v>
      </c>
      <c r="AJ52" t="str">
        <f t="shared" si="56"/>
        <v>1+0.00226123537320424i</v>
      </c>
      <c r="AK52">
        <f t="shared" si="77"/>
        <v>1.0000025565894384</v>
      </c>
      <c r="AL52">
        <f t="shared" si="78"/>
        <v>2.2612315191774886E-3</v>
      </c>
      <c r="AM52" t="str">
        <f t="shared" si="57"/>
        <v>1-0.00224632434256004i</v>
      </c>
      <c r="AN52">
        <f t="shared" si="79"/>
        <v>1.0000025229833434</v>
      </c>
      <c r="AO52">
        <f t="shared" si="80"/>
        <v>-2.2463205642741127E-3</v>
      </c>
      <c r="AP52" s="41" t="str">
        <f t="shared" si="81"/>
        <v>220.420193954118-76.6640661902564i</v>
      </c>
      <c r="AQ52">
        <f t="shared" si="82"/>
        <v>47.36097102048285</v>
      </c>
      <c r="AR52" s="43">
        <f t="shared" si="83"/>
        <v>-19.178120514756127</v>
      </c>
      <c r="AS52" t="str">
        <f t="shared" si="58"/>
        <v>-0.0000166666666666667</v>
      </c>
      <c r="AT52" t="str">
        <f t="shared" si="59"/>
        <v>4.6736779750118E-07i</v>
      </c>
      <c r="AU52">
        <f t="shared" si="84"/>
        <v>4.6736779750118001E-7</v>
      </c>
      <c r="AV52">
        <f t="shared" si="85"/>
        <v>1.5707963267948966</v>
      </c>
      <c r="AW52" t="str">
        <f t="shared" si="60"/>
        <v>1+0.000474968588671615i</v>
      </c>
      <c r="AX52">
        <f t="shared" si="86"/>
        <v>1.0000001127975737</v>
      </c>
      <c r="AY52">
        <f t="shared" si="87"/>
        <v>4.7496855295474822E-4</v>
      </c>
      <c r="AZ52" t="str">
        <f t="shared" si="61"/>
        <v>1+0.0161489320148349i</v>
      </c>
      <c r="BA52">
        <f t="shared" si="88"/>
        <v>1.0001303855024202</v>
      </c>
      <c r="BB52">
        <f t="shared" si="89"/>
        <v>1.6147528418530809E-2</v>
      </c>
      <c r="BC52" s="41" t="str">
        <f t="shared" si="90"/>
        <v>-0.558944510583026+35.6609737193859i</v>
      </c>
      <c r="BD52">
        <f t="shared" si="91"/>
        <v>31.044930744831664</v>
      </c>
      <c r="BE52" s="43">
        <f t="shared" si="92"/>
        <v>90.897971534463622</v>
      </c>
      <c r="BF52" s="41" t="str">
        <f t="shared" si="93"/>
        <v>194.905348980286+519.982595012432i</v>
      </c>
      <c r="BG52" s="20">
        <f t="shared" si="94"/>
        <v>54.890721125781937</v>
      </c>
      <c r="BH52" s="43">
        <f t="shared" si="95"/>
        <v>69.452468318294606</v>
      </c>
      <c r="BI52" s="41" t="str">
        <f t="shared" si="101"/>
        <v>2610.71259219969+7903.24970277576i</v>
      </c>
      <c r="BJ52" s="20">
        <f t="shared" si="97"/>
        <v>78.40590176531451</v>
      </c>
      <c r="BK52" s="43">
        <f t="shared" si="102"/>
        <v>71.719851019707534</v>
      </c>
      <c r="BL52">
        <f t="shared" si="99"/>
        <v>54.890721125781937</v>
      </c>
      <c r="BM52" s="43">
        <f t="shared" si="100"/>
        <v>69.452468318294606</v>
      </c>
    </row>
    <row r="53" spans="1:65" x14ac:dyDescent="0.25">
      <c r="N53" s="9">
        <v>35</v>
      </c>
      <c r="O53" s="34">
        <f t="shared" si="62"/>
        <v>22.387211385683404</v>
      </c>
      <c r="P53" s="33" t="str">
        <f t="shared" si="50"/>
        <v>16.5157725627975</v>
      </c>
      <c r="Q53" s="4" t="str">
        <f t="shared" si="63"/>
        <v>1+0.363961432085783i</v>
      </c>
      <c r="R53" s="4">
        <f t="shared" si="64"/>
        <v>1.0641747619850483</v>
      </c>
      <c r="S53" s="4">
        <f t="shared" si="65"/>
        <v>0.34905807785596937</v>
      </c>
      <c r="T53" s="4" t="str">
        <f t="shared" si="51"/>
        <v>1+0.00231390631129726i</v>
      </c>
      <c r="U53" s="4">
        <f t="shared" si="66"/>
        <v>1.0000026770776254</v>
      </c>
      <c r="V53" s="4">
        <f t="shared" si="67"/>
        <v>2.3139021816337897E-3</v>
      </c>
      <c r="W53" t="str">
        <f t="shared" si="52"/>
        <v>1-0.0351657494118125i</v>
      </c>
      <c r="X53" s="4">
        <f t="shared" si="68"/>
        <v>1.0006181239272525</v>
      </c>
      <c r="Y53" s="4">
        <f t="shared" si="69"/>
        <v>-3.5151264485026562E-2</v>
      </c>
      <c r="Z53" t="str">
        <f t="shared" si="53"/>
        <v>0.999999989644892+0.000492320491765374i</v>
      </c>
      <c r="AA53" s="4">
        <f t="shared" si="70"/>
        <v>1.0000001108346193</v>
      </c>
      <c r="AB53" s="4">
        <f t="shared" si="71"/>
        <v>4.9232045708728434E-4</v>
      </c>
      <c r="AC53" s="47" t="str">
        <f t="shared" si="72"/>
        <v>14.4078341816169-5.79460111811562i</v>
      </c>
      <c r="AD53" s="20">
        <f t="shared" si="73"/>
        <v>23.823108360630648</v>
      </c>
      <c r="AE53" s="43">
        <f t="shared" si="74"/>
        <v>-21.909204820781362</v>
      </c>
      <c r="AF53" t="str">
        <f t="shared" si="54"/>
        <v>247.084651286898</v>
      </c>
      <c r="AG53" t="str">
        <f t="shared" si="55"/>
        <v>1+0.355927333107417i</v>
      </c>
      <c r="AH53">
        <f t="shared" si="75"/>
        <v>1.0614538456536666</v>
      </c>
      <c r="AI53">
        <f t="shared" si="76"/>
        <v>0.34194550431601567</v>
      </c>
      <c r="AJ53" t="str">
        <f t="shared" si="56"/>
        <v>1+0.00231390631129726i</v>
      </c>
      <c r="AK53">
        <f t="shared" si="77"/>
        <v>1.0000026770776254</v>
      </c>
      <c r="AL53">
        <f t="shared" si="78"/>
        <v>2.3139021816337897E-3</v>
      </c>
      <c r="AM53" t="str">
        <f t="shared" si="57"/>
        <v>1-0.00229864795813136i</v>
      </c>
      <c r="AN53">
        <f t="shared" si="79"/>
        <v>1.0000026418877279</v>
      </c>
      <c r="AO53">
        <f t="shared" si="80"/>
        <v>-2.2986439096256261E-3</v>
      </c>
      <c r="AP53" s="41" t="str">
        <f t="shared" si="81"/>
        <v>219.304835200937-78.0528150257598i</v>
      </c>
      <c r="AQ53">
        <f t="shared" si="82"/>
        <v>47.338939267060589</v>
      </c>
      <c r="AR53" s="43">
        <f t="shared" si="83"/>
        <v>-19.591159986191428</v>
      </c>
      <c r="AS53" t="str">
        <f t="shared" si="58"/>
        <v>-0.0000166666666666667</v>
      </c>
      <c r="AT53" t="str">
        <f t="shared" si="59"/>
        <v>4.78254192000648E-07i</v>
      </c>
      <c r="AU53">
        <f t="shared" si="84"/>
        <v>4.7825419200064798E-7</v>
      </c>
      <c r="AV53">
        <f t="shared" si="85"/>
        <v>1.5707963267948966</v>
      </c>
      <c r="AW53" t="str">
        <f t="shared" si="60"/>
        <v>1+0.000486032028341145i</v>
      </c>
      <c r="AX53">
        <f t="shared" si="86"/>
        <v>1.0000001181135594</v>
      </c>
      <c r="AY53">
        <f t="shared" si="87"/>
        <v>4.8603199006983292E-4</v>
      </c>
      <c r="AZ53" t="str">
        <f t="shared" si="61"/>
        <v>1+0.0165250889635989i</v>
      </c>
      <c r="BA53">
        <f t="shared" si="88"/>
        <v>1.0001365299624121</v>
      </c>
      <c r="BB53">
        <f t="shared" si="89"/>
        <v>1.6523584994150672E-2</v>
      </c>
      <c r="BC53" s="41" t="str">
        <f t="shared" si="90"/>
        <v>-0.558944504640346+34.8492430810441i</v>
      </c>
      <c r="BD53">
        <f t="shared" si="91"/>
        <v>30.844984061637266</v>
      </c>
      <c r="BE53" s="43">
        <f t="shared" si="92"/>
        <v>90.918884100851187</v>
      </c>
      <c r="BF53" s="41" t="str">
        <f t="shared" si="93"/>
        <v>193.884283183317+505.340976118097i</v>
      </c>
      <c r="BG53" s="20">
        <f t="shared" si="94"/>
        <v>54.668092422267918</v>
      </c>
      <c r="BH53" s="43">
        <f t="shared" si="95"/>
        <v>69.009679280069832</v>
      </c>
      <c r="BI53" s="41" t="str">
        <f t="shared" si="101"/>
        <v>2597.50229151585+7686.23470279613i</v>
      </c>
      <c r="BJ53" s="20">
        <f t="shared" si="97"/>
        <v>78.183923328697858</v>
      </c>
      <c r="BK53" s="43">
        <f t="shared" si="102"/>
        <v>71.327724114659802</v>
      </c>
      <c r="BL53">
        <f t="shared" si="99"/>
        <v>54.668092422267918</v>
      </c>
      <c r="BM53" s="43">
        <f t="shared" si="100"/>
        <v>69.009679280069832</v>
      </c>
    </row>
    <row r="54" spans="1:65" ht="15.75" x14ac:dyDescent="0.25">
      <c r="A54" s="35" t="s">
        <v>225</v>
      </c>
      <c r="N54" s="9">
        <v>36</v>
      </c>
      <c r="O54" s="34">
        <f t="shared" si="62"/>
        <v>22.908676527677727</v>
      </c>
      <c r="P54" s="33" t="str">
        <f t="shared" si="50"/>
        <v>16.5157725627975</v>
      </c>
      <c r="Q54" s="4" t="str">
        <f t="shared" si="63"/>
        <v>1+0.372439182913849i</v>
      </c>
      <c r="R54" s="4">
        <f t="shared" si="64"/>
        <v>1.0671039991348243</v>
      </c>
      <c r="S54" s="4">
        <f t="shared" si="65"/>
        <v>0.35652368237077126</v>
      </c>
      <c r="T54" s="4" t="str">
        <f t="shared" si="51"/>
        <v>1+0.0023678041131447i</v>
      </c>
      <c r="U54" s="4">
        <f t="shared" si="66"/>
        <v>1.0000028032442301</v>
      </c>
      <c r="V54" s="4">
        <f t="shared" si="67"/>
        <v>2.3677996881312376E-3</v>
      </c>
      <c r="W54" t="str">
        <f t="shared" si="52"/>
        <v>1-0.0359848649414088i</v>
      </c>
      <c r="X54" s="4">
        <f t="shared" si="68"/>
        <v>1.0006472457888702</v>
      </c>
      <c r="Y54" s="4">
        <f t="shared" si="69"/>
        <v>-3.5969344604884108E-2</v>
      </c>
      <c r="Z54" t="str">
        <f t="shared" si="53"/>
        <v>0.999999989156871+0.000503788109179722i</v>
      </c>
      <c r="AA54" s="4">
        <f t="shared" si="70"/>
        <v>1.0000001160580938</v>
      </c>
      <c r="AB54" s="4">
        <f t="shared" si="71"/>
        <v>5.0378807202147962E-4</v>
      </c>
      <c r="AC54" s="47" t="str">
        <f t="shared" si="72"/>
        <v>14.3205915979505-5.89708218640355i</v>
      </c>
      <c r="AD54" s="20">
        <f t="shared" si="73"/>
        <v>23.799486349881963</v>
      </c>
      <c r="AE54" s="43">
        <f t="shared" si="74"/>
        <v>-22.381393935452977</v>
      </c>
      <c r="AF54" t="str">
        <f t="shared" si="54"/>
        <v>247.084651286898</v>
      </c>
      <c r="AG54" t="str">
        <f t="shared" si="55"/>
        <v>1+0.364217945729997i</v>
      </c>
      <c r="AH54">
        <f t="shared" si="75"/>
        <v>1.0642625202419649</v>
      </c>
      <c r="AI54">
        <f t="shared" si="76"/>
        <v>0.34928456770971777</v>
      </c>
      <c r="AJ54" t="str">
        <f t="shared" si="56"/>
        <v>1+0.0023678041131447i</v>
      </c>
      <c r="AK54">
        <f t="shared" si="77"/>
        <v>1.0000028032442301</v>
      </c>
      <c r="AL54">
        <f t="shared" si="78"/>
        <v>2.3677996881312376E-3</v>
      </c>
      <c r="AM54" t="str">
        <f t="shared" si="57"/>
        <v>1-0.00235219034727629i</v>
      </c>
      <c r="AN54">
        <f t="shared" si="79"/>
        <v>1.0000027663958884</v>
      </c>
      <c r="AO54">
        <f t="shared" si="80"/>
        <v>-2.3521860092248865E-3</v>
      </c>
      <c r="AP54" s="41" t="str">
        <f t="shared" si="81"/>
        <v>218.148946841147-79.44990335975i</v>
      </c>
      <c r="AQ54">
        <f t="shared" si="82"/>
        <v>47.31598838057262</v>
      </c>
      <c r="AR54" s="43">
        <f t="shared" si="83"/>
        <v>-20.011636980914258</v>
      </c>
      <c r="AS54" t="str">
        <f t="shared" si="58"/>
        <v>-0.0000166666666666667</v>
      </c>
      <c r="AT54" t="str">
        <f t="shared" si="59"/>
        <v>4.89394163203157E-07i</v>
      </c>
      <c r="AU54">
        <f t="shared" si="84"/>
        <v>4.8939416320315697E-7</v>
      </c>
      <c r="AV54">
        <f t="shared" si="85"/>
        <v>1.5707963267948966</v>
      </c>
      <c r="AW54" t="str">
        <f t="shared" si="60"/>
        <v>1+0.000497353168625494i</v>
      </c>
      <c r="AX54">
        <f t="shared" si="86"/>
        <v>1.0000001236800795</v>
      </c>
      <c r="AY54">
        <f t="shared" si="87"/>
        <v>4.973531276170445E-4</v>
      </c>
      <c r="AZ54" t="str">
        <f t="shared" si="61"/>
        <v>1+0.0169100077332668i</v>
      </c>
      <c r="BA54">
        <f t="shared" si="88"/>
        <v>1.0001429639614225</v>
      </c>
      <c r="BB54">
        <f t="shared" si="89"/>
        <v>1.6908396213409661E-2</v>
      </c>
      <c r="BC54" s="41" t="str">
        <f t="shared" si="90"/>
        <v>-0.558944498417596+34.0559899726679i</v>
      </c>
      <c r="BD54">
        <f t="shared" si="91"/>
        <v>30.645039890483758</v>
      </c>
      <c r="BE54" s="43">
        <f t="shared" si="92"/>
        <v>90.940283506223267</v>
      </c>
      <c r="BF54" s="41" t="str">
        <f t="shared" si="93"/>
        <v>192.826555920398+490.998065507281i</v>
      </c>
      <c r="BG54" s="20">
        <f t="shared" si="94"/>
        <v>54.444526240365718</v>
      </c>
      <c r="BH54" s="43">
        <f t="shared" si="95"/>
        <v>68.558889570770305</v>
      </c>
      <c r="BI54" s="41" t="str">
        <f t="shared" si="101"/>
        <v>2583.81195847663+7473.68643255291i</v>
      </c>
      <c r="BJ54" s="20">
        <f t="shared" si="97"/>
        <v>77.961028271056392</v>
      </c>
      <c r="BK54" s="43">
        <f t="shared" si="102"/>
        <v>70.92864652530902</v>
      </c>
      <c r="BL54">
        <f t="shared" si="99"/>
        <v>54.444526240365718</v>
      </c>
      <c r="BM54" s="43">
        <f t="shared" si="100"/>
        <v>68.558889570770305</v>
      </c>
    </row>
    <row r="55" spans="1:65" x14ac:dyDescent="0.25">
      <c r="A55" t="s">
        <v>191</v>
      </c>
      <c r="N55" s="9">
        <v>37</v>
      </c>
      <c r="O55" s="34">
        <f t="shared" si="62"/>
        <v>23.442288153199236</v>
      </c>
      <c r="P55" s="33" t="str">
        <f t="shared" si="50"/>
        <v>16.5157725627975</v>
      </c>
      <c r="Q55" s="4" t="str">
        <f t="shared" si="63"/>
        <v>1+0.381114405926512i</v>
      </c>
      <c r="R55" s="4">
        <f t="shared" si="64"/>
        <v>1.070162693427835</v>
      </c>
      <c r="S55" s="4">
        <f t="shared" si="65"/>
        <v>0.36412043999856841</v>
      </c>
      <c r="T55" s="4" t="str">
        <f t="shared" si="51"/>
        <v>1+0.00242295735607452i</v>
      </c>
      <c r="U55" s="4">
        <f t="shared" si="66"/>
        <v>1.0000029353568665</v>
      </c>
      <c r="V55" s="4">
        <f t="shared" si="67"/>
        <v>2.4229526145879208E-3</v>
      </c>
      <c r="W55" t="str">
        <f t="shared" si="52"/>
        <v>1-0.036823060122713i</v>
      </c>
      <c r="X55" s="4">
        <f t="shared" si="68"/>
        <v>1.0006777392131798</v>
      </c>
      <c r="Y55" s="4">
        <f t="shared" si="69"/>
        <v>-3.6806430390766302E-2</v>
      </c>
      <c r="Z55" t="str">
        <f t="shared" si="53"/>
        <v>0.99999998864585+0.000515522841717982i</v>
      </c>
      <c r="AA55" s="4">
        <f t="shared" si="70"/>
        <v>1.000000121527743</v>
      </c>
      <c r="AB55" s="4">
        <f t="shared" si="71"/>
        <v>5.1552280190220819E-4</v>
      </c>
      <c r="AC55" s="47" t="str">
        <f t="shared" si="72"/>
        <v>14.2302568539377-6.00001503154268i</v>
      </c>
      <c r="AD55" s="20">
        <f t="shared" si="73"/>
        <v>23.774890944672634</v>
      </c>
      <c r="AE55" s="43">
        <f t="shared" si="74"/>
        <v>-22.862129888713174</v>
      </c>
      <c r="AF55" t="str">
        <f t="shared" si="54"/>
        <v>247.084651286898</v>
      </c>
      <c r="AG55" t="str">
        <f t="shared" si="55"/>
        <v>1+0.372701671528399i</v>
      </c>
      <c r="AH55">
        <f t="shared" si="75"/>
        <v>1.0671956409019212</v>
      </c>
      <c r="AI55">
        <f t="shared" si="76"/>
        <v>0.35675417640239854</v>
      </c>
      <c r="AJ55" t="str">
        <f t="shared" si="56"/>
        <v>1+0.00242295735607452i</v>
      </c>
      <c r="AK55">
        <f t="shared" si="77"/>
        <v>1.0000029353568665</v>
      </c>
      <c r="AL55">
        <f t="shared" si="78"/>
        <v>2.4229526145879208E-3</v>
      </c>
      <c r="AM55" t="str">
        <f t="shared" si="57"/>
        <v>1-0.00240697989887826i</v>
      </c>
      <c r="AN55">
        <f t="shared" si="79"/>
        <v>1.000002896771921</v>
      </c>
      <c r="AO55">
        <f t="shared" si="80"/>
        <v>-2.4069752505731616E-3</v>
      </c>
      <c r="AP55" s="41" t="str">
        <f t="shared" si="81"/>
        <v>216.951572259212-80.8542658372828i</v>
      </c>
      <c r="AQ55">
        <f t="shared" si="82"/>
        <v>47.292085168120259</v>
      </c>
      <c r="AR55" s="43">
        <f t="shared" si="83"/>
        <v>-20.439593195997318</v>
      </c>
      <c r="AS55" t="str">
        <f t="shared" si="58"/>
        <v>-0.0000166666666666667</v>
      </c>
      <c r="AT55" t="str">
        <f t="shared" si="59"/>
        <v>5.00793617668895E-07i</v>
      </c>
      <c r="AU55">
        <f t="shared" si="84"/>
        <v>5.00793617668895E-7</v>
      </c>
      <c r="AV55">
        <f t="shared" si="85"/>
        <v>1.5707963267948966</v>
      </c>
      <c r="AW55" t="str">
        <f t="shared" si="60"/>
        <v>1+0.000508938012143097i</v>
      </c>
      <c r="AX55">
        <f t="shared" si="86"/>
        <v>1.0000001295089418</v>
      </c>
      <c r="AY55">
        <f t="shared" si="87"/>
        <v>5.0893796820175206E-4</v>
      </c>
      <c r="AZ55" t="str">
        <f t="shared" si="61"/>
        <v>1+0.0173038924128653i</v>
      </c>
      <c r="BA55">
        <f t="shared" si="88"/>
        <v>1.0001497011411022</v>
      </c>
      <c r="BB55">
        <f t="shared" si="89"/>
        <v>1.7302165652186514E-2</v>
      </c>
      <c r="BC55" s="41" t="str">
        <f t="shared" si="90"/>
        <v>-0.558944491901576+33.2807938009592i</v>
      </c>
      <c r="BD55">
        <f t="shared" si="91"/>
        <v>30.445098349692181</v>
      </c>
      <c r="BE55" s="43">
        <f t="shared" si="92"/>
        <v>90.962181070694584</v>
      </c>
      <c r="BF55" s="41" t="str">
        <f t="shared" si="93"/>
        <v>191.731339380575+476.947919443794i</v>
      </c>
      <c r="BG55" s="20">
        <f t="shared" si="94"/>
        <v>54.219989294364808</v>
      </c>
      <c r="BH55" s="43">
        <f t="shared" si="95"/>
        <v>68.100051181981343</v>
      </c>
      <c r="BI55" s="41" t="str">
        <f t="shared" si="101"/>
        <v>2569.63026293488+7265.51358768923i</v>
      </c>
      <c r="BJ55" s="20">
        <f t="shared" si="97"/>
        <v>77.73718351781244</v>
      </c>
      <c r="BK55" s="43">
        <f t="shared" si="102"/>
        <v>70.522587874697237</v>
      </c>
      <c r="BL55">
        <f t="shared" si="99"/>
        <v>54.219989294364808</v>
      </c>
      <c r="BM55" s="43">
        <f t="shared" si="100"/>
        <v>68.100051181981343</v>
      </c>
    </row>
    <row r="56" spans="1:65" x14ac:dyDescent="0.25">
      <c r="A56" t="s">
        <v>189</v>
      </c>
      <c r="B56" s="3">
        <f>RFBT</f>
        <v>21000</v>
      </c>
      <c r="C56" s="2" t="s">
        <v>36</v>
      </c>
      <c r="E56" t="s">
        <v>192</v>
      </c>
      <c r="N56" s="9">
        <v>38</v>
      </c>
      <c r="O56" s="34">
        <f t="shared" si="62"/>
        <v>23.988329190194907</v>
      </c>
      <c r="P56" s="33" t="str">
        <f t="shared" si="50"/>
        <v>16.5157725627975</v>
      </c>
      <c r="Q56" s="4" t="str">
        <f t="shared" si="63"/>
        <v>1+0.389991700841842i</v>
      </c>
      <c r="R56" s="4">
        <f t="shared" si="64"/>
        <v>1.0733561975064534</v>
      </c>
      <c r="S56" s="4">
        <f t="shared" si="65"/>
        <v>0.37184887032330277</v>
      </c>
      <c r="T56" s="4" t="str">
        <f t="shared" si="51"/>
        <v>1+0.00247939528306615i</v>
      </c>
      <c r="U56" s="4">
        <f t="shared" si="66"/>
        <v>1.000003073695761</v>
      </c>
      <c r="V56" s="4">
        <f t="shared" si="67"/>
        <v>2.4793902024725671E-3</v>
      </c>
      <c r="W56" t="str">
        <f t="shared" si="52"/>
        <v>1-0.037680779377905i</v>
      </c>
      <c r="X56" s="4">
        <f t="shared" si="68"/>
        <v>1.0007096687523942</v>
      </c>
      <c r="Y56" s="4">
        <f t="shared" si="69"/>
        <v>-3.7662960981505005E-2</v>
      </c>
      <c r="Z56" t="str">
        <f t="shared" si="53"/>
        <v>0.999999988110745+0.000527530911290669i</v>
      </c>
      <c r="AA56" s="4">
        <f t="shared" si="70"/>
        <v>1.0000001272551682</v>
      </c>
      <c r="AB56" s="4">
        <f t="shared" si="71"/>
        <v>5.2753086862729933E-4</v>
      </c>
      <c r="AC56" s="47" t="str">
        <f t="shared" si="72"/>
        <v>14.1367635342096-6.10331174614319i</v>
      </c>
      <c r="AD56" s="20">
        <f t="shared" si="73"/>
        <v>23.749288018370343</v>
      </c>
      <c r="AE56" s="43">
        <f t="shared" si="74"/>
        <v>-23.351466292406258</v>
      </c>
      <c r="AF56" t="str">
        <f t="shared" si="54"/>
        <v>247.084651286898</v>
      </c>
      <c r="AG56" t="str">
        <f t="shared" si="55"/>
        <v>1+0.381383008686333i</v>
      </c>
      <c r="AH56">
        <f t="shared" si="75"/>
        <v>1.0702583796983978</v>
      </c>
      <c r="AI56">
        <f t="shared" si="76"/>
        <v>0.36435495575694155</v>
      </c>
      <c r="AJ56" t="str">
        <f t="shared" si="56"/>
        <v>1+0.00247939528306615i</v>
      </c>
      <c r="AK56">
        <f t="shared" si="77"/>
        <v>1.000003073695761</v>
      </c>
      <c r="AL56">
        <f t="shared" si="78"/>
        <v>2.4793902024725671E-3</v>
      </c>
      <c r="AM56" t="str">
        <f t="shared" si="57"/>
        <v>1-0.00246304566308276i</v>
      </c>
      <c r="AN56">
        <f t="shared" si="79"/>
        <v>1.0000030332923688</v>
      </c>
      <c r="AO56">
        <f t="shared" si="80"/>
        <v>-2.4630406823349261E-3</v>
      </c>
      <c r="AP56" s="41" t="str">
        <f t="shared" si="81"/>
        <v>215.711776070519-82.2647664266947i</v>
      </c>
      <c r="AQ56">
        <f t="shared" si="82"/>
        <v>47.267195670935607</v>
      </c>
      <c r="AR56" s="43">
        <f t="shared" si="83"/>
        <v>-20.875064451047614</v>
      </c>
      <c r="AS56" t="str">
        <f t="shared" si="58"/>
        <v>-0.0000166666666666667</v>
      </c>
      <c r="AT56" t="str">
        <f t="shared" si="59"/>
        <v>5.12458599539507E-07i</v>
      </c>
      <c r="AU56">
        <f t="shared" si="84"/>
        <v>5.1245859953950697E-7</v>
      </c>
      <c r="AV56">
        <f t="shared" si="85"/>
        <v>1.5707963267948966</v>
      </c>
      <c r="AW56" t="str">
        <f t="shared" si="60"/>
        <v>1+0.000520792701331327i</v>
      </c>
      <c r="AX56">
        <f t="shared" si="86"/>
        <v>1.0000001356125097</v>
      </c>
      <c r="AY56">
        <f t="shared" si="87"/>
        <v>5.2079265424732793E-4</v>
      </c>
      <c r="AZ56" t="str">
        <f t="shared" si="61"/>
        <v>1+0.0177069518452651i</v>
      </c>
      <c r="BA56">
        <f t="shared" si="88"/>
        <v>1.0001567557856372</v>
      </c>
      <c r="BB56">
        <f t="shared" si="89"/>
        <v>1.7705101603524103E-2</v>
      </c>
      <c r="BC56" s="41" t="str">
        <f t="shared" si="90"/>
        <v>-0.558944485078463+32.5232435466469i</v>
      </c>
      <c r="BD56">
        <f t="shared" si="91"/>
        <v>30.245159563153369</v>
      </c>
      <c r="BE56" s="43">
        <f t="shared" si="92"/>
        <v>90.984588376642449</v>
      </c>
      <c r="BF56" s="41" t="str">
        <f t="shared" si="93"/>
        <v>190.597828346621+463.184815825677i</v>
      </c>
      <c r="BG56" s="20">
        <f t="shared" si="94"/>
        <v>53.994447581523708</v>
      </c>
      <c r="BH56" s="43">
        <f t="shared" si="95"/>
        <v>67.633122084236192</v>
      </c>
      <c r="BI56" s="41" t="str">
        <f t="shared" si="101"/>
        <v>2554.94612620232+7061.62806653172i</v>
      </c>
      <c r="BJ56" s="20">
        <f t="shared" si="97"/>
        <v>77.512355234088972</v>
      </c>
      <c r="BK56" s="43">
        <f t="shared" si="102"/>
        <v>70.109523925594814</v>
      </c>
      <c r="BL56">
        <f t="shared" si="99"/>
        <v>53.994447581523708</v>
      </c>
      <c r="BM56" s="43">
        <f t="shared" si="100"/>
        <v>67.633122084236192</v>
      </c>
    </row>
    <row r="57" spans="1:65" x14ac:dyDescent="0.25">
      <c r="A57" t="s">
        <v>190</v>
      </c>
      <c r="B57" s="3">
        <f>RFBB</f>
        <v>14000</v>
      </c>
      <c r="C57" s="2" t="s">
        <v>36</v>
      </c>
      <c r="E57" t="s">
        <v>193</v>
      </c>
      <c r="N57" s="9">
        <v>39</v>
      </c>
      <c r="O57" s="34">
        <f t="shared" si="62"/>
        <v>24.547089156850316</v>
      </c>
      <c r="P57" s="33" t="str">
        <f t="shared" si="50"/>
        <v>16.5157725627975</v>
      </c>
      <c r="Q57" s="4" t="str">
        <f t="shared" si="63"/>
        <v>1+0.399075774519108i</v>
      </c>
      <c r="R57" s="4">
        <f t="shared" si="64"/>
        <v>1.076690054661984</v>
      </c>
      <c r="S57" s="4">
        <f t="shared" si="65"/>
        <v>0.37970937717420938</v>
      </c>
      <c r="T57" s="4" t="str">
        <f t="shared" si="51"/>
        <v>1+0.00253714781825554i</v>
      </c>
      <c r="U57" s="4">
        <f t="shared" si="66"/>
        <v>1.0000032185543462</v>
      </c>
      <c r="V57" s="4">
        <f t="shared" si="67"/>
        <v>2.5371423743023804E-3</v>
      </c>
      <c r="W57" t="str">
        <f t="shared" si="52"/>
        <v>1-0.0385584774810873i</v>
      </c>
      <c r="X57" s="4">
        <f t="shared" si="68"/>
        <v>1.0007431019925441</v>
      </c>
      <c r="Y57" s="4">
        <f t="shared" si="69"/>
        <v>-3.8539385490974763E-2</v>
      </c>
      <c r="Z57" t="str">
        <f t="shared" si="53"/>
        <v>0.999999987550422+0.000539818684735221i</v>
      </c>
      <c r="AA57" s="4">
        <f t="shared" si="70"/>
        <v>1.0000001332525195</v>
      </c>
      <c r="AB57" s="4">
        <f t="shared" si="71"/>
        <v>5.3981863902059681E-4</v>
      </c>
      <c r="AC57" s="47" t="str">
        <f t="shared" si="72"/>
        <v>14.0400474295954-6.20687911685468i</v>
      </c>
      <c r="AD57" s="20">
        <f t="shared" si="73"/>
        <v>23.722642745481043</v>
      </c>
      <c r="AE57" s="43">
        <f t="shared" si="74"/>
        <v>-23.849450666930906</v>
      </c>
      <c r="AF57" t="str">
        <f t="shared" si="54"/>
        <v>247.084651286898</v>
      </c>
      <c r="AG57" t="str">
        <f t="shared" si="55"/>
        <v>1+0.390266560163673i</v>
      </c>
      <c r="AH57">
        <f t="shared" si="75"/>
        <v>1.0734560950416117</v>
      </c>
      <c r="AI57">
        <f t="shared" si="76"/>
        <v>0.37208742191587379</v>
      </c>
      <c r="AJ57" t="str">
        <f t="shared" si="56"/>
        <v>1+0.00253714781825554i</v>
      </c>
      <c r="AK57">
        <f t="shared" si="77"/>
        <v>1.0000032185543462</v>
      </c>
      <c r="AL57">
        <f t="shared" si="78"/>
        <v>2.5371423743023804E-3</v>
      </c>
      <c r="AM57" t="str">
        <f t="shared" si="57"/>
        <v>1-0.00252041736670008i</v>
      </c>
      <c r="AN57">
        <f t="shared" si="79"/>
        <v>1.0000031762468069</v>
      </c>
      <c r="AO57">
        <f t="shared" si="80"/>
        <v>-2.5204120297335373E-3</v>
      </c>
      <c r="AP57" s="41" t="str">
        <f t="shared" si="81"/>
        <v>214.428648579822-83.6801972440037i</v>
      </c>
      <c r="AQ57">
        <f t="shared" si="82"/>
        <v>47.241285183366159</v>
      </c>
      <c r="AR57" s="43">
        <f t="shared" si="83"/>
        <v>-21.318080307549529</v>
      </c>
      <c r="AS57" t="str">
        <f t="shared" si="58"/>
        <v>-0.0000166666666666667</v>
      </c>
      <c r="AT57" t="str">
        <f t="shared" si="59"/>
        <v>5.24395293742787E-07i</v>
      </c>
      <c r="AU57">
        <f t="shared" si="84"/>
        <v>5.24395293742787E-7</v>
      </c>
      <c r="AV57">
        <f t="shared" si="85"/>
        <v>1.5707963267948966</v>
      </c>
      <c r="AW57" t="str">
        <f t="shared" si="60"/>
        <v>1+0.000532923521703309i</v>
      </c>
      <c r="AX57">
        <f t="shared" si="86"/>
        <v>1.0000001420037299</v>
      </c>
      <c r="AY57">
        <f t="shared" si="87"/>
        <v>5.329234712518954E-4</v>
      </c>
      <c r="AZ57" t="str">
        <f t="shared" si="61"/>
        <v>1+0.0181193997379125i</v>
      </c>
      <c r="BA57">
        <f t="shared" si="88"/>
        <v>1.0001641428519932</v>
      </c>
      <c r="BB57">
        <f t="shared" si="89"/>
        <v>1.8117417185740184E-2</v>
      </c>
      <c r="BC57" s="41" t="str">
        <f t="shared" si="90"/>
        <v>-0.558944477933788+31.7829375465587i</v>
      </c>
      <c r="BD57">
        <f t="shared" si="91"/>
        <v>30.045223660589762</v>
      </c>
      <c r="BE57" s="43">
        <f t="shared" si="92"/>
        <v>91.007517274714502</v>
      </c>
      <c r="BF57" s="41" t="str">
        <f t="shared" si="93"/>
        <v>189.425244349331+449.703251413121i</v>
      </c>
      <c r="BG57" s="20">
        <f t="shared" si="94"/>
        <v>53.767866406070802</v>
      </c>
      <c r="BH57" s="43">
        <f t="shared" si="95"/>
        <v>67.158066607783582</v>
      </c>
      <c r="BI57" s="41" t="str">
        <f t="shared" si="101"/>
        <v>2539.74877385539+6861.94493016741i</v>
      </c>
      <c r="BJ57" s="20">
        <f t="shared" si="97"/>
        <v>77.286508843955929</v>
      </c>
      <c r="BK57" s="43">
        <f t="shared" si="102"/>
        <v>69.689436967164951</v>
      </c>
      <c r="BL57">
        <f t="shared" si="99"/>
        <v>53.767866406070802</v>
      </c>
      <c r="BM57" s="43">
        <f t="shared" si="100"/>
        <v>67.158066607783582</v>
      </c>
    </row>
    <row r="58" spans="1:65" x14ac:dyDescent="0.25">
      <c r="A58" t="s">
        <v>180</v>
      </c>
      <c r="B58" s="3">
        <f>RCOMP</f>
        <v>35600</v>
      </c>
      <c r="C58" s="2" t="s">
        <v>36</v>
      </c>
      <c r="E58" t="s">
        <v>186</v>
      </c>
      <c r="N58" s="9">
        <v>40</v>
      </c>
      <c r="O58" s="34">
        <f t="shared" si="62"/>
        <v>25.118864315095799</v>
      </c>
      <c r="P58" s="33" t="str">
        <f t="shared" si="50"/>
        <v>16.5157725627975</v>
      </c>
      <c r="Q58" s="4" t="str">
        <f t="shared" si="63"/>
        <v>1+0.408371443454419i</v>
      </c>
      <c r="R58" s="4">
        <f t="shared" si="64"/>
        <v>1.0801700032073867</v>
      </c>
      <c r="S58" s="4">
        <f t="shared" si="65"/>
        <v>0.38770224181212537</v>
      </c>
      <c r="T58" s="4" t="str">
        <f t="shared" si="51"/>
        <v>1+0.00259624558280131i</v>
      </c>
      <c r="U58" s="4">
        <f t="shared" si="66"/>
        <v>1.0000033702398838</v>
      </c>
      <c r="V58" s="4">
        <f t="shared" si="67"/>
        <v>2.5962397495014641E-3</v>
      </c>
      <c r="W58" t="str">
        <f t="shared" si="52"/>
        <v>1-0.039456619799412i</v>
      </c>
      <c r="X58" s="4">
        <f t="shared" si="68"/>
        <v>1.0007781096956485</v>
      </c>
      <c r="Y58" s="4">
        <f t="shared" si="69"/>
        <v>-3.9436163222385072E-2</v>
      </c>
      <c r="Z58" t="str">
        <f t="shared" si="53"/>
        <v>0.999999986963691+0.000552392677191768i</v>
      </c>
      <c r="AA58" s="4">
        <f t="shared" si="70"/>
        <v>1.0000001395325164</v>
      </c>
      <c r="AB58" s="4">
        <f t="shared" si="71"/>
        <v>5.5239262820766641E-4</v>
      </c>
      <c r="AC58" s="47" t="str">
        <f t="shared" si="72"/>
        <v>13.9400468971858-6.31061857638946i</v>
      </c>
      <c r="AD58" s="20">
        <f t="shared" si="73"/>
        <v>23.694919629343239</v>
      </c>
      <c r="AE58" s="43">
        <f t="shared" si="74"/>
        <v>-24.356124062406863</v>
      </c>
      <c r="AF58" t="str">
        <f t="shared" si="54"/>
        <v>247.084651286898</v>
      </c>
      <c r="AG58" t="str">
        <f t="shared" si="55"/>
        <v>1+0.399357036137004i</v>
      </c>
      <c r="AH58">
        <f t="shared" si="75"/>
        <v>1.0767943361255816</v>
      </c>
      <c r="AI58">
        <f t="shared" si="76"/>
        <v>0.37995197505950623</v>
      </c>
      <c r="AJ58" t="str">
        <f t="shared" si="56"/>
        <v>1+0.00259624558280131i</v>
      </c>
      <c r="AK58">
        <f t="shared" si="77"/>
        <v>1.0000033702398838</v>
      </c>
      <c r="AL58">
        <f t="shared" si="78"/>
        <v>2.5962397495014641E-3</v>
      </c>
      <c r="AM58" t="str">
        <f t="shared" si="57"/>
        <v>1-0.00257912542896691i</v>
      </c>
      <c r="AN58">
        <f t="shared" si="79"/>
        <v>1.0000033259384582</v>
      </c>
      <c r="AO58">
        <f t="shared" si="80"/>
        <v>-2.5791197103052555E-3</v>
      </c>
      <c r="AP58" s="41" t="str">
        <f t="shared" si="81"/>
        <v>213.101310486418-85.099277625527i</v>
      </c>
      <c r="AQ58">
        <f t="shared" si="82"/>
        <v>47.214318275569326</v>
      </c>
      <c r="AR58" s="43">
        <f t="shared" si="83"/>
        <v>-21.768663682578534</v>
      </c>
      <c r="AS58" t="str">
        <f t="shared" si="58"/>
        <v>-0.0000166666666666667</v>
      </c>
      <c r="AT58" t="str">
        <f t="shared" si="59"/>
        <v>5.36610029272002E-07i</v>
      </c>
      <c r="AU58">
        <f t="shared" si="84"/>
        <v>5.3661002927200201E-7</v>
      </c>
      <c r="AV58">
        <f t="shared" si="85"/>
        <v>1.5707963267948966</v>
      </c>
      <c r="AW58" t="str">
        <f t="shared" si="60"/>
        <v>1+0.000545336905180579i</v>
      </c>
      <c r="AX58">
        <f t="shared" si="86"/>
        <v>1.0000001486961589</v>
      </c>
      <c r="AY58">
        <f t="shared" si="87"/>
        <v>5.4533685112091593E-4</v>
      </c>
      <c r="AZ58" t="str">
        <f t="shared" si="61"/>
        <v>1+0.0185414547761397i</v>
      </c>
      <c r="BA58">
        <f t="shared" si="88"/>
        <v>1.000171878001584</v>
      </c>
      <c r="BB58">
        <f t="shared" si="89"/>
        <v>1.8539330452929687E-2</v>
      </c>
      <c r="BC58" s="41" t="str">
        <f t="shared" si="90"/>
        <v>-0.558944470452399+31.0594832806542i</v>
      </c>
      <c r="BD58">
        <f t="shared" si="91"/>
        <v>29.845290777829575</v>
      </c>
      <c r="BE58" s="43">
        <f t="shared" si="92"/>
        <v>91.030979889969046</v>
      </c>
      <c r="BF58" s="41" t="str">
        <f t="shared" si="93"/>
        <v>188.212840032925+436.497938893085i</v>
      </c>
      <c r="BG58" s="20">
        <f t="shared" si="94"/>
        <v>53.540210407172815</v>
      </c>
      <c r="BH58" s="43">
        <f t="shared" si="95"/>
        <v>66.674855827562212</v>
      </c>
      <c r="BI58" s="41" t="str">
        <f t="shared" si="101"/>
        <v>2524.02779146326+6666.38236080668i</v>
      </c>
      <c r="BJ58" s="20">
        <f t="shared" si="97"/>
        <v>77.059609053398901</v>
      </c>
      <c r="BK58" s="43">
        <f t="shared" si="102"/>
        <v>69.262316207390541</v>
      </c>
      <c r="BL58">
        <f t="shared" si="99"/>
        <v>53.540210407172815</v>
      </c>
      <c r="BM58" s="43">
        <f t="shared" si="100"/>
        <v>66.674855827562212</v>
      </c>
    </row>
    <row r="59" spans="1:65" x14ac:dyDescent="0.25">
      <c r="A59" t="s">
        <v>184</v>
      </c>
      <c r="B59" s="3">
        <f>CCOMP</f>
        <v>3.3000000000000002E-9</v>
      </c>
      <c r="C59" s="2" t="s">
        <v>162</v>
      </c>
      <c r="E59" t="s">
        <v>187</v>
      </c>
      <c r="N59" s="9">
        <v>41</v>
      </c>
      <c r="O59" s="34">
        <f t="shared" si="62"/>
        <v>25.703957827688647</v>
      </c>
      <c r="P59" s="33" t="str">
        <f t="shared" si="50"/>
        <v>16.5157725627975</v>
      </c>
      <c r="Q59" s="4" t="str">
        <f t="shared" si="63"/>
        <v>1+0.417883636334482i</v>
      </c>
      <c r="R59" s="4">
        <f t="shared" si="64"/>
        <v>1.0838019807677644</v>
      </c>
      <c r="S59" s="4">
        <f t="shared" si="65"/>
        <v>0.3958276160685823</v>
      </c>
      <c r="T59" s="4" t="str">
        <f t="shared" si="51"/>
        <v>1+0.00265671991112044i</v>
      </c>
      <c r="U59" s="4">
        <f t="shared" si="66"/>
        <v>1.0000035290741158</v>
      </c>
      <c r="V59" s="4">
        <f t="shared" si="67"/>
        <v>2.6567136606282333E-3</v>
      </c>
      <c r="W59" t="str">
        <f t="shared" si="52"/>
        <v>1-0.0403756825398242i</v>
      </c>
      <c r="X59" s="4">
        <f t="shared" si="68"/>
        <v>1.0008147659485029</v>
      </c>
      <c r="Y59" s="4">
        <f t="shared" si="69"/>
        <v>-4.0353763886284484E-2</v>
      </c>
      <c r="Z59" t="str">
        <f t="shared" si="53"/>
        <v>0.999999986349309+0.000565259555557539i</v>
      </c>
      <c r="AA59" s="4">
        <f t="shared" si="70"/>
        <v>1.0000001461084811</v>
      </c>
      <c r="AB59" s="4">
        <f t="shared" si="71"/>
        <v>5.6525950307012866E-4</v>
      </c>
      <c r="AC59" s="47" t="str">
        <f t="shared" si="72"/>
        <v>13.8367032369803-6.41442617802958i</v>
      </c>
      <c r="AD59" s="20">
        <f t="shared" si="73"/>
        <v>23.666082533966989</v>
      </c>
      <c r="AE59" s="43">
        <f t="shared" si="74"/>
        <v>-24.871520677332899</v>
      </c>
      <c r="AF59" t="str">
        <f t="shared" si="54"/>
        <v>247.084651286898</v>
      </c>
      <c r="AG59" t="str">
        <f t="shared" si="55"/>
        <v>1+0.408659256497007i</v>
      </c>
      <c r="AH59">
        <f t="shared" si="75"/>
        <v>1.0802788472985512</v>
      </c>
      <c r="AI59">
        <f t="shared" si="76"/>
        <v>0.38794889259036708</v>
      </c>
      <c r="AJ59" t="str">
        <f t="shared" si="56"/>
        <v>1+0.00265671991112044i</v>
      </c>
      <c r="AK59">
        <f t="shared" si="77"/>
        <v>1.0000035290741158</v>
      </c>
      <c r="AL59">
        <f t="shared" si="78"/>
        <v>2.6567136606282333E-3</v>
      </c>
      <c r="AM59" t="str">
        <f t="shared" si="57"/>
        <v>1-0.00263920097767493i</v>
      </c>
      <c r="AN59">
        <f t="shared" si="79"/>
        <v>1.0000034826848356</v>
      </c>
      <c r="AO59">
        <f t="shared" si="80"/>
        <v>-2.6391948500197196E-3</v>
      </c>
      <c r="AP59" s="41" t="str">
        <f t="shared" si="81"/>
        <v>211.728917827737-86.5206534788376i</v>
      </c>
      <c r="AQ59">
        <f t="shared" si="82"/>
        <v>47.186258820113551</v>
      </c>
      <c r="AR59" s="43">
        <f t="shared" si="83"/>
        <v>-22.22683045829217</v>
      </c>
      <c r="AS59" t="str">
        <f t="shared" si="58"/>
        <v>-0.0000166666666666667</v>
      </c>
      <c r="AT59" t="str">
        <f t="shared" si="59"/>
        <v>5.4910928254161E-07i</v>
      </c>
      <c r="AU59">
        <f t="shared" si="84"/>
        <v>5.4910928254160998E-7</v>
      </c>
      <c r="AV59">
        <f t="shared" si="85"/>
        <v>1.5707963267948966</v>
      </c>
      <c r="AW59" t="str">
        <f t="shared" si="60"/>
        <v>1+0.000558039433503359i</v>
      </c>
      <c r="AX59">
        <f t="shared" si="86"/>
        <v>1.0000001557039926</v>
      </c>
      <c r="AY59">
        <f t="shared" si="87"/>
        <v>5.5803937557738687E-4</v>
      </c>
      <c r="AZ59" t="str">
        <f t="shared" si="61"/>
        <v>1+0.0189733407391142i</v>
      </c>
      <c r="BA59">
        <f t="shared" si="88"/>
        <v>1.000179977633427</v>
      </c>
      <c r="BB59">
        <f t="shared" si="89"/>
        <v>1.8971064507905616E-2</v>
      </c>
      <c r="BC59" s="41" t="str">
        <f t="shared" si="90"/>
        <v>-0.558944462618419+30.3524971639057i</v>
      </c>
      <c r="BD59">
        <f t="shared" si="91"/>
        <v>29.645361057093851</v>
      </c>
      <c r="BE59" s="43">
        <f t="shared" si="92"/>
        <v>91.054988628150724</v>
      </c>
      <c r="BF59" s="41" t="str">
        <f t="shared" si="93"/>
        <v>186.959903721521+423.563803751334i</v>
      </c>
      <c r="BG59" s="20">
        <f t="shared" si="94"/>
        <v>53.311443591060844</v>
      </c>
      <c r="BH59" s="43">
        <f t="shared" si="95"/>
        <v>66.183467950817828</v>
      </c>
      <c r="BI59" s="41" t="str">
        <f t="shared" si="101"/>
        <v>2507.77318313968+6474.86161804733i</v>
      </c>
      <c r="BJ59" s="20">
        <f t="shared" si="97"/>
        <v>76.831619877207388</v>
      </c>
      <c r="BK59" s="43">
        <f t="shared" si="102"/>
        <v>68.828158169858554</v>
      </c>
      <c r="BL59">
        <f t="shared" si="99"/>
        <v>53.311443591060844</v>
      </c>
      <c r="BM59" s="43">
        <f t="shared" si="100"/>
        <v>66.183467950817828</v>
      </c>
    </row>
    <row r="60" spans="1:65" x14ac:dyDescent="0.25">
      <c r="A60" t="s">
        <v>185</v>
      </c>
      <c r="B60" s="3">
        <f>CHF</f>
        <v>1E-10</v>
      </c>
      <c r="C60" s="2" t="s">
        <v>162</v>
      </c>
      <c r="E60" t="s">
        <v>188</v>
      </c>
      <c r="N60" s="9">
        <v>42</v>
      </c>
      <c r="O60" s="34">
        <f t="shared" si="62"/>
        <v>26.302679918953825</v>
      </c>
      <c r="P60" s="33" t="str">
        <f t="shared" si="50"/>
        <v>16.5157725627975</v>
      </c>
      <c r="Q60" s="4" t="str">
        <f t="shared" si="63"/>
        <v>1+0.427617396649874i</v>
      </c>
      <c r="R60" s="4">
        <f t="shared" si="64"/>
        <v>1.0875921284735448</v>
      </c>
      <c r="S60" s="4">
        <f t="shared" si="65"/>
        <v>0.40408551546790344</v>
      </c>
      <c r="T60" s="4" t="str">
        <f t="shared" si="51"/>
        <v>1+0.00271860286750229i</v>
      </c>
      <c r="U60" s="4">
        <f t="shared" si="66"/>
        <v>1.0000036953939477</v>
      </c>
      <c r="V60" s="4">
        <f t="shared" si="67"/>
        <v>2.7185961699805602E-3</v>
      </c>
      <c r="W60" t="str">
        <f t="shared" si="52"/>
        <v>1-0.0413161530015545i</v>
      </c>
      <c r="X60" s="4">
        <f t="shared" si="68"/>
        <v>1.0008531483183973</v>
      </c>
      <c r="Y60" s="4">
        <f t="shared" si="69"/>
        <v>-4.1292667822274524E-2</v>
      </c>
      <c r="Z60" t="str">
        <f t="shared" si="53"/>
        <v>0.999999985705972+0.000578426142021762i</v>
      </c>
      <c r="AA60" s="4">
        <f t="shared" si="70"/>
        <v>1.0000001529943612</v>
      </c>
      <c r="AB60" s="4">
        <f t="shared" si="71"/>
        <v>5.7842608578048888E-4</v>
      </c>
      <c r="AC60" s="47" t="str">
        <f t="shared" si="72"/>
        <v>13.7299610840486-6.51819259490406i</v>
      </c>
      <c r="AD60" s="20">
        <f t="shared" si="73"/>
        <v>23.636094720199289</v>
      </c>
      <c r="AE60" s="43">
        <f t="shared" si="74"/>
        <v>-25.395667476466489</v>
      </c>
      <c r="AF60" t="str">
        <f t="shared" si="54"/>
        <v>247.084651286898</v>
      </c>
      <c r="AG60" t="str">
        <f t="shared" si="55"/>
        <v>1+0.41817815340405i</v>
      </c>
      <c r="AH60">
        <f t="shared" si="75"/>
        <v>1.083915572350735</v>
      </c>
      <c r="AI60">
        <f t="shared" si="76"/>
        <v>0.3960783222713391</v>
      </c>
      <c r="AJ60" t="str">
        <f t="shared" si="56"/>
        <v>1+0.00271860286750229i</v>
      </c>
      <c r="AK60">
        <f t="shared" si="77"/>
        <v>1.0000036953939477</v>
      </c>
      <c r="AL60">
        <f t="shared" si="78"/>
        <v>2.7185961699805602E-3</v>
      </c>
      <c r="AM60" t="str">
        <f t="shared" si="57"/>
        <v>1-0.00270067586567527i</v>
      </c>
      <c r="AN60">
        <f t="shared" si="79"/>
        <v>1.0000036468184161</v>
      </c>
      <c r="AO60">
        <f t="shared" si="80"/>
        <v>-2.7006692997757092E-3</v>
      </c>
      <c r="AP60" s="41" t="str">
        <f t="shared" si="81"/>
        <v>210.31066714991-87.942896942928i</v>
      </c>
      <c r="AQ60">
        <f t="shared" si="82"/>
        <v>47.157070022674461</v>
      </c>
      <c r="AR60" s="43">
        <f t="shared" si="83"/>
        <v>-22.692589088767566</v>
      </c>
      <c r="AS60" t="str">
        <f t="shared" si="58"/>
        <v>-0.0000166666666666667</v>
      </c>
      <c r="AT60" t="str">
        <f t="shared" si="59"/>
        <v>5.61899680821142E-07i</v>
      </c>
      <c r="AU60">
        <f t="shared" si="84"/>
        <v>5.6189968082114198E-7</v>
      </c>
      <c r="AV60">
        <f t="shared" si="85"/>
        <v>1.5707963267948966</v>
      </c>
      <c r="AW60" t="str">
        <f t="shared" si="60"/>
        <v>1+0.000571037841720308i</v>
      </c>
      <c r="AX60">
        <f t="shared" si="86"/>
        <v>1.0000001630420952</v>
      </c>
      <c r="AY60">
        <f t="shared" si="87"/>
        <v>5.7103777965151104E-4</v>
      </c>
      <c r="AZ60" t="str">
        <f t="shared" si="61"/>
        <v>1+0.0194152866184905i</v>
      </c>
      <c r="BA60">
        <f t="shared" si="88"/>
        <v>1.000188458918857</v>
      </c>
      <c r="BB60">
        <f t="shared" si="89"/>
        <v>1.9412847617627474E-2</v>
      </c>
      <c r="BC60" s="41" t="str">
        <f t="shared" si="90"/>
        <v>-0.558944454415236+29.6616043429157i</v>
      </c>
      <c r="BD60">
        <f t="shared" si="91"/>
        <v>29.445434647296711</v>
      </c>
      <c r="BE60" s="43">
        <f t="shared" si="92"/>
        <v>91.079556182104099</v>
      </c>
      <c r="BF60" s="41" t="str">
        <f t="shared" si="93"/>
        <v>185.665764173701+410.895980922412i</v>
      </c>
      <c r="BG60" s="20">
        <f t="shared" si="94"/>
        <v>53.081529367496003</v>
      </c>
      <c r="BH60" s="43">
        <f t="shared" si="95"/>
        <v>65.683888705637656</v>
      </c>
      <c r="BI60" s="41" t="str">
        <f t="shared" si="101"/>
        <v>2490.97543278313+6287.30699264673i</v>
      </c>
      <c r="BJ60" s="20">
        <f t="shared" si="97"/>
        <v>76.602504669971168</v>
      </c>
      <c r="BK60" s="43">
        <f t="shared" si="102"/>
        <v>68.386967093336551</v>
      </c>
      <c r="BL60">
        <f t="shared" si="99"/>
        <v>53.081529367496003</v>
      </c>
      <c r="BM60" s="43">
        <f t="shared" si="100"/>
        <v>65.683888705637656</v>
      </c>
    </row>
    <row r="61" spans="1:65" x14ac:dyDescent="0.25">
      <c r="N61" s="9">
        <v>43</v>
      </c>
      <c r="O61" s="34">
        <f t="shared" si="62"/>
        <v>26.915348039269158</v>
      </c>
      <c r="P61" s="33" t="str">
        <f t="shared" si="50"/>
        <v>16.5157725627975</v>
      </c>
      <c r="Q61" s="4" t="str">
        <f t="shared" si="63"/>
        <v>1+0.437577885369157i</v>
      </c>
      <c r="R61" s="4">
        <f t="shared" si="64"/>
        <v>1.0915467950409379</v>
      </c>
      <c r="S61" s="4">
        <f t="shared" si="65"/>
        <v>0.41247581236537428</v>
      </c>
      <c r="T61" s="4" t="str">
        <f t="shared" si="51"/>
        <v>1+0.00278192726310946i</v>
      </c>
      <c r="U61" s="4">
        <f t="shared" si="66"/>
        <v>1.0000038695521618</v>
      </c>
      <c r="V61" s="4">
        <f t="shared" si="67"/>
        <v>2.7819200865871288E-3</v>
      </c>
      <c r="W61" t="str">
        <f t="shared" si="52"/>
        <v>1-0.0422785298344902i</v>
      </c>
      <c r="X61" s="4">
        <f t="shared" si="68"/>
        <v>1.0008933380160774</v>
      </c>
      <c r="Y61" s="4">
        <f t="shared" si="69"/>
        <v>-4.2253366224419463E-2</v>
      </c>
      <c r="Z61" t="str">
        <f t="shared" si="53"/>
        <v>0.999999985032315+0.000591899417682863i</v>
      </c>
      <c r="AA61" s="4">
        <f t="shared" si="70"/>
        <v>1.0000001602047626</v>
      </c>
      <c r="AB61" s="4">
        <f t="shared" si="71"/>
        <v>5.9189935741925381E-4</v>
      </c>
      <c r="AC61" s="47" t="str">
        <f t="shared" si="72"/>
        <v>13.6197688148743-6.6218031463333i</v>
      </c>
      <c r="AD61" s="20">
        <f t="shared" si="73"/>
        <v>23.604918886383793</v>
      </c>
      <c r="AE61" s="43">
        <f t="shared" si="74"/>
        <v>-25.928583809818452</v>
      </c>
      <c r="AF61" t="str">
        <f t="shared" si="54"/>
        <v>247.084651286898</v>
      </c>
      <c r="AG61" t="str">
        <f t="shared" si="55"/>
        <v>1+0.427918773903271i</v>
      </c>
      <c r="AH61">
        <f t="shared" si="75"/>
        <v>1.0877106587042709</v>
      </c>
      <c r="AI61">
        <f t="shared" si="76"/>
        <v>0.40434027534771677</v>
      </c>
      <c r="AJ61" t="str">
        <f t="shared" si="56"/>
        <v>1+0.00278192726310946i</v>
      </c>
      <c r="AK61">
        <f t="shared" si="77"/>
        <v>1.0000038695521618</v>
      </c>
      <c r="AL61">
        <f t="shared" si="78"/>
        <v>2.7819200865871288E-3</v>
      </c>
      <c r="AM61" t="str">
        <f t="shared" si="57"/>
        <v>1-0.00276358268776727i</v>
      </c>
      <c r="AN61">
        <f t="shared" si="79"/>
        <v>1.0000038186873448</v>
      </c>
      <c r="AO61">
        <f t="shared" si="80"/>
        <v>-2.7635756522805853E-3</v>
      </c>
      <c r="AP61" s="41" t="str">
        <f t="shared" si="81"/>
        <v>208.845800890533-89.3645063889223i</v>
      </c>
      <c r="AQ61">
        <f t="shared" si="82"/>
        <v>47.126714457004255</v>
      </c>
      <c r="AR61" s="43">
        <f t="shared" si="83"/>
        <v>-23.165940205918499</v>
      </c>
      <c r="AS61" t="str">
        <f t="shared" si="58"/>
        <v>-0.0000166666666666667</v>
      </c>
      <c r="AT61" t="str">
        <f t="shared" si="59"/>
        <v>5.74988005749067E-07i</v>
      </c>
      <c r="AU61">
        <f t="shared" si="84"/>
        <v>5.7498800574906703E-7</v>
      </c>
      <c r="AV61">
        <f t="shared" si="85"/>
        <v>1.5707963267948966</v>
      </c>
      <c r="AW61" t="str">
        <f t="shared" si="60"/>
        <v>1+0.000584339021759519i</v>
      </c>
      <c r="AX61">
        <f t="shared" si="86"/>
        <v>1.0000001707260315</v>
      </c>
      <c r="AY61">
        <f t="shared" si="87"/>
        <v>5.8433895525160547E-4</v>
      </c>
      <c r="AZ61" t="str">
        <f t="shared" si="61"/>
        <v>1+0.0198675267398237i</v>
      </c>
      <c r="BA61">
        <f t="shared" si="88"/>
        <v>1.000197339837873</v>
      </c>
      <c r="BB61">
        <f t="shared" si="89"/>
        <v>1.9864913331161461E-2</v>
      </c>
      <c r="BC61" s="41" t="str">
        <f t="shared" si="90"/>
        <v>-0.558944445825453+28.9864384971659i</v>
      </c>
      <c r="BD61">
        <f t="shared" si="91"/>
        <v>29.245511704360272</v>
      </c>
      <c r="BE61" s="43">
        <f t="shared" si="92"/>
        <v>91.104695538327704</v>
      </c>
      <c r="BF61" s="41" t="str">
        <f t="shared" si="93"/>
        <v>184.329795509029+398.489811187965i</v>
      </c>
      <c r="BG61" s="20">
        <f t="shared" si="94"/>
        <v>52.850430590744075</v>
      </c>
      <c r="BH61" s="43">
        <f t="shared" si="95"/>
        <v>65.176111728509312</v>
      </c>
      <c r="BI61" s="41" t="str">
        <f t="shared" si="101"/>
        <v>2473.62556783035+6103.64575740481i</v>
      </c>
      <c r="BJ61" s="20">
        <f t="shared" si="97"/>
        <v>76.372226161364523</v>
      </c>
      <c r="BK61" s="43">
        <f t="shared" si="102"/>
        <v>67.938755332409229</v>
      </c>
      <c r="BL61">
        <f t="shared" si="99"/>
        <v>52.850430590744075</v>
      </c>
      <c r="BM61" s="43">
        <f t="shared" si="100"/>
        <v>65.176111728509312</v>
      </c>
    </row>
    <row r="62" spans="1:65" x14ac:dyDescent="0.25">
      <c r="A62" t="s">
        <v>227</v>
      </c>
      <c r="B62" s="1">
        <f>(-gm_ea)/Kfb</f>
        <v>-1.6666666666666667E-5</v>
      </c>
      <c r="C62" t="s">
        <v>150</v>
      </c>
      <c r="N62" s="9">
        <v>44</v>
      </c>
      <c r="O62" s="34">
        <f t="shared" si="62"/>
        <v>27.542287033381665</v>
      </c>
      <c r="P62" s="33" t="str">
        <f t="shared" si="50"/>
        <v>16.5157725627975</v>
      </c>
      <c r="Q62" s="4" t="str">
        <f t="shared" si="63"/>
        <v>1+0.44777038367529i</v>
      </c>
      <c r="R62" s="4">
        <f t="shared" si="64"/>
        <v>1.0956725407240597</v>
      </c>
      <c r="S62" s="4">
        <f t="shared" si="65"/>
        <v>0.42099822913756413</v>
      </c>
      <c r="T62" s="4" t="str">
        <f t="shared" si="51"/>
        <v>1+0.00284672667337469i</v>
      </c>
      <c r="U62" s="4">
        <f t="shared" si="66"/>
        <v>1.0000040519181674</v>
      </c>
      <c r="V62" s="4">
        <f t="shared" si="67"/>
        <v>2.8467189835941508E-3</v>
      </c>
      <c r="W62" t="str">
        <f t="shared" si="52"/>
        <v>1-0.0432633233035667i</v>
      </c>
      <c r="X62" s="4">
        <f t="shared" si="68"/>
        <v>1.0009354200662843</v>
      </c>
      <c r="Y62" s="4">
        <f t="shared" si="69"/>
        <v>-4.3236361370339309E-2</v>
      </c>
      <c r="Z62" t="str">
        <f t="shared" si="53"/>
        <v>0.99999998432691+0.000605686526249934i</v>
      </c>
      <c r="AA62" s="4">
        <f t="shared" si="70"/>
        <v>1.0000001677549801</v>
      </c>
      <c r="AB62" s="4">
        <f t="shared" si="71"/>
        <v>6.0568646167631374E-4</v>
      </c>
      <c r="AC62" s="47" t="str">
        <f t="shared" si="72"/>
        <v>13.50607896627-6.72513785352364i</v>
      </c>
      <c r="AD62" s="20">
        <f t="shared" si="73"/>
        <v>23.572517213665588</v>
      </c>
      <c r="AE62" s="43">
        <f t="shared" si="74"/>
        <v>-26.470281034829373</v>
      </c>
      <c r="AF62" t="str">
        <f t="shared" si="54"/>
        <v>247.084651286898</v>
      </c>
      <c r="AG62" t="str">
        <f t="shared" si="55"/>
        <v>1+0.437886282600591i</v>
      </c>
      <c r="AH62">
        <f t="shared" si="75"/>
        <v>1.0916704614899886</v>
      </c>
      <c r="AI62">
        <f t="shared" si="76"/>
        <v>0.41273461968643449</v>
      </c>
      <c r="AJ62" t="str">
        <f t="shared" si="56"/>
        <v>1+0.00284672667337469i</v>
      </c>
      <c r="AK62">
        <f t="shared" si="77"/>
        <v>1.0000040519181674</v>
      </c>
      <c r="AL62">
        <f t="shared" si="78"/>
        <v>2.8467189835941508E-3</v>
      </c>
      <c r="AM62" t="str">
        <f t="shared" si="57"/>
        <v>1-0.00282795479798066i</v>
      </c>
      <c r="AN62">
        <f t="shared" si="79"/>
        <v>1.0000039986561751</v>
      </c>
      <c r="AO62">
        <f t="shared" si="80"/>
        <v>-2.827947259322484E-3</v>
      </c>
      <c r="AP62" s="41" t="str">
        <f t="shared" si="81"/>
        <v>207.333612955247-90.7839067928371i</v>
      </c>
      <c r="AQ62">
        <f t="shared" si="82"/>
        <v>47.095154104339016</v>
      </c>
      <c r="AR62" s="43">
        <f t="shared" si="83"/>
        <v>-23.646876226394891</v>
      </c>
      <c r="AS62" t="str">
        <f t="shared" si="58"/>
        <v>-0.0000166666666666667</v>
      </c>
      <c r="AT62" t="str">
        <f t="shared" si="59"/>
        <v>5.88381196928506E-07i</v>
      </c>
      <c r="AU62">
        <f t="shared" si="84"/>
        <v>5.88381196928506E-7</v>
      </c>
      <c r="AV62">
        <f t="shared" si="85"/>
        <v>1.5707963267948966</v>
      </c>
      <c r="AW62" t="str">
        <f t="shared" si="60"/>
        <v>1+0.000597950026082708i</v>
      </c>
      <c r="AX62">
        <f t="shared" si="86"/>
        <v>1.0000001787721009</v>
      </c>
      <c r="AY62">
        <f t="shared" si="87"/>
        <v>5.9794995481819539E-4</v>
      </c>
      <c r="AZ62" t="str">
        <f t="shared" si="61"/>
        <v>1+0.0203303008868121i</v>
      </c>
      <c r="BA62">
        <f t="shared" si="88"/>
        <v>1.0002066392171911</v>
      </c>
      <c r="BB62">
        <f t="shared" si="89"/>
        <v>2.0327500600223175E-2</v>
      </c>
      <c r="BC62" s="41" t="str">
        <f t="shared" si="90"/>
        <v>-0.558944436830843+28.3266416447876i</v>
      </c>
      <c r="BD62">
        <f t="shared" si="91"/>
        <v>29.045592391543416</v>
      </c>
      <c r="BE62" s="43">
        <f t="shared" si="92"/>
        <v>91.130419983671302</v>
      </c>
      <c r="BF62" s="41" t="str">
        <f t="shared" si="93"/>
        <v>182.951422286966+386.340837293881i</v>
      </c>
      <c r="BG62" s="20">
        <f t="shared" si="94"/>
        <v>52.618109605209007</v>
      </c>
      <c r="BH62" s="43">
        <f t="shared" si="95"/>
        <v>64.660138948841876</v>
      </c>
      <c r="BI62" s="41" t="str">
        <f t="shared" si="101"/>
        <v>2455.71522530512+5923.808114758i</v>
      </c>
      <c r="BJ62" s="20">
        <f t="shared" si="97"/>
        <v>76.140746495882439</v>
      </c>
      <c r="BK62" s="43">
        <f t="shared" si="102"/>
        <v>67.483543757276436</v>
      </c>
      <c r="BL62">
        <f t="shared" si="99"/>
        <v>52.618109605209007</v>
      </c>
      <c r="BM62" s="43">
        <f t="shared" si="100"/>
        <v>64.660138948841876</v>
      </c>
    </row>
    <row r="63" spans="1:65" x14ac:dyDescent="0.25">
      <c r="A63" t="s">
        <v>226</v>
      </c>
      <c r="B63" s="1">
        <f>1/(RCOMP*CCOMP)</f>
        <v>8512.0871637725559</v>
      </c>
      <c r="E63" t="s">
        <v>240</v>
      </c>
      <c r="N63" s="9">
        <v>45</v>
      </c>
      <c r="O63" s="34">
        <f t="shared" si="62"/>
        <v>28.183829312644548</v>
      </c>
      <c r="P63" s="33" t="str">
        <f t="shared" si="50"/>
        <v>16.5157725627975</v>
      </c>
      <c r="Q63" s="4" t="str">
        <f t="shared" si="63"/>
        <v>1+0.458200295765789i</v>
      </c>
      <c r="R63" s="4">
        <f t="shared" si="64"/>
        <v>1.0999761411230047</v>
      </c>
      <c r="S63" s="4">
        <f t="shared" si="65"/>
        <v>0.42965233146373516</v>
      </c>
      <c r="T63" s="4" t="str">
        <f t="shared" si="51"/>
        <v>1+0.00291303545580303i</v>
      </c>
      <c r="U63" s="4">
        <f t="shared" si="66"/>
        <v>1.0000042428787823</v>
      </c>
      <c r="V63" s="4">
        <f t="shared" si="67"/>
        <v>2.9130272160566169E-3</v>
      </c>
      <c r="W63" t="str">
        <f t="shared" si="52"/>
        <v>1-0.0442710555593165i</v>
      </c>
      <c r="X63" s="4">
        <f t="shared" si="68"/>
        <v>1.0009794834862182</v>
      </c>
      <c r="Y63" s="4">
        <f t="shared" si="69"/>
        <v>-4.4242166853958924E-2</v>
      </c>
      <c r="Z63" t="str">
        <f t="shared" si="53"/>
        <v>0.99999998358826+0.00061979477783043i</v>
      </c>
      <c r="AA63" s="4">
        <f t="shared" si="70"/>
        <v>1.0000001756610279</v>
      </c>
      <c r="AB63" s="4">
        <f t="shared" si="71"/>
        <v>6.1979470863854976E-4</v>
      </c>
      <c r="AC63" s="47" t="str">
        <f t="shared" si="72"/>
        <v>13.3888486649665-6.82807152685082i</v>
      </c>
      <c r="AD63" s="20">
        <f t="shared" si="73"/>
        <v>23.538851416074099</v>
      </c>
      <c r="AE63" s="43">
        <f t="shared" si="74"/>
        <v>-27.020762143956027</v>
      </c>
      <c r="AF63" t="str">
        <f t="shared" si="54"/>
        <v>247.084651286898</v>
      </c>
      <c r="AG63" t="str">
        <f t="shared" si="55"/>
        <v>1+0.448085964401054i</v>
      </c>
      <c r="AH63">
        <f t="shared" si="75"/>
        <v>1.0958015474953586</v>
      </c>
      <c r="AI63">
        <f t="shared" si="76"/>
        <v>0.42126107296858212</v>
      </c>
      <c r="AJ63" t="str">
        <f t="shared" si="56"/>
        <v>1+0.00291303545580303i</v>
      </c>
      <c r="AK63">
        <f t="shared" si="77"/>
        <v>1.0000042428787823</v>
      </c>
      <c r="AL63">
        <f t="shared" si="78"/>
        <v>2.9130272160566169E-3</v>
      </c>
      <c r="AM63" t="str">
        <f t="shared" si="57"/>
        <v>1-0.00289382632726035i</v>
      </c>
      <c r="AN63">
        <f t="shared" si="79"/>
        <v>1.0000041871066403</v>
      </c>
      <c r="AO63">
        <f t="shared" si="80"/>
        <v>-2.8938182494444055E-3</v>
      </c>
      <c r="AP63" s="41" t="str">
        <f t="shared" si="81"/>
        <v>205.773454465937-92.1994505116784i</v>
      </c>
      <c r="AQ63">
        <f t="shared" si="82"/>
        <v>47.062350397391732</v>
      </c>
      <c r="AR63" s="43">
        <f t="shared" si="83"/>
        <v>-24.135380961536711</v>
      </c>
      <c r="AS63" t="str">
        <f t="shared" si="58"/>
        <v>-0.0000166666666666667</v>
      </c>
      <c r="AT63" t="str">
        <f t="shared" si="59"/>
        <v>6.02086355606703E-07i</v>
      </c>
      <c r="AU63">
        <f t="shared" si="84"/>
        <v>6.0208635560670299E-7</v>
      </c>
      <c r="AV63">
        <f t="shared" si="85"/>
        <v>1.5707963267948966</v>
      </c>
      <c r="AW63" t="str">
        <f t="shared" si="60"/>
        <v>1+0.00061187807142453i</v>
      </c>
      <c r="AX63">
        <f t="shared" si="86"/>
        <v>1.0000001871973696</v>
      </c>
      <c r="AY63">
        <f t="shared" si="87"/>
        <v>6.1187799506322966E-4</v>
      </c>
      <c r="AZ63" t="str">
        <f t="shared" si="61"/>
        <v>1+0.020803854428434i</v>
      </c>
      <c r="BA63">
        <f t="shared" si="88"/>
        <v>1.0002163767700865</v>
      </c>
      <c r="BB63">
        <f t="shared" si="89"/>
        <v>2.0800853902350442E-2</v>
      </c>
      <c r="BC63" s="41" t="str">
        <f t="shared" si="90"/>
        <v>-0.55894442741233+27.6818639527561i</v>
      </c>
      <c r="BD63">
        <f t="shared" si="91"/>
        <v>28.845676879786815</v>
      </c>
      <c r="BE63" s="43">
        <f t="shared" si="92"/>
        <v>91.156743112178845</v>
      </c>
      <c r="BF63" s="41" t="str">
        <f t="shared" si="93"/>
        <v>181.530124715222+374.444799757549i</v>
      </c>
      <c r="BG63" s="20">
        <f t="shared" si="94"/>
        <v>52.384528295860918</v>
      </c>
      <c r="BH63" s="43">
        <f t="shared" si="95"/>
        <v>64.135980968222839</v>
      </c>
      <c r="BI63" s="41" t="str">
        <f t="shared" si="101"/>
        <v>2437.23671990003+5747.7271406887i</v>
      </c>
      <c r="BJ63" s="20">
        <f t="shared" si="97"/>
        <v>75.908027277178547</v>
      </c>
      <c r="BK63" s="43">
        <f t="shared" si="102"/>
        <v>67.021362150642148</v>
      </c>
      <c r="BL63">
        <f t="shared" si="99"/>
        <v>52.384528295860918</v>
      </c>
      <c r="BM63" s="43">
        <f t="shared" si="100"/>
        <v>64.135980968222839</v>
      </c>
    </row>
    <row r="64" spans="1:65" x14ac:dyDescent="0.25">
      <c r="A64" t="s">
        <v>231</v>
      </c>
      <c r="B64" s="1">
        <f>(CCOMP+CHF)</f>
        <v>3.4000000000000003E-9</v>
      </c>
      <c r="E64" t="s">
        <v>241</v>
      </c>
      <c r="N64" s="9">
        <v>46</v>
      </c>
      <c r="O64" s="34">
        <f t="shared" si="62"/>
        <v>28.840315031266066</v>
      </c>
      <c r="P64" s="33" t="str">
        <f t="shared" si="50"/>
        <v>16.5157725627975</v>
      </c>
      <c r="Q64" s="4" t="str">
        <f t="shared" si="63"/>
        <v>1+0.468873151718101i</v>
      </c>
      <c r="R64" s="4">
        <f t="shared" si="64"/>
        <v>1.1044645908321666</v>
      </c>
      <c r="S64" s="4">
        <f t="shared" si="65"/>
        <v>0.43843752174007544</v>
      </c>
      <c r="T64" s="4" t="str">
        <f t="shared" si="51"/>
        <v>1+0.00298088876818861i</v>
      </c>
      <c r="U64" s="4">
        <f t="shared" si="66"/>
        <v>1.0000044428390549</v>
      </c>
      <c r="V64" s="4">
        <f t="shared" si="67"/>
        <v>2.9808799391433769E-3</v>
      </c>
      <c r="W64" t="str">
        <f t="shared" si="52"/>
        <v>1-0.0453022609147205i</v>
      </c>
      <c r="X64" s="4">
        <f t="shared" si="68"/>
        <v>1.0010256214722906</v>
      </c>
      <c r="Y64" s="4">
        <f t="shared" si="69"/>
        <v>-4.5271307821881733E-2</v>
      </c>
      <c r="Z64" t="str">
        <f t="shared" si="53"/>
        <v>0.999999982814798+0.000634231652806086i</v>
      </c>
      <c r="AA64" s="4">
        <f t="shared" si="70"/>
        <v>1.0000001839396759</v>
      </c>
      <c r="AB64" s="4">
        <f t="shared" si="71"/>
        <v>6.3423157866565182E-4</v>
      </c>
      <c r="AC64" s="47" t="str">
        <f t="shared" si="72"/>
        <v>13.2680400656753-6.9304738868911i</v>
      </c>
      <c r="AD64" s="20">
        <f t="shared" si="73"/>
        <v>23.503882795492483</v>
      </c>
      <c r="AE64" s="43">
        <f t="shared" si="74"/>
        <v>-27.58002140005625</v>
      </c>
      <c r="AF64" t="str">
        <f t="shared" si="54"/>
        <v>247.084651286898</v>
      </c>
      <c r="AG64" t="str">
        <f t="shared" si="55"/>
        <v>1+0.458523227310962i</v>
      </c>
      <c r="AH64">
        <f t="shared" si="75"/>
        <v>1.1001106989679084</v>
      </c>
      <c r="AI64">
        <f t="shared" si="76"/>
        <v>0.42991919597424644</v>
      </c>
      <c r="AJ64" t="str">
        <f t="shared" si="56"/>
        <v>1+0.00298088876818861i</v>
      </c>
      <c r="AK64">
        <f t="shared" si="77"/>
        <v>1.0000044428390549</v>
      </c>
      <c r="AL64">
        <f t="shared" si="78"/>
        <v>2.9808799391433769E-3</v>
      </c>
      <c r="AM64" t="str">
        <f t="shared" si="57"/>
        <v>1-0.00296123220156306i</v>
      </c>
      <c r="AN64">
        <f t="shared" si="79"/>
        <v>1.0000043844384641</v>
      </c>
      <c r="AO64">
        <f t="shared" si="80"/>
        <v>-2.9612235460293808E-3</v>
      </c>
      <c r="AP64" s="41" t="str">
        <f t="shared" si="81"/>
        <v>204.164739654408-93.6094184935315i</v>
      </c>
      <c r="AQ64">
        <f t="shared" si="82"/>
        <v>47.028264269060202</v>
      </c>
      <c r="AR64" s="43">
        <f t="shared" si="83"/>
        <v>-24.631429232616213</v>
      </c>
      <c r="AS64" t="str">
        <f t="shared" si="58"/>
        <v>-0.0000166666666666667</v>
      </c>
      <c r="AT64" t="str">
        <f t="shared" si="59"/>
        <v>6.16110748440197E-07i</v>
      </c>
      <c r="AU64">
        <f t="shared" si="84"/>
        <v>6.1611074844019703E-7</v>
      </c>
      <c r="AV64">
        <f t="shared" si="85"/>
        <v>1.5707963267948966</v>
      </c>
      <c r="AW64" t="str">
        <f t="shared" si="60"/>
        <v>1+0.000626130542618984i</v>
      </c>
      <c r="AX64">
        <f t="shared" si="86"/>
        <v>1.0000001960197089</v>
      </c>
      <c r="AY64">
        <f t="shared" si="87"/>
        <v>6.2613046079637732E-4</v>
      </c>
      <c r="AZ64" t="str">
        <f t="shared" si="61"/>
        <v>1+0.0212884384490454i</v>
      </c>
      <c r="BA64">
        <f t="shared" si="88"/>
        <v>1.0002265731381059</v>
      </c>
      <c r="BB64">
        <f t="shared" si="89"/>
        <v>2.1285223366754109E-2</v>
      </c>
      <c r="BC64" s="41" t="str">
        <f t="shared" si="90"/>
        <v>-0.558944417549936+27.0517635514047i</v>
      </c>
      <c r="BD64">
        <f t="shared" si="91"/>
        <v>28.645765348073809</v>
      </c>
      <c r="BE64" s="43">
        <f t="shared" si="92"/>
        <v>91.183678832080034</v>
      </c>
      <c r="BF64" s="41" t="str">
        <f t="shared" si="93"/>
        <v>180.065443960825+362.797632337266i</v>
      </c>
      <c r="BG64" s="20">
        <f t="shared" si="94"/>
        <v>52.149648143566303</v>
      </c>
      <c r="BH64" s="43">
        <f t="shared" si="95"/>
        <v>63.603657432023759</v>
      </c>
      <c r="BI64" s="41" t="str">
        <f t="shared" si="101"/>
        <v>2418.18311378114+5575.3387245622i</v>
      </c>
      <c r="BJ64" s="20">
        <f t="shared" si="97"/>
        <v>75.674029617134011</v>
      </c>
      <c r="BK64" s="43">
        <f t="shared" si="102"/>
        <v>66.552249599463806</v>
      </c>
      <c r="BL64">
        <f t="shared" si="99"/>
        <v>52.149648143566303</v>
      </c>
      <c r="BM64" s="43">
        <f t="shared" si="100"/>
        <v>63.603657432023759</v>
      </c>
    </row>
    <row r="65" spans="1:65" x14ac:dyDescent="0.25">
      <c r="A65" t="s">
        <v>232</v>
      </c>
      <c r="B65" s="1">
        <f>(CCOMP+CHF)/(RCOMP*CHF*CCOMP)</f>
        <v>289410.96356826695</v>
      </c>
      <c r="E65" t="s">
        <v>242</v>
      </c>
      <c r="N65" s="9">
        <v>47</v>
      </c>
      <c r="O65" s="34">
        <f t="shared" si="62"/>
        <v>29.512092266663863</v>
      </c>
      <c r="P65" s="33" t="str">
        <f t="shared" si="50"/>
        <v>16.5157725627975</v>
      </c>
      <c r="Q65" s="4" t="str">
        <f t="shared" si="63"/>
        <v>1+0.479794610421723i</v>
      </c>
      <c r="R65" s="4">
        <f t="shared" si="64"/>
        <v>1.1091451069133078</v>
      </c>
      <c r="S65" s="4">
        <f t="shared" si="65"/>
        <v>0.44735303267120807</v>
      </c>
      <c r="T65" s="4" t="str">
        <f t="shared" si="51"/>
        <v>1+0.00305032258725581i</v>
      </c>
      <c r="U65" s="4">
        <f t="shared" si="66"/>
        <v>1.0000046522231216</v>
      </c>
      <c r="V65" s="4">
        <f t="shared" si="67"/>
        <v>3.0503131267657726E-3</v>
      </c>
      <c r="W65" t="str">
        <f t="shared" si="52"/>
        <v>1-0.0463574861285077i</v>
      </c>
      <c r="X65" s="4">
        <f t="shared" si="68"/>
        <v>1.0010739315955415</v>
      </c>
      <c r="Y65" s="4">
        <f t="shared" si="69"/>
        <v>-4.6324321213345843E-2</v>
      </c>
      <c r="Z65" t="str">
        <f t="shared" si="53"/>
        <v>0.999999982004884+0.000649004805799108i</v>
      </c>
      <c r="AA65" s="4">
        <f t="shared" si="70"/>
        <v>1.0000001926084845</v>
      </c>
      <c r="AB65" s="4">
        <f t="shared" si="71"/>
        <v>6.4900472635620252E-4</v>
      </c>
      <c r="AC65" s="47" t="str">
        <f t="shared" si="72"/>
        <v>13.1436207951203-7.03220972124721i</v>
      </c>
      <c r="AD65" s="20">
        <f t="shared" si="73"/>
        <v>23.46757230159827</v>
      </c>
      <c r="AE65" s="43">
        <f t="shared" si="74"/>
        <v>-28.148043982118452</v>
      </c>
      <c r="AF65" t="str">
        <f t="shared" si="54"/>
        <v>247.084651286898</v>
      </c>
      <c r="AG65" t="str">
        <f t="shared" si="55"/>
        <v>1+0.469203605305263i</v>
      </c>
      <c r="AH65">
        <f t="shared" si="75"/>
        <v>1.1046049172584091</v>
      </c>
      <c r="AI65">
        <f t="shared" si="76"/>
        <v>0.4387083860014917</v>
      </c>
      <c r="AJ65" t="str">
        <f t="shared" si="56"/>
        <v>1+0.00305032258725581i</v>
      </c>
      <c r="AK65">
        <f t="shared" si="77"/>
        <v>1.0000046522231216</v>
      </c>
      <c r="AL65">
        <f t="shared" si="78"/>
        <v>3.0503131267657726E-3</v>
      </c>
      <c r="AM65" t="str">
        <f t="shared" si="57"/>
        <v>1-0.00303020816037559i</v>
      </c>
      <c r="AN65">
        <f t="shared" si="79"/>
        <v>1.0000045910702087</v>
      </c>
      <c r="AO65">
        <f t="shared" si="80"/>
        <v>-3.0301988858064555E-3</v>
      </c>
      <c r="AP65" s="41" t="str">
        <f t="shared" si="81"/>
        <v>202.506951871247-95.012021951217i</v>
      </c>
      <c r="AQ65">
        <f t="shared" si="82"/>
        <v>46.992856205955142</v>
      </c>
      <c r="AR65" s="43">
        <f t="shared" si="83"/>
        <v>-25.134986493766615</v>
      </c>
      <c r="AS65" t="str">
        <f t="shared" si="58"/>
        <v>-0.0000166666666666667</v>
      </c>
      <c r="AT65" t="str">
        <f t="shared" si="59"/>
        <v>6.30461811347704E-07i</v>
      </c>
      <c r="AU65">
        <f t="shared" si="84"/>
        <v>6.3046181134770395E-7</v>
      </c>
      <c r="AV65">
        <f t="shared" si="85"/>
        <v>1.5707963267948966</v>
      </c>
      <c r="AW65" t="str">
        <f t="shared" si="60"/>
        <v>1+0.000640714996514952i</v>
      </c>
      <c r="AX65">
        <f t="shared" si="86"/>
        <v>1.0000002052578323</v>
      </c>
      <c r="AY65">
        <f t="shared" si="87"/>
        <v>6.4071490884045029E-4</v>
      </c>
      <c r="AZ65" t="str">
        <f t="shared" si="61"/>
        <v>1+0.0217843098815084i</v>
      </c>
      <c r="BA65">
        <f t="shared" si="88"/>
        <v>1.0002372499347409</v>
      </c>
      <c r="BB65">
        <f t="shared" si="89"/>
        <v>2.1780864902896512E-2</v>
      </c>
      <c r="BC65" s="41" t="str">
        <f t="shared" si="90"/>
        <v>-0.558944407222746+26.4360063531601i</v>
      </c>
      <c r="BD65">
        <f t="shared" si="91"/>
        <v>28.445857983807858</v>
      </c>
      <c r="BE65" s="43">
        <f t="shared" si="92"/>
        <v>91.211241372932918</v>
      </c>
      <c r="BF65" s="41" t="str">
        <f t="shared" si="93"/>
        <v>178.556987533556+351.395457137436i</v>
      </c>
      <c r="BG65" s="20">
        <f t="shared" si="94"/>
        <v>51.913430285406122</v>
      </c>
      <c r="BH65" s="43">
        <f t="shared" si="95"/>
        <v>63.06319739081453</v>
      </c>
      <c r="BI65" s="41" t="str">
        <f t="shared" si="101"/>
        <v>2398.5482877568+5406.58150451593i</v>
      </c>
      <c r="BJ65" s="20">
        <f t="shared" si="97"/>
        <v>75.438714189763004</v>
      </c>
      <c r="BK65" s="43">
        <f t="shared" si="102"/>
        <v>66.076254879166314</v>
      </c>
      <c r="BL65">
        <f t="shared" si="99"/>
        <v>51.913430285406122</v>
      </c>
      <c r="BM65" s="43">
        <f t="shared" si="100"/>
        <v>63.06319739081453</v>
      </c>
    </row>
    <row r="66" spans="1:65" x14ac:dyDescent="0.25">
      <c r="N66" s="9">
        <v>48</v>
      </c>
      <c r="O66" s="34">
        <f t="shared" si="62"/>
        <v>30.199517204020164</v>
      </c>
      <c r="P66" s="33" t="str">
        <f t="shared" si="50"/>
        <v>16.5157725627975</v>
      </c>
      <c r="Q66" s="4" t="str">
        <f t="shared" si="63"/>
        <v>1+0.490970462578623i</v>
      </c>
      <c r="R66" s="4">
        <f t="shared" si="64"/>
        <v>1.1140251321782049</v>
      </c>
      <c r="S66" s="4">
        <f t="shared" si="65"/>
        <v>0.45639792108593991</v>
      </c>
      <c r="T66" s="4" t="str">
        <f t="shared" si="51"/>
        <v>1+0.00312137372773457i</v>
      </c>
      <c r="U66" s="4">
        <f t="shared" si="66"/>
        <v>1.0000048714751084</v>
      </c>
      <c r="V66" s="4">
        <f t="shared" si="67"/>
        <v>3.121363590639525E-3</v>
      </c>
      <c r="W66" t="str">
        <f t="shared" si="52"/>
        <v>1-0.0474372906950543i</v>
      </c>
      <c r="X66" s="4">
        <f t="shared" si="68"/>
        <v>1.0011245160061195</v>
      </c>
      <c r="Y66" s="4">
        <f t="shared" si="69"/>
        <v>-4.740175600371202E-2</v>
      </c>
      <c r="Z66" t="str">
        <f t="shared" si="53"/>
        <v>0.999999981156801+0.000664122069730759i</v>
      </c>
      <c r="AA66" s="4">
        <f t="shared" si="70"/>
        <v>1.0000002016858425</v>
      </c>
      <c r="AB66" s="4">
        <f t="shared" si="71"/>
        <v>6.6412198460615262E-4</v>
      </c>
      <c r="AC66" s="47" t="str">
        <f t="shared" si="72"/>
        <v>13.0155643992226-7.13313907905979i</v>
      </c>
      <c r="AD66" s="20">
        <f t="shared" si="73"/>
        <v>23.429880596828426</v>
      </c>
      <c r="AE66" s="43">
        <f t="shared" si="74"/>
        <v>-28.724805644021153</v>
      </c>
      <c r="AF66" t="str">
        <f t="shared" si="54"/>
        <v>247.084651286898</v>
      </c>
      <c r="AG66" t="str">
        <f t="shared" si="55"/>
        <v>1+0.48013276126174i</v>
      </c>
      <c r="AH66">
        <f t="shared" si="75"/>
        <v>1.1092914262883415</v>
      </c>
      <c r="AI66">
        <f t="shared" si="76"/>
        <v>0.44762787046402341</v>
      </c>
      <c r="AJ66" t="str">
        <f t="shared" si="56"/>
        <v>1+0.00312137372773457i</v>
      </c>
      <c r="AK66">
        <f t="shared" si="77"/>
        <v>1.0000048714751084</v>
      </c>
      <c r="AL66">
        <f t="shared" si="78"/>
        <v>3.121363590639525E-3</v>
      </c>
      <c r="AM66" t="str">
        <f t="shared" si="57"/>
        <v>1-0.0031007907756643i</v>
      </c>
      <c r="AN66">
        <f t="shared" si="79"/>
        <v>1.0000048074401615</v>
      </c>
      <c r="AO66">
        <f t="shared" si="80"/>
        <v>-3.1007808377870052E-3</v>
      </c>
      <c r="AP66" s="41" t="str">
        <f t="shared" si="81"/>
        <v>200.799649675403-96.4054045275066i</v>
      </c>
      <c r="AQ66">
        <f t="shared" si="82"/>
        <v>46.956086306828738</v>
      </c>
      <c r="AR66" s="43">
        <f t="shared" si="83"/>
        <v>-25.646008465148061</v>
      </c>
      <c r="AS66" t="str">
        <f t="shared" si="58"/>
        <v>-0.0000166666666666667</v>
      </c>
      <c r="AT66" t="str">
        <f t="shared" si="59"/>
        <v>6.45147153452737E-07i</v>
      </c>
      <c r="AU66">
        <f t="shared" si="84"/>
        <v>6.4514715345273702E-7</v>
      </c>
      <c r="AV66">
        <f t="shared" si="85"/>
        <v>1.5707963267948966</v>
      </c>
      <c r="AW66" t="str">
        <f t="shared" si="60"/>
        <v>1+0.000655639165982938i</v>
      </c>
      <c r="AX66">
        <f t="shared" si="86"/>
        <v>1.0000002149313347</v>
      </c>
      <c r="AY66">
        <f t="shared" si="87"/>
        <v>6.5563907203801798E-4</v>
      </c>
      <c r="AZ66" t="str">
        <f t="shared" si="61"/>
        <v>1+0.0222917316434199i</v>
      </c>
      <c r="BA66">
        <f t="shared" si="88"/>
        <v>1.0002484297911505</v>
      </c>
      <c r="BB66">
        <f t="shared" si="89"/>
        <v>2.2288040331845563E-2</v>
      </c>
      <c r="BC66" s="41" t="str">
        <f t="shared" si="90"/>
        <v>-0.558944396408846+25.8342658754052i</v>
      </c>
      <c r="BD66">
        <f t="shared" si="91"/>
        <v>28.245954983208108</v>
      </c>
      <c r="BE66" s="43">
        <f t="shared" si="92"/>
        <v>91.23944529292045</v>
      </c>
      <c r="BF66" s="41" t="str">
        <f t="shared" si="93"/>
        <v>177.00443470763+340.234579325021i</v>
      </c>
      <c r="BG66" s="20">
        <f t="shared" si="94"/>
        <v>51.675835580036548</v>
      </c>
      <c r="BH66" s="43">
        <f t="shared" si="95"/>
        <v>62.514639648899291</v>
      </c>
      <c r="BI66" s="41" t="str">
        <f t="shared" si="101"/>
        <v>2378.32701340267+5241.39679804676i</v>
      </c>
      <c r="BJ66" s="20">
        <f t="shared" si="97"/>
        <v>75.202041290036846</v>
      </c>
      <c r="BK66" s="43">
        <f t="shared" si="102"/>
        <v>65.593436827772408</v>
      </c>
      <c r="BL66">
        <f t="shared" si="99"/>
        <v>51.675835580036548</v>
      </c>
      <c r="BM66" s="43">
        <f t="shared" si="100"/>
        <v>62.514639648899291</v>
      </c>
    </row>
    <row r="67" spans="1:65" x14ac:dyDescent="0.25">
      <c r="N67" s="9">
        <v>49</v>
      </c>
      <c r="O67" s="34">
        <f t="shared" si="62"/>
        <v>30.902954325135919</v>
      </c>
      <c r="P67" s="33" t="str">
        <f t="shared" si="50"/>
        <v>16.5157725627975</v>
      </c>
      <c r="Q67" s="4" t="str">
        <f t="shared" si="63"/>
        <v>1+0.502406633773545i</v>
      </c>
      <c r="R67" s="4">
        <f t="shared" si="64"/>
        <v>1.1191123382662105</v>
      </c>
      <c r="S67" s="4">
        <f t="shared" si="65"/>
        <v>0.46557106202650161</v>
      </c>
      <c r="T67" s="4" t="str">
        <f t="shared" si="51"/>
        <v>1+0.00319407986188004i</v>
      </c>
      <c r="U67" s="4">
        <f t="shared" si="66"/>
        <v>1.0000051010600717</v>
      </c>
      <c r="V67" s="4">
        <f t="shared" si="67"/>
        <v>3.194068999789993E-3</v>
      </c>
      <c r="W67" t="str">
        <f t="shared" si="52"/>
        <v>1-0.048542247141034i</v>
      </c>
      <c r="X67" s="4">
        <f t="shared" si="68"/>
        <v>1.0011774816472359</v>
      </c>
      <c r="Y67" s="4">
        <f t="shared" si="69"/>
        <v>-4.8504173451419913E-2</v>
      </c>
      <c r="Z67" t="str">
        <f t="shared" si="53"/>
        <v>0.999999980268748+0.000679591459974475i</v>
      </c>
      <c r="AA67" s="4">
        <f t="shared" si="70"/>
        <v>1.000000211191002</v>
      </c>
      <c r="AB67" s="4">
        <f t="shared" si="71"/>
        <v>6.795913687618172E-4</v>
      </c>
      <c r="AC67" s="47" t="str">
        <f t="shared" si="72"/>
        <v>12.8838507903166-7.23311750490103i</v>
      </c>
      <c r="AD67" s="20">
        <f t="shared" si="73"/>
        <v>23.390768126390725</v>
      </c>
      <c r="AE67" s="43">
        <f t="shared" si="74"/>
        <v>-29.310272389140952</v>
      </c>
      <c r="AF67" t="str">
        <f t="shared" si="54"/>
        <v>247.084651286898</v>
      </c>
      <c r="AG67" t="str">
        <f t="shared" si="55"/>
        <v>1+0.491316489963547i</v>
      </c>
      <c r="AH67">
        <f t="shared" si="75"/>
        <v>1.1141776758264816</v>
      </c>
      <c r="AI67">
        <f t="shared" si="76"/>
        <v>0.45667670071456451</v>
      </c>
      <c r="AJ67" t="str">
        <f t="shared" si="56"/>
        <v>1+0.00319407986188004i</v>
      </c>
      <c r="AK67">
        <f t="shared" si="77"/>
        <v>1.0000051010600717</v>
      </c>
      <c r="AL67">
        <f t="shared" si="78"/>
        <v>3.194068999789993E-3</v>
      </c>
      <c r="AM67" t="str">
        <f t="shared" si="57"/>
        <v>1-0.00317301747126608i</v>
      </c>
      <c r="AN67">
        <f t="shared" si="79"/>
        <v>1.0000050340072659</v>
      </c>
      <c r="AO67">
        <f t="shared" si="80"/>
        <v>-3.1730068226416006E-3</v>
      </c>
      <c r="AP67" s="41" t="str">
        <f t="shared" si="81"/>
        <v>199.042472965745-97.7876449777537i</v>
      </c>
      <c r="AQ67">
        <f t="shared" si="82"/>
        <v>46.917914345952774</v>
      </c>
      <c r="AR67" s="43">
        <f t="shared" si="83"/>
        <v>-26.164440779045567</v>
      </c>
      <c r="AS67" t="str">
        <f t="shared" si="58"/>
        <v>-0.0000166666666666667</v>
      </c>
      <c r="AT67" t="str">
        <f t="shared" si="59"/>
        <v>6.60174561118062E-07i</v>
      </c>
      <c r="AU67">
        <f t="shared" si="84"/>
        <v>6.6017456111806198E-7</v>
      </c>
      <c r="AV67">
        <f t="shared" si="85"/>
        <v>1.5707963267948966</v>
      </c>
      <c r="AW67" t="str">
        <f t="shared" si="60"/>
        <v>1+0.000670910964015138i</v>
      </c>
      <c r="AX67">
        <f t="shared" si="86"/>
        <v>1.0000002250607354</v>
      </c>
      <c r="AY67">
        <f t="shared" si="87"/>
        <v>6.7091086335134391E-4</v>
      </c>
      <c r="AZ67" t="str">
        <f t="shared" si="61"/>
        <v>1+0.0228109727765147i</v>
      </c>
      <c r="BA67">
        <f t="shared" si="88"/>
        <v>1.0002601364040311</v>
      </c>
      <c r="BB67">
        <f t="shared" si="89"/>
        <v>2.2807017520455438E-2</v>
      </c>
      <c r="BC67" s="41" t="str">
        <f t="shared" si="90"/>
        <v>-0.558944385085304+25.2462230673737i</v>
      </c>
      <c r="BD67">
        <f t="shared" si="91"/>
        <v>28.046056551723243</v>
      </c>
      <c r="BE67" s="43">
        <f t="shared" si="92"/>
        <v>91.268305486303504</v>
      </c>
      <c r="BF67" s="41" t="str">
        <f t="shared" si="93"/>
        <v>175.407541943733+329.311481435118i</v>
      </c>
      <c r="BG67" s="20">
        <f t="shared" si="94"/>
        <v>51.436824678113965</v>
      </c>
      <c r="BH67" s="43">
        <f t="shared" si="95"/>
        <v>61.95803309716247</v>
      </c>
      <c r="BI67" s="41" t="str">
        <f t="shared" si="101"/>
        <v>2357.51502568382+5079.72852746593i</v>
      </c>
      <c r="BJ67" s="20">
        <f t="shared" si="97"/>
        <v>74.96397089767602</v>
      </c>
      <c r="BK67" s="43">
        <f t="shared" si="102"/>
        <v>65.103864707257941</v>
      </c>
      <c r="BL67">
        <f t="shared" si="99"/>
        <v>51.436824678113965</v>
      </c>
      <c r="BM67" s="43">
        <f t="shared" si="100"/>
        <v>61.95803309716247</v>
      </c>
    </row>
    <row r="68" spans="1:65" x14ac:dyDescent="0.25">
      <c r="N68" s="9">
        <v>50</v>
      </c>
      <c r="O68" s="34">
        <f t="shared" si="62"/>
        <v>31.622776601683803</v>
      </c>
      <c r="P68" s="33" t="str">
        <f t="shared" si="50"/>
        <v>16.5157725627975</v>
      </c>
      <c r="Q68" s="4" t="str">
        <f t="shared" si="63"/>
        <v>1+0.514109187615831i</v>
      </c>
      <c r="R68" s="4">
        <f t="shared" si="64"/>
        <v>1.1244146285027645</v>
      </c>
      <c r="S68" s="4">
        <f t="shared" si="65"/>
        <v>0.47487114316256185</v>
      </c>
      <c r="T68" s="4" t="str">
        <f t="shared" si="51"/>
        <v>1+0.00326847953944692i</v>
      </c>
      <c r="U68" s="4">
        <f t="shared" si="66"/>
        <v>1.0000053414649843</v>
      </c>
      <c r="V68" s="4">
        <f t="shared" si="67"/>
        <v>3.2684679005110973E-3</v>
      </c>
      <c r="W68" t="str">
        <f t="shared" si="52"/>
        <v>1-0.0496729413289805i</v>
      </c>
      <c r="X68" s="4">
        <f t="shared" si="68"/>
        <v>1.0012329404790237</v>
      </c>
      <c r="Y68" s="4">
        <f t="shared" si="69"/>
        <v>-4.9632147348343113E-2</v>
      </c>
      <c r="Z68" t="str">
        <f t="shared" si="53"/>
        <v>0.999999979338843+0.000695421178605726i</v>
      </c>
      <c r="AA68" s="4">
        <f t="shared" si="70"/>
        <v>1.0000002211441266</v>
      </c>
      <c r="AB68" s="4">
        <f t="shared" si="71"/>
        <v>6.9542108086960333E-4</v>
      </c>
      <c r="AC68" s="47" t="str">
        <f t="shared" si="72"/>
        <v>12.7484666909746-7.331996313508i</v>
      </c>
      <c r="AD68" s="20">
        <f t="shared" si="73"/>
        <v>23.350195193306167</v>
      </c>
      <c r="AE68" s="43">
        <f t="shared" si="74"/>
        <v>-29.904400163743965</v>
      </c>
      <c r="AF68" t="str">
        <f t="shared" si="54"/>
        <v>247.084651286898</v>
      </c>
      <c r="AG68" t="str">
        <f t="shared" si="55"/>
        <v>1+0.502760721171674i</v>
      </c>
      <c r="AH68">
        <f t="shared" si="75"/>
        <v>1.1192713445599605</v>
      </c>
      <c r="AI68">
        <f t="shared" si="76"/>
        <v>0.46585374614325925</v>
      </c>
      <c r="AJ68" t="str">
        <f t="shared" si="56"/>
        <v>1+0.00326847953944692i</v>
      </c>
      <c r="AK68">
        <f t="shared" si="77"/>
        <v>1.0000053414649843</v>
      </c>
      <c r="AL68">
        <f t="shared" si="78"/>
        <v>3.2684679005110973E-3</v>
      </c>
      <c r="AM68" t="str">
        <f t="shared" si="57"/>
        <v>1-0.00324692654273097i</v>
      </c>
      <c r="AN68">
        <f t="shared" si="79"/>
        <v>1.0000052712520939</v>
      </c>
      <c r="AO68">
        <f t="shared" si="80"/>
        <v>-3.2469151325275145E-3</v>
      </c>
      <c r="AP68" s="41" t="str">
        <f t="shared" si="81"/>
        <v>197.235149111677-99.1567603931118i</v>
      </c>
      <c r="AQ68">
        <f t="shared" si="82"/>
        <v>46.878299841464049</v>
      </c>
      <c r="AR68" s="43">
        <f t="shared" si="83"/>
        <v>-26.690218641725355</v>
      </c>
      <c r="AS68" t="str">
        <f t="shared" si="58"/>
        <v>-0.0000166666666666667</v>
      </c>
      <c r="AT68" t="str">
        <f t="shared" si="59"/>
        <v>6.75552002074135E-07i</v>
      </c>
      <c r="AU68">
        <f t="shared" si="84"/>
        <v>6.7555200207413496E-7</v>
      </c>
      <c r="AV68">
        <f t="shared" si="85"/>
        <v>1.5707963267948966</v>
      </c>
      <c r="AW68" t="str">
        <f t="shared" si="60"/>
        <v>1+0.000686538487921015i</v>
      </c>
      <c r="AX68">
        <f t="shared" si="86"/>
        <v>1.0000002356675199</v>
      </c>
      <c r="AY68">
        <f t="shared" si="87"/>
        <v>6.8653838005781757E-4</v>
      </c>
      <c r="AZ68" t="str">
        <f t="shared" si="61"/>
        <v>1+0.0233423085893145i</v>
      </c>
      <c r="BA68">
        <f t="shared" si="88"/>
        <v>1.0002723945857341</v>
      </c>
      <c r="BB68">
        <f t="shared" si="89"/>
        <v>2.3338070518420649E-2</v>
      </c>
      <c r="BC68" s="41" t="str">
        <f t="shared" si="90"/>
        <v>-0.558944373228101+24.6715661409852i</v>
      </c>
      <c r="BD68">
        <f t="shared" si="91"/>
        <v>27.846162904464776</v>
      </c>
      <c r="BE68" s="43">
        <f t="shared" si="92"/>
        <v>91.297837191033125</v>
      </c>
      <c r="BF68" s="41" t="str">
        <f t="shared" si="93"/>
        <v>173.766148269966+318.622817246491i</v>
      </c>
      <c r="BG68" s="20">
        <f t="shared" si="94"/>
        <v>51.19635809777094</v>
      </c>
      <c r="BH68" s="43">
        <f t="shared" si="95"/>
        <v>61.393437027289188</v>
      </c>
      <c r="BI68" s="41" t="str">
        <f t="shared" si="101"/>
        <v>2336.1090955657+4921.52313992507i</v>
      </c>
      <c r="BJ68" s="20">
        <f t="shared" si="97"/>
        <v>74.724462745928818</v>
      </c>
      <c r="BK68" s="43">
        <f t="shared" si="102"/>
        <v>64.607618549307787</v>
      </c>
      <c r="BL68">
        <f t="shared" si="99"/>
        <v>51.19635809777094</v>
      </c>
      <c r="BM68" s="43">
        <f t="shared" si="100"/>
        <v>61.393437027289188</v>
      </c>
    </row>
    <row r="69" spans="1:65" x14ac:dyDescent="0.25">
      <c r="A69" s="49" t="s">
        <v>457</v>
      </c>
      <c r="N69" s="9">
        <v>51</v>
      </c>
      <c r="O69" s="34">
        <f t="shared" si="62"/>
        <v>32.359365692962832</v>
      </c>
      <c r="P69" s="33" t="str">
        <f t="shared" si="50"/>
        <v>16.5157725627975</v>
      </c>
      <c r="Q69" s="4" t="str">
        <f t="shared" si="63"/>
        <v>1+0.526084328954431i</v>
      </c>
      <c r="R69" s="4">
        <f t="shared" si="64"/>
        <v>1.1299401405257865</v>
      </c>
      <c r="S69" s="4">
        <f t="shared" si="65"/>
        <v>0.48429665958298335</v>
      </c>
      <c r="T69" s="4" t="str">
        <f t="shared" si="51"/>
        <v>1+0.00334461220812905i</v>
      </c>
      <c r="U69" s="4">
        <f t="shared" si="66"/>
        <v>1.0000055931997693</v>
      </c>
      <c r="V69" s="4">
        <f t="shared" si="67"/>
        <v>3.3445997367883905E-3</v>
      </c>
      <c r="W69" t="str">
        <f t="shared" si="52"/>
        <v>1-0.0508299727679187i</v>
      </c>
      <c r="X69" s="4">
        <f t="shared" si="68"/>
        <v>1.0012910097127545</v>
      </c>
      <c r="Y69" s="4">
        <f t="shared" si="69"/>
        <v>-5.0786264273453223E-2</v>
      </c>
      <c r="Z69" t="str">
        <f t="shared" si="53"/>
        <v>0.999999978365113+0.000711619618750862i</v>
      </c>
      <c r="AA69" s="4">
        <f t="shared" si="70"/>
        <v>1.0000002315663272</v>
      </c>
      <c r="AB69" s="4">
        <f t="shared" si="71"/>
        <v>7.1161951402472071E-4</v>
      </c>
      <c r="AC69" s="47" t="str">
        <f t="shared" si="72"/>
        <v>12.609406070731-7.42962290652845i</v>
      </c>
      <c r="AD69" s="20">
        <f t="shared" si="73"/>
        <v>23.308122038428422</v>
      </c>
      <c r="AE69" s="43">
        <f t="shared" si="74"/>
        <v>-30.507134572188022</v>
      </c>
      <c r="AF69" t="str">
        <f t="shared" si="54"/>
        <v>247.084651286898</v>
      </c>
      <c r="AG69" t="str">
        <f t="shared" si="55"/>
        <v>1+0.514471522768992i</v>
      </c>
      <c r="AH69">
        <f t="shared" si="75"/>
        <v>1.1245803429458676</v>
      </c>
      <c r="AI69">
        <f t="shared" si="76"/>
        <v>0.47515768860245905</v>
      </c>
      <c r="AJ69" t="str">
        <f t="shared" si="56"/>
        <v>1+0.00334461220812905i</v>
      </c>
      <c r="AK69">
        <f t="shared" si="77"/>
        <v>1.0000055931997693</v>
      </c>
      <c r="AL69">
        <f t="shared" si="78"/>
        <v>3.3445997367883905E-3</v>
      </c>
      <c r="AM69" t="str">
        <f t="shared" si="57"/>
        <v>1-0.00332255717762698i</v>
      </c>
      <c r="AN69">
        <f t="shared" si="79"/>
        <v>1.0000055196778659</v>
      </c>
      <c r="AO69">
        <f t="shared" si="80"/>
        <v>-3.3225449513773452E-3</v>
      </c>
      <c r="AP69" s="41" t="str">
        <f t="shared" si="81"/>
        <v>195.377499035762-100.510709984205i</v>
      </c>
      <c r="AQ69">
        <f t="shared" si="82"/>
        <v>46.837202128657232</v>
      </c>
      <c r="AR69" s="43">
        <f t="shared" si="83"/>
        <v>-27.2232665139902</v>
      </c>
      <c r="AS69" t="str">
        <f t="shared" si="58"/>
        <v>-0.0000166666666666667</v>
      </c>
      <c r="AT69" t="str">
        <f t="shared" si="59"/>
        <v>6.91287629643696E-07i</v>
      </c>
      <c r="AU69">
        <f t="shared" si="84"/>
        <v>6.9128762964369598E-7</v>
      </c>
      <c r="AV69">
        <f t="shared" si="85"/>
        <v>1.5707963267948966</v>
      </c>
      <c r="AW69" t="str">
        <f t="shared" si="60"/>
        <v>1+0.000702530023620599i</v>
      </c>
      <c r="AX69">
        <f t="shared" si="86"/>
        <v>1.0000002467741866</v>
      </c>
      <c r="AY69">
        <f t="shared" si="87"/>
        <v>7.0252990804310221E-4</v>
      </c>
      <c r="AZ69" t="str">
        <f t="shared" si="61"/>
        <v>1+0.0238860208031004i</v>
      </c>
      <c r="BA69">
        <f t="shared" si="88"/>
        <v>1.0002852303167362</v>
      </c>
      <c r="BB69">
        <f t="shared" si="89"/>
        <v>2.3881479698254479E-2</v>
      </c>
      <c r="BC69" s="41" t="str">
        <f t="shared" si="90"/>
        <v>-0.558944360812088+24.1099904055306i</v>
      </c>
      <c r="BD69">
        <f t="shared" si="91"/>
        <v>27.64627426666037</v>
      </c>
      <c r="BE69" s="43">
        <f t="shared" si="92"/>
        <v>91.328055996524753</v>
      </c>
      <c r="BF69" s="41" t="str">
        <f t="shared" si="93"/>
        <v>172.080180576687+308.165405211328i</v>
      </c>
      <c r="BG69" s="20">
        <f t="shared" si="94"/>
        <v>50.954396305088792</v>
      </c>
      <c r="BH69" s="43">
        <f t="shared" si="95"/>
        <v>60.820921424336653</v>
      </c>
      <c r="BI69" s="41" t="str">
        <f t="shared" si="101"/>
        <v>2314.10710205664+4766.72952175568i</v>
      </c>
      <c r="BJ69" s="20">
        <f t="shared" si="97"/>
        <v>74.483476395317595</v>
      </c>
      <c r="BK69" s="43">
        <f t="shared" si="102"/>
        <v>64.104789482534599</v>
      </c>
      <c r="BL69">
        <f t="shared" si="99"/>
        <v>50.954396305088792</v>
      </c>
      <c r="BM69" s="43">
        <f t="shared" si="100"/>
        <v>60.820921424336653</v>
      </c>
    </row>
    <row r="70" spans="1:65" x14ac:dyDescent="0.25">
      <c r="A70" t="s">
        <v>480</v>
      </c>
      <c r="B70">
        <f>SQRT((2*IOUT*Lm*Fsw*(VOUT-VIN_var)/(VIN_var^2)))</f>
        <v>14.380542409798039</v>
      </c>
      <c r="E70" s="31"/>
      <c r="N70" s="9">
        <v>52</v>
      </c>
      <c r="O70" s="34">
        <f t="shared" si="62"/>
        <v>33.113112148259127</v>
      </c>
      <c r="P70" s="33" t="str">
        <f t="shared" si="50"/>
        <v>16.5157725627975</v>
      </c>
      <c r="Q70" s="4" t="str">
        <f t="shared" si="63"/>
        <v>1+0.538338407167794i</v>
      </c>
      <c r="R70" s="4">
        <f t="shared" si="64"/>
        <v>1.1356972486679526</v>
      </c>
      <c r="S70" s="4">
        <f t="shared" si="65"/>
        <v>0.49384590901956843</v>
      </c>
      <c r="T70" s="4" t="str">
        <f t="shared" si="51"/>
        <v>1+0.00342251823447513i</v>
      </c>
      <c r="U70" s="4">
        <f t="shared" si="66"/>
        <v>1.0000058567983816</v>
      </c>
      <c r="V70" s="4">
        <f t="shared" si="67"/>
        <v>3.4225048711970787E-3</v>
      </c>
      <c r="W70" t="str">
        <f t="shared" si="52"/>
        <v>1-0.052013954931233i</v>
      </c>
      <c r="X70" s="4">
        <f t="shared" si="68"/>
        <v>1.0013518120558771</v>
      </c>
      <c r="Y70" s="4">
        <f t="shared" si="69"/>
        <v>-5.1967123849697934E-2</v>
      </c>
      <c r="Z70" t="str">
        <f t="shared" si="53"/>
        <v>0.999999977345492+0.000728195369037261i</v>
      </c>
      <c r="AA70" s="4">
        <f t="shared" si="70"/>
        <v>1.0000002424797105</v>
      </c>
      <c r="AB70" s="4">
        <f t="shared" si="71"/>
        <v>7.2819525682118048E-4</v>
      </c>
      <c r="AC70" s="47" t="str">
        <f t="shared" si="72"/>
        <v>12.4666705717297-7.52584113212307i</v>
      </c>
      <c r="AD70" s="20">
        <f t="shared" si="73"/>
        <v>23.264508925343502</v>
      </c>
      <c r="AE70" s="43">
        <f t="shared" si="74"/>
        <v>-31.118410617039022</v>
      </c>
      <c r="AF70" t="str">
        <f t="shared" si="54"/>
        <v>247.084651286898</v>
      </c>
      <c r="AG70" t="str">
        <f t="shared" si="55"/>
        <v>1+0.526455103977519i</v>
      </c>
      <c r="AH70">
        <f t="shared" si="75"/>
        <v>1.1301128158303402</v>
      </c>
      <c r="AI70">
        <f t="shared" si="76"/>
        <v>0.4845870172108791</v>
      </c>
      <c r="AJ70" t="str">
        <f t="shared" si="56"/>
        <v>1+0.00342251823447513i</v>
      </c>
      <c r="AK70">
        <f t="shared" si="77"/>
        <v>1.0000058567983816</v>
      </c>
      <c r="AL70">
        <f t="shared" si="78"/>
        <v>3.4225048711970787E-3</v>
      </c>
      <c r="AM70" t="str">
        <f t="shared" si="57"/>
        <v>1-0.00339994947631782i</v>
      </c>
      <c r="AN70">
        <f t="shared" si="79"/>
        <v>1.0000057798115176</v>
      </c>
      <c r="AO70">
        <f t="shared" si="80"/>
        <v>-3.3999363756593952E-3</v>
      </c>
      <c r="AP70" s="41" t="str">
        <f t="shared" si="81"/>
        <v>193.469443197375-101.847399441208i</v>
      </c>
      <c r="AQ70">
        <f t="shared" si="82"/>
        <v>46.794580438165745</v>
      </c>
      <c r="AR70" s="43">
        <f t="shared" si="83"/>
        <v>-27.763497813472604</v>
      </c>
      <c r="AS70" t="str">
        <f t="shared" si="58"/>
        <v>-0.0000166666666666667</v>
      </c>
      <c r="AT70" t="str">
        <f t="shared" si="59"/>
        <v>7.07389787064768E-07i</v>
      </c>
      <c r="AU70">
        <f t="shared" si="84"/>
        <v>7.0738978706476796E-7</v>
      </c>
      <c r="AV70">
        <f t="shared" si="85"/>
        <v>1.5707963267948966</v>
      </c>
      <c r="AW70" t="str">
        <f t="shared" si="60"/>
        <v>1+0.000718894050037794i</v>
      </c>
      <c r="AX70">
        <f t="shared" si="86"/>
        <v>1.0000002584042942</v>
      </c>
      <c r="AY70">
        <f t="shared" si="87"/>
        <v>7.1889392619427662E-4</v>
      </c>
      <c r="AZ70" t="str">
        <f t="shared" si="61"/>
        <v>1+0.024442397701285i</v>
      </c>
      <c r="BA70">
        <f t="shared" si="88"/>
        <v>1.0002986708005703</v>
      </c>
      <c r="BB70">
        <f t="shared" si="89"/>
        <v>2.4437531898239565E-2</v>
      </c>
      <c r="BC70" s="41" t="str">
        <f t="shared" si="90"/>
        <v>-0.558944347810926+23.5611981061215i</v>
      </c>
      <c r="BD70">
        <f t="shared" si="91"/>
        <v>27.446390874128678</v>
      </c>
      <c r="BE70" s="43">
        <f t="shared" si="92"/>
        <v>91.358977851596933</v>
      </c>
      <c r="BF70" s="41" t="str">
        <f t="shared" si="93"/>
        <v>170.34965877706+297.936221427602i</v>
      </c>
      <c r="BG70" s="20">
        <f t="shared" si="94"/>
        <v>50.710899799472188</v>
      </c>
      <c r="BH70" s="43">
        <f t="shared" si="95"/>
        <v>60.240567234557979</v>
      </c>
      <c r="BI70" s="41" t="str">
        <f t="shared" si="101"/>
        <v>2291.50810307829+4615.29890691128i</v>
      </c>
      <c r="BJ70" s="20">
        <f t="shared" si="97"/>
        <v>74.240971312294434</v>
      </c>
      <c r="BK70" s="43">
        <f t="shared" si="102"/>
        <v>63.595480038124343</v>
      </c>
      <c r="BL70">
        <f t="shared" si="99"/>
        <v>50.710899799472188</v>
      </c>
      <c r="BM70" s="43">
        <f t="shared" si="100"/>
        <v>60.240567234557979</v>
      </c>
    </row>
    <row r="71" spans="1:65" x14ac:dyDescent="0.25">
      <c r="A71" t="s">
        <v>459</v>
      </c>
      <c r="B71">
        <f>(Fsw*Gcomp)/((R_cs*Acs*(VIN_var/Lm))+((R_sl+Rsl_int)*Isl))</f>
        <v>73.332233349833089</v>
      </c>
      <c r="C71" t="s">
        <v>150</v>
      </c>
      <c r="E71" s="158"/>
      <c r="N71" s="9">
        <v>53</v>
      </c>
      <c r="O71" s="34">
        <f t="shared" si="62"/>
        <v>33.884415613920268</v>
      </c>
      <c r="P71" s="33" t="str">
        <f t="shared" si="50"/>
        <v>16.5157725627975</v>
      </c>
      <c r="Q71" s="4" t="str">
        <f t="shared" si="63"/>
        <v>1+0.550877919530385i</v>
      </c>
      <c r="R71" s="4">
        <f t="shared" si="64"/>
        <v>1.1416945660841717</v>
      </c>
      <c r="S71" s="4">
        <f t="shared" si="65"/>
        <v>0.50351698755789487</v>
      </c>
      <c r="T71" s="4" t="str">
        <f t="shared" si="51"/>
        <v>1+0.00350223892529149i</v>
      </c>
      <c r="U71" s="4">
        <f t="shared" si="66"/>
        <v>1.0000061328199392</v>
      </c>
      <c r="V71" s="4">
        <f t="shared" si="67"/>
        <v>3.5022246062858193E-3</v>
      </c>
      <c r="W71" t="str">
        <f t="shared" si="52"/>
        <v>1-0.0532255155819375i</v>
      </c>
      <c r="X71" s="4">
        <f t="shared" si="68"/>
        <v>1.0014154759683729</v>
      </c>
      <c r="Y71" s="4">
        <f t="shared" si="69"/>
        <v>-5.3175339003976453E-2</v>
      </c>
      <c r="Z71" t="str">
        <f t="shared" si="53"/>
        <v>0.999999976277818+0.000745157218147124i</v>
      </c>
      <c r="AA71" s="4">
        <f t="shared" si="70"/>
        <v>1.0000002539074258</v>
      </c>
      <c r="AB71" s="4">
        <f t="shared" si="71"/>
        <v>7.4515709790542897E-4</v>
      </c>
      <c r="AC71" s="47" t="str">
        <f t="shared" si="72"/>
        <v>12.3202699190762-7.62049168789217i</v>
      </c>
      <c r="AD71" s="20">
        <f t="shared" si="73"/>
        <v>23.21931623000691</v>
      </c>
      <c r="AE71" s="43">
        <f t="shared" si="74"/>
        <v>-31.738152467250931</v>
      </c>
      <c r="AF71" t="str">
        <f t="shared" si="54"/>
        <v>247.084651286898</v>
      </c>
      <c r="AG71" t="str">
        <f t="shared" si="55"/>
        <v>1+0.538717818650629i</v>
      </c>
      <c r="AH71">
        <f t="shared" si="75"/>
        <v>1.1358771448231944</v>
      </c>
      <c r="AI71">
        <f t="shared" si="76"/>
        <v>0.49414002359142606</v>
      </c>
      <c r="AJ71" t="str">
        <f t="shared" si="56"/>
        <v>1+0.00350223892529149i</v>
      </c>
      <c r="AK71">
        <f t="shared" si="77"/>
        <v>1.0000061328199392</v>
      </c>
      <c r="AL71">
        <f t="shared" si="78"/>
        <v>3.5022246062858193E-3</v>
      </c>
      <c r="AM71" t="str">
        <f t="shared" si="57"/>
        <v>1-0.00347914447322463i</v>
      </c>
      <c r="AN71">
        <f t="shared" si="79"/>
        <v>1.0000060522048182</v>
      </c>
      <c r="AO71">
        <f t="shared" si="80"/>
        <v>-3.479130435620805E-3</v>
      </c>
      <c r="AP71" s="41" t="str">
        <f t="shared" si="81"/>
        <v>191.511007422778-103.164685881748i</v>
      </c>
      <c r="AQ71">
        <f t="shared" si="82"/>
        <v>46.750393978929324</v>
      </c>
      <c r="AR71" s="43">
        <f t="shared" si="83"/>
        <v>-28.310814641773241</v>
      </c>
      <c r="AS71" t="str">
        <f t="shared" si="58"/>
        <v>-0.0000166666666666667</v>
      </c>
      <c r="AT71" t="str">
        <f t="shared" si="59"/>
        <v>7.23867011914351E-07i</v>
      </c>
      <c r="AU71">
        <f t="shared" si="84"/>
        <v>7.2386701191435104E-7</v>
      </c>
      <c r="AV71">
        <f t="shared" si="85"/>
        <v>1.5707963267948966</v>
      </c>
      <c r="AW71" t="str">
        <f t="shared" si="60"/>
        <v>1+0.000735639243596002i</v>
      </c>
      <c r="AX71">
        <f t="shared" si="86"/>
        <v>1.0000002705825117</v>
      </c>
      <c r="AY71">
        <f t="shared" si="87"/>
        <v>7.3563911089528434E-4</v>
      </c>
      <c r="AZ71" t="str">
        <f t="shared" si="61"/>
        <v>1+0.0250117342822641i</v>
      </c>
      <c r="BA71">
        <f t="shared" si="88"/>
        <v>1.0003127445213356</v>
      </c>
      <c r="BB71">
        <f t="shared" si="89"/>
        <v>2.5006520568400116E-2</v>
      </c>
      <c r="BC71" s="41" t="str">
        <f t="shared" si="90"/>
        <v>-0.558944334197038+23.0248982658169i</v>
      </c>
      <c r="BD71">
        <f t="shared" si="91"/>
        <v>27.246512973776305</v>
      </c>
      <c r="BE71" s="43">
        <f t="shared" si="92"/>
        <v>91.390619072577351</v>
      </c>
      <c r="BF71" s="41" t="str">
        <f t="shared" si="93"/>
        <v>168.574700782175+287.932392146877i</v>
      </c>
      <c r="BG71" s="20">
        <f t="shared" si="94"/>
        <v>50.465829203783237</v>
      </c>
      <c r="BH71" s="43">
        <f t="shared" si="95"/>
        <v>59.652466605326424</v>
      </c>
      <c r="BI71" s="41" t="str">
        <f t="shared" si="101"/>
        <v>2268.31240451688+4467.18477935639i</v>
      </c>
      <c r="BJ71" s="20">
        <f t="shared" si="97"/>
        <v>73.996906952705643</v>
      </c>
      <c r="BK71" s="43">
        <f t="shared" si="102"/>
        <v>63.079804430804089</v>
      </c>
      <c r="BL71">
        <f t="shared" si="99"/>
        <v>50.465829203783237</v>
      </c>
      <c r="BM71" s="43">
        <f t="shared" si="100"/>
        <v>59.652466605326424</v>
      </c>
    </row>
    <row r="72" spans="1:65" x14ac:dyDescent="0.25">
      <c r="A72" t="s">
        <v>458</v>
      </c>
      <c r="B72">
        <f>(B71*2*VOUT/DC_VIN_var_DCM)*(((VOUT/VIN_var)-1)/((2*VOUT/VIN_var)-1))</f>
        <v>247.08465128689804</v>
      </c>
      <c r="C72" t="s">
        <v>150</v>
      </c>
      <c r="N72" s="9">
        <v>54</v>
      </c>
      <c r="O72" s="34">
        <f t="shared" si="62"/>
        <v>34.67368504525318</v>
      </c>
      <c r="P72" s="33" t="str">
        <f t="shared" si="50"/>
        <v>16.5157725627975</v>
      </c>
      <c r="Q72" s="4" t="str">
        <f t="shared" si="63"/>
        <v>1+0.563709514657645i</v>
      </c>
      <c r="R72" s="4">
        <f t="shared" si="64"/>
        <v>1.1479409466150938</v>
      </c>
      <c r="S72" s="4">
        <f t="shared" si="65"/>
        <v>0.51330778589070303</v>
      </c>
      <c r="T72" s="4" t="str">
        <f t="shared" si="51"/>
        <v>1+0.00358381654954366i</v>
      </c>
      <c r="U72" s="4">
        <f t="shared" si="66"/>
        <v>1.0000064218499103</v>
      </c>
      <c r="V72" s="4">
        <f t="shared" si="67"/>
        <v>3.5838012064579733E-3</v>
      </c>
      <c r="W72" t="str">
        <f t="shared" si="52"/>
        <v>1-0.0544652971055267i</v>
      </c>
      <c r="X72" s="4">
        <f t="shared" si="68"/>
        <v>1.0014821359309378</v>
      </c>
      <c r="Y72" s="4">
        <f t="shared" si="69"/>
        <v>-5.4411536230089874E-2</v>
      </c>
      <c r="Z72" t="str">
        <f t="shared" si="53"/>
        <v>0.999999975159826+0.000762514159477374i</v>
      </c>
      <c r="AA72" s="4">
        <f t="shared" si="70"/>
        <v>1.0000002658737126</v>
      </c>
      <c r="AB72" s="4">
        <f t="shared" si="71"/>
        <v>7.6251403063607825E-4</v>
      </c>
      <c r="AC72" s="47" t="str">
        <f t="shared" si="72"/>
        <v>12.1702223114699-7.71341256717786i</v>
      </c>
      <c r="AD72" s="20">
        <f t="shared" si="73"/>
        <v>23.172504534928979</v>
      </c>
      <c r="AE72" s="43">
        <f t="shared" si="74"/>
        <v>-32.366273257580467</v>
      </c>
      <c r="AF72" t="str">
        <f t="shared" si="54"/>
        <v>247.084651286898</v>
      </c>
      <c r="AG72" t="str">
        <f t="shared" si="55"/>
        <v>1+0.551266168641963i</v>
      </c>
      <c r="AH72">
        <f t="shared" si="75"/>
        <v>1.1418819504174629</v>
      </c>
      <c r="AI72">
        <f t="shared" si="76"/>
        <v>0.50381479759782943</v>
      </c>
      <c r="AJ72" t="str">
        <f t="shared" si="56"/>
        <v>1+0.00358381654954366i</v>
      </c>
      <c r="AK72">
        <f t="shared" si="77"/>
        <v>1.0000064218499103</v>
      </c>
      <c r="AL72">
        <f t="shared" si="78"/>
        <v>3.5838012064579733E-3</v>
      </c>
      <c r="AM72" t="str">
        <f t="shared" si="57"/>
        <v>1-0.00356018415858308i</v>
      </c>
      <c r="AN72">
        <f t="shared" si="79"/>
        <v>1.0000063374355399</v>
      </c>
      <c r="AO72">
        <f t="shared" si="80"/>
        <v>-3.5601691170247304E-3</v>
      </c>
      <c r="AP72" s="41" t="str">
        <f t="shared" si="81"/>
        <v>189.50232852368-104.4603833929i</v>
      </c>
      <c r="AQ72">
        <f t="shared" si="82"/>
        <v>46.70460202580027</v>
      </c>
      <c r="AR72" s="43">
        <f t="shared" si="83"/>
        <v>-28.865107539607813</v>
      </c>
      <c r="AS72" t="str">
        <f t="shared" si="58"/>
        <v>-0.0000166666666666667</v>
      </c>
      <c r="AT72" t="str">
        <f t="shared" si="59"/>
        <v>7.40728040635165E-07i</v>
      </c>
      <c r="AU72">
        <f t="shared" si="84"/>
        <v>7.4072804063516505E-7</v>
      </c>
      <c r="AV72">
        <f t="shared" si="85"/>
        <v>1.5707963267948966</v>
      </c>
      <c r="AW72" t="str">
        <f t="shared" si="60"/>
        <v>1+0.000752774482818504i</v>
      </c>
      <c r="AX72">
        <f t="shared" si="86"/>
        <v>1.0000002833346708</v>
      </c>
      <c r="AY72">
        <f t="shared" si="87"/>
        <v>7.5277434062712536E-4</v>
      </c>
      <c r="AZ72" t="str">
        <f t="shared" si="61"/>
        <v>1+0.0255943324158291i</v>
      </c>
      <c r="BA72">
        <f t="shared" si="88"/>
        <v>1.0003274813039038</v>
      </c>
      <c r="BB72">
        <f t="shared" si="89"/>
        <v>2.5588745919544329E-2</v>
      </c>
      <c r="BC72" s="41" t="str">
        <f t="shared" si="90"/>
        <v>-0.558944319941546+22.5008065313424i</v>
      </c>
      <c r="BD72">
        <f t="shared" si="91"/>
        <v>27.046640824117503</v>
      </c>
      <c r="BE72" s="43">
        <f t="shared" si="92"/>
        <v>91.422996351578817</v>
      </c>
      <c r="BF72" s="41" t="str">
        <f t="shared" si="93"/>
        <v>166.755527237072+278.151185815601i</v>
      </c>
      <c r="BG72" s="20">
        <f t="shared" si="94"/>
        <v>50.219145359046493</v>
      </c>
      <c r="BH72" s="43">
        <f t="shared" si="95"/>
        <v>59.0567230939984</v>
      </c>
      <c r="BI72" s="41" t="str">
        <f t="shared" si="101"/>
        <v>2244.52162676949+4322.34276930659i</v>
      </c>
      <c r="BJ72" s="20">
        <f t="shared" si="97"/>
        <v>73.751242849917773</v>
      </c>
      <c r="BK72" s="43">
        <f t="shared" si="102"/>
        <v>62.55788881197099</v>
      </c>
      <c r="BL72">
        <f t="shared" si="99"/>
        <v>50.219145359046493</v>
      </c>
      <c r="BM72" s="43">
        <f t="shared" si="100"/>
        <v>59.0567230939984</v>
      </c>
    </row>
    <row r="73" spans="1:65" x14ac:dyDescent="0.25">
      <c r="A73" t="s">
        <v>483</v>
      </c>
      <c r="B73">
        <f>(IOUT_VAR*((2*VOUT)-VIN_var))/(Cout*VOUT*(VOUT-VIN_var))</f>
        <v>395.20144861928475</v>
      </c>
      <c r="C73" t="s">
        <v>385</v>
      </c>
      <c r="N73" s="9">
        <v>55</v>
      </c>
      <c r="O73" s="34">
        <f t="shared" si="62"/>
        <v>35.481338923357555</v>
      </c>
      <c r="P73" s="33" t="str">
        <f t="shared" si="50"/>
        <v>16.5157725627975</v>
      </c>
      <c r="Q73" s="4" t="str">
        <f t="shared" si="63"/>
        <v>1+0.576839996031153i</v>
      </c>
      <c r="R73" s="4">
        <f t="shared" si="64"/>
        <v>1.1544454863791624</v>
      </c>
      <c r="S73" s="4">
        <f t="shared" si="65"/>
        <v>0.52321598616899045</v>
      </c>
      <c r="T73" s="4" t="str">
        <f t="shared" si="51"/>
        <v>1+0.00366729436076782i</v>
      </c>
      <c r="U73" s="4">
        <f t="shared" si="66"/>
        <v>1.0000067245013549</v>
      </c>
      <c r="V73" s="4">
        <f t="shared" si="67"/>
        <v>3.6672779203612759E-3</v>
      </c>
      <c r="W73" t="str">
        <f t="shared" si="52"/>
        <v>1-0.0557339568505748i</v>
      </c>
      <c r="X73" s="4">
        <f t="shared" si="68"/>
        <v>1.0015519327255187</v>
      </c>
      <c r="Y73" s="4">
        <f t="shared" si="69"/>
        <v>-5.5676355854513054E-2</v>
      </c>
      <c r="Z73" t="str">
        <f t="shared" si="53"/>
        <v>0.999999973989144+0.000780275395908046i</v>
      </c>
      <c r="AA73" s="4">
        <f t="shared" si="70"/>
        <v>1.0000002784039523</v>
      </c>
      <c r="AB73" s="4">
        <f t="shared" si="71"/>
        <v>7.8027525785211301E-4</v>
      </c>
      <c r="AC73" s="47" t="str">
        <f t="shared" si="72"/>
        <v>12.0165547875239-7.80443954832914i</v>
      </c>
      <c r="AD73" s="20">
        <f t="shared" si="73"/>
        <v>23.124034727667659</v>
      </c>
      <c r="AE73" s="43">
        <f t="shared" si="74"/>
        <v>-33.002674922385744</v>
      </c>
      <c r="AF73" t="str">
        <f t="shared" si="54"/>
        <v>247.084651286898</v>
      </c>
      <c r="AG73" t="str">
        <f t="shared" si="55"/>
        <v>1+0.564106807252781i</v>
      </c>
      <c r="AH73">
        <f t="shared" si="75"/>
        <v>1.1481360938446827</v>
      </c>
      <c r="AI73">
        <f t="shared" si="76"/>
        <v>0.51360922358547267</v>
      </c>
      <c r="AJ73" t="str">
        <f t="shared" si="56"/>
        <v>1+0.00366729436076782i</v>
      </c>
      <c r="AK73">
        <f t="shared" si="77"/>
        <v>1.0000067245013549</v>
      </c>
      <c r="AL73">
        <f t="shared" si="78"/>
        <v>3.6672779203612759E-3</v>
      </c>
      <c r="AM73" t="str">
        <f t="shared" si="57"/>
        <v>1-0.00364311150070702i</v>
      </c>
      <c r="AN73">
        <f t="shared" si="79"/>
        <v>1.0000066361086843</v>
      </c>
      <c r="AO73">
        <f t="shared" si="80"/>
        <v>-3.6430953833926443E-3</v>
      </c>
      <c r="AP73" s="41" t="str">
        <f t="shared" si="81"/>
        <v>187.443659643539-105.732269167748i</v>
      </c>
      <c r="AQ73">
        <f t="shared" si="82"/>
        <v>46.657164011592513</v>
      </c>
      <c r="AR73" s="43">
        <f t="shared" si="83"/>
        <v>-29.426255273132305</v>
      </c>
      <c r="AS73" t="str">
        <f t="shared" si="58"/>
        <v>-0.0000166666666666667</v>
      </c>
      <c r="AT73" t="str">
        <f t="shared" si="59"/>
        <v>7.57981813167818E-07i</v>
      </c>
      <c r="AU73">
        <f t="shared" si="84"/>
        <v>7.5798181316781795E-7</v>
      </c>
      <c r="AV73">
        <f t="shared" si="85"/>
        <v>1.5707963267948966</v>
      </c>
      <c r="AW73" t="str">
        <f t="shared" si="60"/>
        <v>1+0.000770308853035944i</v>
      </c>
      <c r="AX73">
        <f t="shared" si="86"/>
        <v>1.0000002966878205</v>
      </c>
      <c r="AY73">
        <f t="shared" si="87"/>
        <v>7.7030870067513915E-4</v>
      </c>
      <c r="AZ73" t="str">
        <f t="shared" si="61"/>
        <v>1+0.0261905010032221i</v>
      </c>
      <c r="BA73">
        <f t="shared" si="88"/>
        <v>1.0003429123769507</v>
      </c>
      <c r="BB73">
        <f t="shared" si="89"/>
        <v>2.6184515075424093E-2</v>
      </c>
      <c r="BC73" s="41" t="str">
        <f t="shared" si="90"/>
        <v>-0.558944305014216+21.9886450223232i</v>
      </c>
      <c r="BD73">
        <f t="shared" si="91"/>
        <v>26.846774695818809</v>
      </c>
      <c r="BE73" s="43">
        <f t="shared" si="92"/>
        <v>91.456126764947584</v>
      </c>
      <c r="BF73" s="41" t="str">
        <f t="shared" si="93"/>
        <v>164.892465962012+268.590004653528i</v>
      </c>
      <c r="BG73" s="20">
        <f t="shared" si="94"/>
        <v>49.970809423486465</v>
      </c>
      <c r="BH73" s="43">
        <f t="shared" si="95"/>
        <v>58.453451842561883</v>
      </c>
      <c r="BI73" s="41" t="str">
        <f t="shared" si="101"/>
        <v>2220.13876806556+4180.73054329449i</v>
      </c>
      <c r="BJ73" s="20">
        <f t="shared" si="97"/>
        <v>73.503938707411322</v>
      </c>
      <c r="BK73" s="43">
        <f t="shared" si="102"/>
        <v>62.029871491815271</v>
      </c>
      <c r="BL73">
        <f t="shared" si="99"/>
        <v>49.970809423486465</v>
      </c>
      <c r="BM73" s="43">
        <f t="shared" si="100"/>
        <v>58.453451842561883</v>
      </c>
    </row>
    <row r="74" spans="1:65" x14ac:dyDescent="0.25">
      <c r="B74">
        <f>B73/(2*PI())</f>
        <v>62.898264064836866</v>
      </c>
      <c r="C74" t="s">
        <v>65</v>
      </c>
      <c r="N74" s="9">
        <v>56</v>
      </c>
      <c r="O74" s="34">
        <f t="shared" si="62"/>
        <v>36.307805477010156</v>
      </c>
      <c r="P74" s="33" t="str">
        <f t="shared" si="50"/>
        <v>16.5157725627975</v>
      </c>
      <c r="Q74" s="4" t="str">
        <f t="shared" si="63"/>
        <v>1+0.590276325605938i</v>
      </c>
      <c r="R74" s="4">
        <f t="shared" si="64"/>
        <v>1.161217525087719</v>
      </c>
      <c r="S74" s="4">
        <f t="shared" si="65"/>
        <v>0.5332390595052463</v>
      </c>
      <c r="T74" s="4" t="str">
        <f t="shared" si="51"/>
        <v>1+0.00375271662000445i</v>
      </c>
      <c r="U74" s="4">
        <f t="shared" si="66"/>
        <v>1.0000070414162243</v>
      </c>
      <c r="V74" s="4">
        <f t="shared" si="67"/>
        <v>3.752699003798151E-3</v>
      </c>
      <c r="W74" t="str">
        <f t="shared" si="52"/>
        <v>1-0.0570321674772713i</v>
      </c>
      <c r="X74" s="4">
        <f t="shared" si="68"/>
        <v>1.0016250137287686</v>
      </c>
      <c r="Y74" s="4">
        <f t="shared" si="69"/>
        <v>-5.6970452304832046E-2</v>
      </c>
      <c r="Z74" t="str">
        <f t="shared" si="53"/>
        <v>0.999999972763291+0.000798450344681797i</v>
      </c>
      <c r="AA74" s="4">
        <f t="shared" si="70"/>
        <v>1.0000002915247252</v>
      </c>
      <c r="AB74" s="4">
        <f t="shared" si="71"/>
        <v>7.9845019675220115E-4</v>
      </c>
      <c r="AC74" s="47" t="str">
        <f t="shared" si="72"/>
        <v>11.8593035630617-7.89340672602239i</v>
      </c>
      <c r="AD74" s="20">
        <f t="shared" si="73"/>
        <v>23.073868103338228</v>
      </c>
      <c r="AE74" s="43">
        <f t="shared" si="74"/>
        <v>-33.647248066918884</v>
      </c>
      <c r="AF74" t="str">
        <f t="shared" si="54"/>
        <v>247.084651286898</v>
      </c>
      <c r="AG74" t="str">
        <f t="shared" si="55"/>
        <v>1+0.577246542759643i</v>
      </c>
      <c r="AH74">
        <f t="shared" si="75"/>
        <v>1.1546486786585608</v>
      </c>
      <c r="AI74">
        <f t="shared" si="76"/>
        <v>0.52352097728166813</v>
      </c>
      <c r="AJ74" t="str">
        <f t="shared" si="56"/>
        <v>1+0.00375271662000445i</v>
      </c>
      <c r="AK74">
        <f t="shared" si="77"/>
        <v>1.0000070414162243</v>
      </c>
      <c r="AL74">
        <f t="shared" si="78"/>
        <v>3.752699003798151E-3</v>
      </c>
      <c r="AM74" t="str">
        <f t="shared" si="57"/>
        <v>1-0.00372797046877093i</v>
      </c>
      <c r="AN74">
        <f t="shared" si="79"/>
        <v>1.0000069488577648</v>
      </c>
      <c r="AO74">
        <f t="shared" si="80"/>
        <v>-3.7279531987639094E-3</v>
      </c>
      <c r="AP74" s="41" t="str">
        <f t="shared" si="81"/>
        <v>185.335375268598-106.978090230711i</v>
      </c>
      <c r="AQ74">
        <f t="shared" si="82"/>
        <v>46.608039623329049</v>
      </c>
      <c r="AR74" s="43">
        <f t="shared" si="83"/>
        <v>-29.994124654614719</v>
      </c>
      <c r="AS74" t="str">
        <f t="shared" si="58"/>
        <v>-0.0000166666666666667</v>
      </c>
      <c r="AT74" t="str">
        <f t="shared" si="59"/>
        <v>7.75637477690888E-07i</v>
      </c>
      <c r="AU74">
        <f t="shared" si="84"/>
        <v>7.7563747769088796E-7</v>
      </c>
      <c r="AV74">
        <f t="shared" si="85"/>
        <v>1.5707963267948966</v>
      </c>
      <c r="AW74" t="str">
        <f t="shared" si="60"/>
        <v>1+0.000788251651203509i</v>
      </c>
      <c r="AX74">
        <f t="shared" si="86"/>
        <v>1.0000003106702846</v>
      </c>
      <c r="AY74">
        <f t="shared" si="87"/>
        <v>7.8825148794596793E-4</v>
      </c>
      <c r="AZ74" t="str">
        <f t="shared" si="61"/>
        <v>1+0.0268005561409193i</v>
      </c>
      <c r="BA74">
        <f t="shared" si="88"/>
        <v>1.0003590704389411</v>
      </c>
      <c r="BB74">
        <f t="shared" si="89"/>
        <v>2.6794142228060185E-2</v>
      </c>
      <c r="BC74" s="41" t="str">
        <f t="shared" si="90"/>
        <v>-0.558944289383386+21.4881421839479i</v>
      </c>
      <c r="BD74">
        <f t="shared" si="91"/>
        <v>26.646914872268582</v>
      </c>
      <c r="BE74" s="43">
        <f t="shared" si="92"/>
        <v>91.490027781886894</v>
      </c>
      <c r="BF74" s="41" t="str">
        <f t="shared" si="93"/>
        <v>162.985956041862+259.24637577896i</v>
      </c>
      <c r="BG74" s="20">
        <f t="shared" si="94"/>
        <v>49.720782975606795</v>
      </c>
      <c r="BH74" s="43">
        <f t="shared" si="95"/>
        <v>57.842779714968032</v>
      </c>
      <c r="BI74" s="41" t="str">
        <f t="shared" si="101"/>
        <v>2195.16826381762+4042.30768811057i</v>
      </c>
      <c r="BJ74" s="20">
        <f t="shared" si="97"/>
        <v>73.25495449559763</v>
      </c>
      <c r="BK74" s="43">
        <f t="shared" si="102"/>
        <v>61.495903127272122</v>
      </c>
      <c r="BL74">
        <f t="shared" si="99"/>
        <v>49.720782975606795</v>
      </c>
      <c r="BM74" s="43">
        <f t="shared" si="100"/>
        <v>57.842779714968032</v>
      </c>
    </row>
    <row r="75" spans="1:65" x14ac:dyDescent="0.25">
      <c r="A75" t="s">
        <v>461</v>
      </c>
      <c r="B75">
        <f>1/(Cout*Resr)</f>
        <v>60790.273556231004</v>
      </c>
      <c r="C75" t="s">
        <v>385</v>
      </c>
      <c r="N75" s="9">
        <v>57</v>
      </c>
      <c r="O75" s="34">
        <f t="shared" si="62"/>
        <v>37.15352290971726</v>
      </c>
      <c r="P75" s="33" t="str">
        <f t="shared" si="50"/>
        <v>16.5157725627975</v>
      </c>
      <c r="Q75" s="4" t="str">
        <f t="shared" si="63"/>
        <v>1+0.604025627501789i</v>
      </c>
      <c r="R75" s="4">
        <f t="shared" si="64"/>
        <v>1.1682666470797367</v>
      </c>
      <c r="S75" s="4">
        <f t="shared" si="65"/>
        <v>0.54337426418164603</v>
      </c>
      <c r="T75" s="4" t="str">
        <f t="shared" si="51"/>
        <v>1+0.00384012861926607i</v>
      </c>
      <c r="U75" s="4">
        <f t="shared" si="66"/>
        <v>1.0000073732667236</v>
      </c>
      <c r="V75" s="4">
        <f t="shared" si="67"/>
        <v>3.8401097431684525E-3</v>
      </c>
      <c r="W75" t="str">
        <f t="shared" si="52"/>
        <v>1-0.058360617314074i</v>
      </c>
      <c r="X75" s="4">
        <f t="shared" si="68"/>
        <v>1.0017015332189922</v>
      </c>
      <c r="Y75" s="4">
        <f t="shared" si="69"/>
        <v>-5.8294494380660894E-2</v>
      </c>
      <c r="Z75" t="str">
        <f t="shared" si="53"/>
        <v>0.999999971479664+0.000817048642397035i</v>
      </c>
      <c r="AA75" s="4">
        <f t="shared" si="70"/>
        <v>1.00000030526386</v>
      </c>
      <c r="AB75" s="4">
        <f t="shared" si="71"/>
        <v>8.170484838876202E-4</v>
      </c>
      <c r="AC75" s="47" t="str">
        <f t="shared" si="72"/>
        <v>11.6985143346139-7.98014708319429i</v>
      </c>
      <c r="AD75" s="20">
        <f t="shared" si="73"/>
        <v>23.021966470794549</v>
      </c>
      <c r="AE75" s="43">
        <f t="shared" si="74"/>
        <v>-34.299871879129647</v>
      </c>
      <c r="AF75" t="str">
        <f t="shared" si="54"/>
        <v>247.084651286898</v>
      </c>
      <c r="AG75" t="str">
        <f t="shared" si="55"/>
        <v>1+0.590692342024235i</v>
      </c>
      <c r="AH75">
        <f t="shared" si="75"/>
        <v>1.1614290520415254</v>
      </c>
      <c r="AI75">
        <f t="shared" si="76"/>
        <v>0.53354752330966526</v>
      </c>
      <c r="AJ75" t="str">
        <f t="shared" si="56"/>
        <v>1+0.00384012861926607i</v>
      </c>
      <c r="AK75">
        <f t="shared" si="77"/>
        <v>1.0000073732667236</v>
      </c>
      <c r="AL75">
        <f t="shared" si="78"/>
        <v>3.8401097431684525E-3</v>
      </c>
      <c r="AM75" t="str">
        <f t="shared" si="57"/>
        <v>1-0.00381480605612289i</v>
      </c>
      <c r="AN75">
        <f t="shared" si="79"/>
        <v>1.0000072763461503</v>
      </c>
      <c r="AO75">
        <f t="shared" si="80"/>
        <v>-3.8147875509842379E-3</v>
      </c>
      <c r="AP75" s="41" t="str">
        <f t="shared" si="81"/>
        <v>183.177975839005-108.195570738917i</v>
      </c>
      <c r="AQ75">
        <f t="shared" si="82"/>
        <v>46.557188902388589</v>
      </c>
      <c r="AR75" s="43">
        <f t="shared" si="83"/>
        <v>-30.568570400561629</v>
      </c>
      <c r="AS75" t="str">
        <f t="shared" si="58"/>
        <v>-0.0000166666666666667</v>
      </c>
      <c r="AT75" t="str">
        <f t="shared" si="59"/>
        <v>7.93704395471405E-07i</v>
      </c>
      <c r="AU75">
        <f t="shared" si="84"/>
        <v>7.9370439547140504E-7</v>
      </c>
      <c r="AV75">
        <f t="shared" si="85"/>
        <v>1.5707963267948966</v>
      </c>
      <c r="AW75" t="str">
        <f t="shared" si="60"/>
        <v>1+0.000806612390830284i</v>
      </c>
      <c r="AX75">
        <f t="shared" si="86"/>
        <v>1.0000003253117216</v>
      </c>
      <c r="AY75">
        <f t="shared" si="87"/>
        <v>8.0661221589668015E-4</v>
      </c>
      <c r="AZ75" t="str">
        <f t="shared" si="61"/>
        <v>1+0.0274248212882296i</v>
      </c>
      <c r="BA75">
        <f t="shared" si="88"/>
        <v>1.0003759897272082</v>
      </c>
      <c r="BB75">
        <f t="shared" si="89"/>
        <v>2.7417948796279876E-2</v>
      </c>
      <c r="BC75" s="41" t="str">
        <f t="shared" si="90"/>
        <v>-0.558944273015895+20.9990326429864i</v>
      </c>
      <c r="BD75">
        <f t="shared" si="91"/>
        <v>26.447061650173282</v>
      </c>
      <c r="BE75" s="43">
        <f t="shared" si="92"/>
        <v>91.524717273258062</v>
      </c>
      <c r="BF75" s="41" t="str">
        <f t="shared" si="93"/>
        <v>161.036551505703+250.117941896978i</v>
      </c>
      <c r="BG75" s="20">
        <f t="shared" si="94"/>
        <v>49.469028120967842</v>
      </c>
      <c r="BH75" s="43">
        <f t="shared" si="95"/>
        <v>57.224845394128437</v>
      </c>
      <c r="BI75" s="41" t="str">
        <f t="shared" si="101"/>
        <v>2169.61604123521+3907.03558874964i</v>
      </c>
      <c r="BJ75" s="20">
        <f t="shared" si="97"/>
        <v>73.004250552561871</v>
      </c>
      <c r="BK75" s="43">
        <f t="shared" si="102"/>
        <v>60.956146872696372</v>
      </c>
      <c r="BL75">
        <f t="shared" si="99"/>
        <v>49.469028120967842</v>
      </c>
      <c r="BM75" s="43">
        <f t="shared" si="100"/>
        <v>57.224845394128437</v>
      </c>
    </row>
    <row r="76" spans="1:65" x14ac:dyDescent="0.25">
      <c r="B76">
        <f>B75/(2*PI())</f>
        <v>9675.072528382696</v>
      </c>
      <c r="C76" t="s">
        <v>65</v>
      </c>
      <c r="N76" s="9">
        <v>58</v>
      </c>
      <c r="O76" s="34">
        <f t="shared" si="62"/>
        <v>38.018939632056139</v>
      </c>
      <c r="P76" s="33" t="str">
        <f t="shared" si="50"/>
        <v>16.5157725627975</v>
      </c>
      <c r="Q76" s="4" t="str">
        <f t="shared" si="63"/>
        <v>1+0.618095191780566i</v>
      </c>
      <c r="R76" s="4">
        <f t="shared" si="64"/>
        <v>1.1756026820751366</v>
      </c>
      <c r="S76" s="4">
        <f t="shared" si="65"/>
        <v>0.55361864461391619</v>
      </c>
      <c r="T76" s="4" t="str">
        <f t="shared" si="51"/>
        <v>1+0.00392957670555174i</v>
      </c>
      <c r="U76" s="4">
        <f t="shared" si="66"/>
        <v>1.0000077207567375</v>
      </c>
      <c r="V76" s="4">
        <f t="shared" si="67"/>
        <v>3.92955647945717E-3</v>
      </c>
      <c r="W76" t="str">
        <f t="shared" si="52"/>
        <v>1-0.0597200107226708i</v>
      </c>
      <c r="X76" s="4">
        <f t="shared" si="68"/>
        <v>1.0017816526971912</v>
      </c>
      <c r="Y76" s="4">
        <f t="shared" si="69"/>
        <v>-5.9649165526837064E-2</v>
      </c>
      <c r="Z76" t="str">
        <f t="shared" si="53"/>
        <v>0.999999970135542+0.00083608015011739i</v>
      </c>
      <c r="AA76" s="4">
        <f t="shared" si="70"/>
        <v>1.0000003196505001</v>
      </c>
      <c r="AB76" s="4">
        <f t="shared" si="71"/>
        <v>8.3607998027149493E-4</v>
      </c>
      <c r="AC76" s="47" t="str">
        <f t="shared" si="72"/>
        <v>11.5342425443402-8.06449310158739i</v>
      </c>
      <c r="AD76" s="20">
        <f t="shared" si="73"/>
        <v>22.968292262086671</v>
      </c>
      <c r="AE76" s="43">
        <f t="shared" si="74"/>
        <v>-34.960414084869115</v>
      </c>
      <c r="AF76" t="str">
        <f t="shared" si="54"/>
        <v>247.084651286898</v>
      </c>
      <c r="AG76" t="str">
        <f t="shared" si="55"/>
        <v>1+0.604451334187306i</v>
      </c>
      <c r="AH76">
        <f t="shared" si="75"/>
        <v>1.1684868058308635</v>
      </c>
      <c r="AI76">
        <f t="shared" si="76"/>
        <v>0.54368611341924722</v>
      </c>
      <c r="AJ76" t="str">
        <f t="shared" si="56"/>
        <v>1+0.00392957670555174i</v>
      </c>
      <c r="AK76">
        <f t="shared" si="77"/>
        <v>1.0000077207567375</v>
      </c>
      <c r="AL76">
        <f t="shared" si="78"/>
        <v>3.92955647945717E-3</v>
      </c>
      <c r="AM76" t="str">
        <f t="shared" si="57"/>
        <v>1-0.00390366430414073i</v>
      </c>
      <c r="AN76">
        <f t="shared" si="79"/>
        <v>1.000007619268473</v>
      </c>
      <c r="AO76">
        <f t="shared" si="80"/>
        <v>-3.9036444755355774E-3</v>
      </c>
      <c r="AP76" s="41" t="str">
        <f t="shared" si="81"/>
        <v>180.972091894544-109.382419839658i</v>
      </c>
      <c r="AQ76">
        <f t="shared" si="82"/>
        <v>46.504572348202508</v>
      </c>
      <c r="AR76" s="43">
        <f t="shared" si="83"/>
        <v>-31.14943503033037</v>
      </c>
      <c r="AS76" t="str">
        <f t="shared" si="58"/>
        <v>-0.0000166666666666667</v>
      </c>
      <c r="AT76" t="str">
        <f t="shared" si="59"/>
        <v>8.12192145828322E-07i</v>
      </c>
      <c r="AU76">
        <f t="shared" si="84"/>
        <v>8.1219214582832201E-7</v>
      </c>
      <c r="AV76">
        <f t="shared" si="85"/>
        <v>1.5707963267948966</v>
      </c>
      <c r="AW76" t="str">
        <f t="shared" si="60"/>
        <v>1+0.000825400807023454i</v>
      </c>
      <c r="AX76">
        <f t="shared" si="86"/>
        <v>1.0000003406431881</v>
      </c>
      <c r="AY76">
        <f t="shared" si="87"/>
        <v>8.2540061957872383E-4</v>
      </c>
      <c r="AZ76" t="str">
        <f t="shared" si="61"/>
        <v>1+0.0280636274387974i</v>
      </c>
      <c r="BA76">
        <f t="shared" si="88"/>
        <v>1.000393706090269</v>
      </c>
      <c r="BB76">
        <f t="shared" si="89"/>
        <v>2.8056263587513057E-2</v>
      </c>
      <c r="BC76" s="41" t="str">
        <f t="shared" si="90"/>
        <v>-0.55894425587703+20.5210570670862i</v>
      </c>
      <c r="BD76">
        <f t="shared" si="91"/>
        <v>26.247215340181743</v>
      </c>
      <c r="BE76" s="43">
        <f t="shared" si="92"/>
        <v>91.560213520561717</v>
      </c>
      <c r="BF76" s="41" t="str">
        <f t="shared" si="93"/>
        <v>159.044924538746+241.202451573711i</v>
      </c>
      <c r="BG76" s="20">
        <f t="shared" si="94"/>
        <v>49.215507602268403</v>
      </c>
      <c r="BH76" s="43">
        <f t="shared" si="95"/>
        <v>56.599799435692674</v>
      </c>
      <c r="BI76" s="41" t="str">
        <f t="shared" si="101"/>
        <v>2143.4895684271+3774.87730058121i</v>
      </c>
      <c r="BJ76" s="20">
        <f t="shared" si="97"/>
        <v>72.751787688384255</v>
      </c>
      <c r="BK76" s="43">
        <f t="shared" si="102"/>
        <v>60.410778490231316</v>
      </c>
      <c r="BL76">
        <f t="shared" si="99"/>
        <v>49.215507602268403</v>
      </c>
      <c r="BM76" s="43">
        <f t="shared" si="100"/>
        <v>56.599799435692674</v>
      </c>
    </row>
    <row r="77" spans="1:65" x14ac:dyDescent="0.25">
      <c r="A77" t="s">
        <v>462</v>
      </c>
      <c r="B77">
        <f>2*Fsw/(DC_VIN_var_DCM)</f>
        <v>61193.797488502292</v>
      </c>
      <c r="C77" t="s">
        <v>385</v>
      </c>
      <c r="N77" s="9">
        <v>59</v>
      </c>
      <c r="O77" s="34">
        <f t="shared" si="62"/>
        <v>38.904514499428053</v>
      </c>
      <c r="P77" s="33" t="str">
        <f t="shared" si="50"/>
        <v>16.5157725627975</v>
      </c>
      <c r="Q77" s="4" t="str">
        <f t="shared" si="63"/>
        <v>1+0.632492478311482i</v>
      </c>
      <c r="R77" s="4">
        <f t="shared" si="64"/>
        <v>1.1832357056481184</v>
      </c>
      <c r="S77" s="4">
        <f t="shared" si="65"/>
        <v>0.56396903111859409</v>
      </c>
      <c r="T77" s="4" t="str">
        <f t="shared" si="51"/>
        <v>1+0.00402110830542078i</v>
      </c>
      <c r="U77" s="4">
        <f t="shared" si="66"/>
        <v>1.0000080846233215</v>
      </c>
      <c r="V77" s="4">
        <f t="shared" si="67"/>
        <v>4.0210866327794409E-3</v>
      </c>
      <c r="W77" t="str">
        <f t="shared" si="52"/>
        <v>1-0.0611110684714405i</v>
      </c>
      <c r="X77" s="4">
        <f t="shared" si="68"/>
        <v>1.0018655412228334</v>
      </c>
      <c r="Y77" s="4">
        <f t="shared" si="69"/>
        <v>-6.103516410866653E-2</v>
      </c>
      <c r="Z77" t="str">
        <f t="shared" si="53"/>
        <v>0.999999968728073+0.000855554958600166i</v>
      </c>
      <c r="AA77" s="4">
        <f t="shared" si="70"/>
        <v>1.0000003347151609</v>
      </c>
      <c r="AB77" s="4">
        <f t="shared" si="71"/>
        <v>8.5555477660701417E-4</v>
      </c>
      <c r="AC77" s="47" t="str">
        <f t="shared" si="72"/>
        <v>11.3665536016618-8.14627740832684i</v>
      </c>
      <c r="AD77" s="20">
        <f t="shared" si="73"/>
        <v>22.912808644743293</v>
      </c>
      <c r="AE77" s="43">
        <f t="shared" si="74"/>
        <v>-35.628730949219701</v>
      </c>
      <c r="AF77" t="str">
        <f t="shared" si="54"/>
        <v>247.084651286898</v>
      </c>
      <c r="AG77" t="str">
        <f t="shared" si="55"/>
        <v>1+0.618530814448623i</v>
      </c>
      <c r="AH77">
        <f t="shared" si="75"/>
        <v>1.1758317772634301</v>
      </c>
      <c r="AI77">
        <f t="shared" si="76"/>
        <v>0.55393378547447325</v>
      </c>
      <c r="AJ77" t="str">
        <f t="shared" si="56"/>
        <v>1+0.00402110830542078i</v>
      </c>
      <c r="AK77">
        <f t="shared" si="77"/>
        <v>1.0000080846233215</v>
      </c>
      <c r="AL77">
        <f t="shared" si="78"/>
        <v>4.0210866327794409E-3</v>
      </c>
      <c r="AM77" t="str">
        <f t="shared" si="57"/>
        <v>1-0.00399459232664374i</v>
      </c>
      <c r="AN77">
        <f t="shared" si="79"/>
        <v>1.000007978352101</v>
      </c>
      <c r="AO77">
        <f t="shared" si="80"/>
        <v>-3.9945710799196782E-3</v>
      </c>
      <c r="AP77" s="41" t="str">
        <f t="shared" si="81"/>
        <v>178.718487689498-110.536340056242i</v>
      </c>
      <c r="AQ77">
        <f t="shared" si="82"/>
        <v>46.450151025098506</v>
      </c>
      <c r="AR77" s="43">
        <f t="shared" si="83"/>
        <v>-31.736548808122198</v>
      </c>
      <c r="AS77" t="str">
        <f t="shared" si="58"/>
        <v>-0.0000166666666666667</v>
      </c>
      <c r="AT77" t="str">
        <f t="shared" si="59"/>
        <v>8.31110531211589E-07i</v>
      </c>
      <c r="AU77">
        <f t="shared" si="84"/>
        <v>8.3111053121158899E-7</v>
      </c>
      <c r="AV77">
        <f t="shared" si="85"/>
        <v>1.5707963267948966</v>
      </c>
      <c r="AW77" t="str">
        <f t="shared" si="60"/>
        <v>1+0.00084462686164998i</v>
      </c>
      <c r="AX77">
        <f t="shared" si="86"/>
        <v>1.000000356697204</v>
      </c>
      <c r="AY77">
        <f t="shared" si="87"/>
        <v>8.4462666079933681E-4</v>
      </c>
      <c r="AZ77" t="str">
        <f t="shared" si="61"/>
        <v>1+0.0287173132960993i</v>
      </c>
      <c r="BA77">
        <f t="shared" si="88"/>
        <v>1.0004122570635299</v>
      </c>
      <c r="BB77">
        <f t="shared" si="89"/>
        <v>2.8709422962890713E-2</v>
      </c>
      <c r="BC77" s="41" t="str">
        <f t="shared" si="90"/>
        <v>-0.558944237930438+20.0539620272699i</v>
      </c>
      <c r="BD77">
        <f t="shared" si="91"/>
        <v>26.047376267537871</v>
      </c>
      <c r="BE77" s="43">
        <f t="shared" si="92"/>
        <v>91.596535225101576</v>
      </c>
      <c r="BF77" s="41" t="str">
        <f t="shared" si="93"/>
        <v>157.011868169417+232.497749126621i</v>
      </c>
      <c r="BG77" s="20">
        <f t="shared" si="94"/>
        <v>48.960184912281179</v>
      </c>
      <c r="BH77" s="43">
        <f t="shared" si="95"/>
        <v>55.967804275881861</v>
      </c>
      <c r="BI77" s="41" t="str">
        <f t="shared" si="101"/>
        <v>2116.79789721558+3645.79741605265i</v>
      </c>
      <c r="BJ77" s="20">
        <f t="shared" si="97"/>
        <v>72.497527292636363</v>
      </c>
      <c r="BK77" s="43">
        <f t="shared" si="102"/>
        <v>59.859986416979396</v>
      </c>
      <c r="BL77">
        <f t="shared" si="99"/>
        <v>48.960184912281179</v>
      </c>
      <c r="BM77" s="43">
        <f t="shared" si="100"/>
        <v>55.967804275881861</v>
      </c>
    </row>
    <row r="78" spans="1:65" x14ac:dyDescent="0.25">
      <c r="B78">
        <f>B77/(2*PI())</f>
        <v>9739.2953568595512</v>
      </c>
      <c r="C78" t="s">
        <v>65</v>
      </c>
      <c r="N78" s="9">
        <v>60</v>
      </c>
      <c r="O78" s="34">
        <f t="shared" si="62"/>
        <v>39.810717055349755</v>
      </c>
      <c r="P78" s="33" t="str">
        <f t="shared" si="50"/>
        <v>16.5157725627975</v>
      </c>
      <c r="Q78" s="4" t="str">
        <f t="shared" si="63"/>
        <v>1+0.647225120726425i</v>
      </c>
      <c r="R78" s="4">
        <f t="shared" si="64"/>
        <v>1.1911760394246249</v>
      </c>
      <c r="S78" s="4">
        <f t="shared" si="65"/>
        <v>0.57442204052777224</v>
      </c>
      <c r="T78" s="4" t="str">
        <f t="shared" si="51"/>
        <v>1+0.00411477195013902i</v>
      </c>
      <c r="U78" s="4">
        <f t="shared" si="66"/>
        <v>1.0000084656382673</v>
      </c>
      <c r="V78" s="4">
        <f t="shared" si="67"/>
        <v>4.1147487274960483E-3</v>
      </c>
      <c r="W78" t="str">
        <f t="shared" si="52"/>
        <v>1-0.0625345281176143i</v>
      </c>
      <c r="X78" s="4">
        <f t="shared" si="68"/>
        <v>1.0019533757650068</v>
      </c>
      <c r="Y78" s="4">
        <f t="shared" si="69"/>
        <v>-6.245320368897285E-2</v>
      </c>
      <c r="Z78" t="str">
        <f t="shared" si="53"/>
        <v>0.999999967254273+0.000875483393646599i</v>
      </c>
      <c r="AA78" s="4">
        <f t="shared" si="70"/>
        <v>1.0000003504897983</v>
      </c>
      <c r="AB78" s="4">
        <f t="shared" si="71"/>
        <v>8.7548319863742653E-4</v>
      </c>
      <c r="AC78" s="47" t="str">
        <f t="shared" si="72"/>
        <v>11.1955230570354-8.22533345535793i</v>
      </c>
      <c r="AD78" s="20">
        <f t="shared" si="73"/>
        <v>22.855479636380451</v>
      </c>
      <c r="AE78" s="43">
        <f t="shared" si="74"/>
        <v>-36.304667326457356</v>
      </c>
      <c r="AF78" t="str">
        <f t="shared" si="54"/>
        <v>247.084651286898</v>
      </c>
      <c r="AG78" t="str">
        <f t="shared" si="55"/>
        <v>1+0.632938247934982i</v>
      </c>
      <c r="AH78">
        <f t="shared" si="75"/>
        <v>1.1834740494404619</v>
      </c>
      <c r="AI78">
        <f t="shared" si="76"/>
        <v>0.56428736324623918</v>
      </c>
      <c r="AJ78" t="str">
        <f t="shared" si="56"/>
        <v>1+0.00411477195013902i</v>
      </c>
      <c r="AK78">
        <f t="shared" si="77"/>
        <v>1.0000084656382673</v>
      </c>
      <c r="AL78">
        <f t="shared" si="78"/>
        <v>4.1147487274960483E-3</v>
      </c>
      <c r="AM78" t="str">
        <f t="shared" si="57"/>
        <v>1-0.004087638334873i</v>
      </c>
      <c r="AN78">
        <f t="shared" si="79"/>
        <v>1.0000083543586806</v>
      </c>
      <c r="AO78">
        <f t="shared" si="80"/>
        <v>-4.0876155686082674E-3</v>
      </c>
      <c r="AP78" s="41" t="str">
        <f t="shared" si="81"/>
        <v>176.418064212086-111.655036166613i</v>
      </c>
      <c r="AQ78">
        <f t="shared" si="82"/>
        <v>46.393886671834863</v>
      </c>
      <c r="AR78" s="43">
        <f t="shared" si="83"/>
        <v>-32.329729731086054</v>
      </c>
      <c r="AS78" t="str">
        <f t="shared" si="58"/>
        <v>-0.0000166666666666667</v>
      </c>
      <c r="AT78" t="str">
        <f t="shared" si="59"/>
        <v>8.50469582399555E-07i</v>
      </c>
      <c r="AU78">
        <f t="shared" si="84"/>
        <v>8.5046958239955501E-7</v>
      </c>
      <c r="AV78">
        <f t="shared" si="85"/>
        <v>1.5707963267948966</v>
      </c>
      <c r="AW78" t="str">
        <f t="shared" si="60"/>
        <v>1+0.000864300748618508i</v>
      </c>
      <c r="AX78">
        <f t="shared" si="86"/>
        <v>1.0000003735078222</v>
      </c>
      <c r="AY78">
        <f t="shared" si="87"/>
        <v>8.6430053340317073E-4</v>
      </c>
      <c r="AZ78" t="str">
        <f t="shared" si="61"/>
        <v>1+0.0293862254530293i</v>
      </c>
      <c r="BA78">
        <f t="shared" si="88"/>
        <v>1.0004316819485357</v>
      </c>
      <c r="BB78">
        <f t="shared" si="89"/>
        <v>2.9377771005691212E-2</v>
      </c>
      <c r="BC78" s="41" t="str">
        <f t="shared" si="90"/>
        <v>-0.558944219138048+19.5974998635645i</v>
      </c>
      <c r="BD78">
        <f t="shared" si="91"/>
        <v>25.84754477276444</v>
      </c>
      <c r="BE78" s="43">
        <f t="shared" si="92"/>
        <v>91.633701517332995</v>
      </c>
      <c r="BF78" s="41" t="str">
        <f t="shared" si="93"/>
        <v>154.938298376193+224.00176416814i</v>
      </c>
      <c r="BG78" s="20">
        <f t="shared" si="94"/>
        <v>48.703024409144902</v>
      </c>
      <c r="BH78" s="43">
        <f t="shared" si="95"/>
        <v>55.329034190875682</v>
      </c>
      <c r="BI78" s="41" t="str">
        <f t="shared" si="101"/>
        <v>2089.55169889862+3519.76192632965i</v>
      </c>
      <c r="BJ78" s="20">
        <f t="shared" si="97"/>
        <v>72.241431444599314</v>
      </c>
      <c r="BK78" s="43">
        <f t="shared" si="102"/>
        <v>59.303971786246933</v>
      </c>
      <c r="BL78">
        <f t="shared" si="99"/>
        <v>48.703024409144902</v>
      </c>
      <c r="BM78" s="43">
        <f t="shared" si="100"/>
        <v>55.329034190875682</v>
      </c>
    </row>
    <row r="79" spans="1:65" x14ac:dyDescent="0.25">
      <c r="N79" s="9">
        <v>61</v>
      </c>
      <c r="O79" s="34">
        <f t="shared" si="62"/>
        <v>40.738027780411279</v>
      </c>
      <c r="P79" s="33" t="str">
        <f t="shared" si="50"/>
        <v>16.5157725627975</v>
      </c>
      <c r="Q79" s="4" t="str">
        <f t="shared" si="63"/>
        <v>1+0.662300930467416i</v>
      </c>
      <c r="R79" s="4">
        <f t="shared" si="64"/>
        <v>1.1994342510108693</v>
      </c>
      <c r="S79" s="4">
        <f t="shared" si="65"/>
        <v>0.58497407769096998</v>
      </c>
      <c r="T79" s="4" t="str">
        <f t="shared" si="51"/>
        <v>1+0.00421061730141067i</v>
      </c>
      <c r="U79" s="4">
        <f t="shared" si="66"/>
        <v>1.0000088646097389</v>
      </c>
      <c r="V79" s="4">
        <f t="shared" si="67"/>
        <v>4.2105924179123193E-3</v>
      </c>
      <c r="W79" t="str">
        <f t="shared" si="52"/>
        <v>1-0.0639911443983385i</v>
      </c>
      <c r="X79" s="4">
        <f t="shared" si="68"/>
        <v>1.0020453415696364</v>
      </c>
      <c r="Y79" s="4">
        <f t="shared" si="69"/>
        <v>-6.3904013306672766E-2</v>
      </c>
      <c r="Z79" t="str">
        <f t="shared" si="53"/>
        <v>0.999999965711014+0.000895876021576738i</v>
      </c>
      <c r="AA79" s="4">
        <f t="shared" si="70"/>
        <v>1.0000003670078703</v>
      </c>
      <c r="AB79" s="4">
        <f t="shared" si="71"/>
        <v>8.9587581262064956E-4</v>
      </c>
      <c r="AC79" s="47" t="str">
        <f t="shared" si="72"/>
        <v>11.0212367235094-8.30149622797875i</v>
      </c>
      <c r="AD79" s="20">
        <f t="shared" si="73"/>
        <v>22.79627022108405</v>
      </c>
      <c r="AE79" s="43">
        <f t="shared" si="74"/>
        <v>-36.988056760905543</v>
      </c>
      <c r="AF79" t="str">
        <f t="shared" si="54"/>
        <v>247.084651286898</v>
      </c>
      <c r="AG79" t="str">
        <f t="shared" si="55"/>
        <v>1+0.647681273658326i</v>
      </c>
      <c r="AH79">
        <f t="shared" si="75"/>
        <v>1.1914239515167013</v>
      </c>
      <c r="AI79">
        <f t="shared" si="76"/>
        <v>0.57474345705360896</v>
      </c>
      <c r="AJ79" t="str">
        <f t="shared" si="56"/>
        <v>1+0.00421061730141067i</v>
      </c>
      <c r="AK79">
        <f t="shared" si="77"/>
        <v>1.0000088646097389</v>
      </c>
      <c r="AL79">
        <f t="shared" si="78"/>
        <v>4.2105924179123193E-3</v>
      </c>
      <c r="AM79" t="str">
        <f t="shared" si="57"/>
        <v>1-0.00418285166305371i</v>
      </c>
      <c r="AN79">
        <f t="shared" si="79"/>
        <v>1.0000087480857531</v>
      </c>
      <c r="AO79">
        <f t="shared" si="80"/>
        <v>-4.1828272685730658E-3</v>
      </c>
      <c r="AP79" s="41" t="str">
        <f t="shared" si="81"/>
        <v>174.071861545857-112.736224531025i</v>
      </c>
      <c r="AQ79">
        <f t="shared" si="82"/>
        <v>46.33574181331818</v>
      </c>
      <c r="AR79" s="43">
        <f t="shared" si="83"/>
        <v>-32.928783566055536</v>
      </c>
      <c r="AS79" t="str">
        <f t="shared" si="58"/>
        <v>-0.0000166666666666667</v>
      </c>
      <c r="AT79" t="str">
        <f t="shared" si="59"/>
        <v>8.70279563817404E-07i</v>
      </c>
      <c r="AU79">
        <f t="shared" si="84"/>
        <v>8.7027956381740398E-7</v>
      </c>
      <c r="AV79">
        <f t="shared" si="85"/>
        <v>1.5707963267948966</v>
      </c>
      <c r="AW79" t="str">
        <f t="shared" si="60"/>
        <v>1+0.00088443289928433i</v>
      </c>
      <c r="AX79">
        <f t="shared" si="86"/>
        <v>1.0000003911107003</v>
      </c>
      <c r="AY79">
        <f t="shared" si="87"/>
        <v>8.8443266867694616E-4</v>
      </c>
      <c r="AZ79" t="str">
        <f t="shared" si="61"/>
        <v>1+0.0300707185756672i</v>
      </c>
      <c r="BA79">
        <f t="shared" si="88"/>
        <v>1.0004520218959312</v>
      </c>
      <c r="BB79">
        <f t="shared" si="89"/>
        <v>3.0061659693176472E-2</v>
      </c>
      <c r="BC79" s="41" t="str">
        <f t="shared" si="90"/>
        <v>-0.558944199460001+19.1514285536889i</v>
      </c>
      <c r="BD79">
        <f t="shared" si="91"/>
        <v>25.647721212378443</v>
      </c>
      <c r="BE79" s="43">
        <f t="shared" si="92"/>
        <v>91.671731966398866</v>
      </c>
      <c r="BF79" s="41" t="str">
        <f t="shared" si="93"/>
        <v>152.825255561372+215.71250084705i</v>
      </c>
      <c r="BG79" s="20">
        <f t="shared" si="94"/>
        <v>48.443991433462486</v>
      </c>
      <c r="BH79" s="43">
        <f t="shared" si="95"/>
        <v>54.683675205493245</v>
      </c>
      <c r="BI79" s="41" t="str">
        <f t="shared" si="101"/>
        <v>2061.76329221829+3396.73807837374i</v>
      </c>
      <c r="BJ79" s="20">
        <f t="shared" si="97"/>
        <v>71.983463025696622</v>
      </c>
      <c r="BK79" s="43">
        <f t="shared" si="102"/>
        <v>58.742948400343366</v>
      </c>
      <c r="BL79">
        <f t="shared" si="99"/>
        <v>48.443991433462486</v>
      </c>
      <c r="BM79" s="43">
        <f t="shared" si="100"/>
        <v>54.683675205493245</v>
      </c>
    </row>
    <row r="80" spans="1:65" x14ac:dyDescent="0.25">
      <c r="N80" s="9">
        <v>62</v>
      </c>
      <c r="O80" s="34">
        <f t="shared" si="62"/>
        <v>41.686938347033561</v>
      </c>
      <c r="P80" s="33" t="str">
        <f t="shared" si="50"/>
        <v>16.5157725627975</v>
      </c>
      <c r="Q80" s="4" t="str">
        <f t="shared" si="63"/>
        <v>1+0.677727900928331i</v>
      </c>
      <c r="R80" s="4">
        <f t="shared" si="64"/>
        <v>1.2080211536627667</v>
      </c>
      <c r="S80" s="4">
        <f t="shared" si="65"/>
        <v>0.59562133789857841</v>
      </c>
      <c r="T80" s="4" t="str">
        <f t="shared" si="51"/>
        <v>1+0.00430869517770965i</v>
      </c>
      <c r="U80" s="4">
        <f t="shared" si="66"/>
        <v>1.0000092823839859</v>
      </c>
      <c r="V80" s="4">
        <f t="shared" si="67"/>
        <v>4.3086685145741531E-3</v>
      </c>
      <c r="W80" t="str">
        <f t="shared" si="52"/>
        <v>1-0.0654816896308457i</v>
      </c>
      <c r="X80" s="4">
        <f t="shared" si="68"/>
        <v>1.0021416325434795</v>
      </c>
      <c r="Y80" s="4">
        <f t="shared" si="69"/>
        <v>-6.538833775657546E-2</v>
      </c>
      <c r="Z80" t="str">
        <f t="shared" si="53"/>
        <v>0.999999964095024+0.00091674365483184i</v>
      </c>
      <c r="AA80" s="4">
        <f t="shared" si="70"/>
        <v>1.0000003843044152</v>
      </c>
      <c r="AB80" s="4">
        <f t="shared" si="71"/>
        <v>9.1674343093136191E-4</v>
      </c>
      <c r="AC80" s="47" t="str">
        <f t="shared" si="72"/>
        <v>10.8437907420049-8.37460297811922i</v>
      </c>
      <c r="AD80" s="20">
        <f t="shared" si="73"/>
        <v>22.735146466970392</v>
      </c>
      <c r="AE80" s="43">
        <f t="shared" si="74"/>
        <v>-37.678721640634585</v>
      </c>
      <c r="AF80" t="str">
        <f t="shared" si="54"/>
        <v>247.084651286898</v>
      </c>
      <c r="AG80" t="str">
        <f t="shared" si="55"/>
        <v>1+0.66276770856604i</v>
      </c>
      <c r="AH80">
        <f t="shared" si="75"/>
        <v>1.1996920586208275</v>
      </c>
      <c r="AI80">
        <f t="shared" si="76"/>
        <v>0.58529846529339002</v>
      </c>
      <c r="AJ80" t="str">
        <f t="shared" si="56"/>
        <v>1+0.00430869517770965i</v>
      </c>
      <c r="AK80">
        <f t="shared" si="77"/>
        <v>1.0000092823839859</v>
      </c>
      <c r="AL80">
        <f t="shared" si="78"/>
        <v>4.3086685145741531E-3</v>
      </c>
      <c r="AM80" t="str">
        <f t="shared" si="57"/>
        <v>1-0.00428028279455277i</v>
      </c>
      <c r="AN80">
        <f t="shared" si="79"/>
        <v>1.0000091603684444</v>
      </c>
      <c r="AO80">
        <f t="shared" si="80"/>
        <v>-4.2802566554087512E-3</v>
      </c>
      <c r="AP80" s="41" t="str">
        <f t="shared" si="81"/>
        <v>171.681060513434-113.777642816892i</v>
      </c>
      <c r="AQ80">
        <f t="shared" si="82"/>
        <v>46.275679873947297</v>
      </c>
      <c r="AR80" s="43">
        <f t="shared" si="83"/>
        <v>-33.533503937177301</v>
      </c>
      <c r="AS80" t="str">
        <f t="shared" si="58"/>
        <v>-0.0000166666666666667</v>
      </c>
      <c r="AT80" t="str">
        <f t="shared" si="59"/>
        <v>8.90550978979501E-07i</v>
      </c>
      <c r="AU80">
        <f t="shared" si="84"/>
        <v>8.90550978979501E-7</v>
      </c>
      <c r="AV80">
        <f t="shared" si="85"/>
        <v>1.5707963267948966</v>
      </c>
      <c r="AW80" t="str">
        <f t="shared" si="60"/>
        <v>1+0.000905033987980207i</v>
      </c>
      <c r="AX80">
        <f t="shared" si="86"/>
        <v>1.0000004095431758</v>
      </c>
      <c r="AY80">
        <f t="shared" si="87"/>
        <v>9.0503374087994872E-4</v>
      </c>
      <c r="AZ80" t="str">
        <f t="shared" si="61"/>
        <v>1+0.030771155591327i</v>
      </c>
      <c r="BA80">
        <f t="shared" si="88"/>
        <v>1.0004733199923053</v>
      </c>
      <c r="BB80">
        <f t="shared" si="89"/>
        <v>3.0761449071858536E-2</v>
      </c>
      <c r="BC80" s="41" t="str">
        <f t="shared" si="90"/>
        <v>-0.558944178854559+18.7155115847299i</v>
      </c>
      <c r="BD80">
        <f t="shared" si="91"/>
        <v>25.447905959639399</v>
      </c>
      <c r="BE80" s="43">
        <f t="shared" si="92"/>
        <v>91.710646589854747</v>
      </c>
      <c r="BF80" s="41" t="str">
        <f t="shared" si="93"/>
        <v>150.673905342543+207.628026839217i</v>
      </c>
      <c r="BG80" s="20">
        <f t="shared" si="94"/>
        <v>48.18305242660977</v>
      </c>
      <c r="BH80" s="43">
        <f t="shared" si="95"/>
        <v>54.031924949220162</v>
      </c>
      <c r="BI80" s="41" t="str">
        <f t="shared" si="101"/>
        <v>2033.44666282924+3276.69422805418i</v>
      </c>
      <c r="BJ80" s="20">
        <f t="shared" si="97"/>
        <v>71.723585833586682</v>
      </c>
      <c r="BK80" s="43">
        <f t="shared" si="102"/>
        <v>58.177142652677446</v>
      </c>
      <c r="BL80">
        <f t="shared" si="99"/>
        <v>48.18305242660977</v>
      </c>
      <c r="BM80" s="43">
        <f t="shared" si="100"/>
        <v>54.031924949220162</v>
      </c>
    </row>
    <row r="81" spans="14:65" x14ac:dyDescent="0.25">
      <c r="N81" s="9">
        <v>63</v>
      </c>
      <c r="O81" s="34">
        <f t="shared" si="62"/>
        <v>42.657951880159267</v>
      </c>
      <c r="P81" s="33" t="str">
        <f t="shared" si="50"/>
        <v>16.5157725627975</v>
      </c>
      <c r="Q81" s="4" t="str">
        <f t="shared" si="63"/>
        <v>1+0.693514211693106i</v>
      </c>
      <c r="R81" s="4">
        <f t="shared" si="64"/>
        <v>1.2169478057091481</v>
      </c>
      <c r="S81" s="4">
        <f t="shared" si="65"/>
        <v>0.60635981025543217</v>
      </c>
      <c r="T81" s="4" t="str">
        <f t="shared" si="51"/>
        <v>1+0.00440905758122416i</v>
      </c>
      <c r="U81" s="4">
        <f t="shared" si="66"/>
        <v>1.0000097198471396</v>
      </c>
      <c r="V81" s="4">
        <f t="shared" si="67"/>
        <v>4.4090290111747348E-3</v>
      </c>
      <c r="W81" t="str">
        <f t="shared" si="52"/>
        <v>1-0.0670069541219477i</v>
      </c>
      <c r="X81" s="4">
        <f t="shared" si="68"/>
        <v>1.0022424516556365</v>
      </c>
      <c r="Y81" s="4">
        <f t="shared" si="69"/>
        <v>-6.6906937870074068E-2</v>
      </c>
      <c r="Z81" t="str">
        <f t="shared" si="53"/>
        <v>0.999999962402875+0.000938097357707268i</v>
      </c>
      <c r="AA81" s="4">
        <f t="shared" si="70"/>
        <v>1.0000004024161209</v>
      </c>
      <c r="AB81" s="4">
        <f t="shared" si="71"/>
        <v>9.3809711779358797E-4</v>
      </c>
      <c r="AC81" s="47" t="str">
        <f t="shared" si="72"/>
        <v>10.6632915866418-8.44449397745329i</v>
      </c>
      <c r="AD81" s="20">
        <f t="shared" si="73"/>
        <v>22.672075644285336</v>
      </c>
      <c r="AE81" s="43">
        <f t="shared" si="74"/>
        <v>-38.376473405620906</v>
      </c>
      <c r="AF81" t="str">
        <f t="shared" si="54"/>
        <v>247.084651286898</v>
      </c>
      <c r="AG81" t="str">
        <f t="shared" si="55"/>
        <v>1+0.678205551685601i</v>
      </c>
      <c r="AH81">
        <f t="shared" si="75"/>
        <v>1.208289191517151</v>
      </c>
      <c r="AI81">
        <f t="shared" si="76"/>
        <v>0.59594857689226521</v>
      </c>
      <c r="AJ81" t="str">
        <f t="shared" si="56"/>
        <v>1+0.00440905758122416i</v>
      </c>
      <c r="AK81">
        <f t="shared" si="77"/>
        <v>1.0000097198471396</v>
      </c>
      <c r="AL81">
        <f t="shared" si="78"/>
        <v>4.4090290111747348E-3</v>
      </c>
      <c r="AM81" t="str">
        <f t="shared" si="57"/>
        <v>1-0.00437998338864573i</v>
      </c>
      <c r="AN81">
        <f t="shared" si="79"/>
        <v>1.0000095920812384</v>
      </c>
      <c r="AO81">
        <f t="shared" si="80"/>
        <v>-4.3799553800628012E-3</v>
      </c>
      <c r="AP81" s="41" t="str">
        <f t="shared" si="81"/>
        <v>169.246983547104-114.777060060953i</v>
      </c>
      <c r="AQ81">
        <f t="shared" si="82"/>
        <v>46.213665291980121</v>
      </c>
      <c r="AR81" s="43">
        <f t="shared" si="83"/>
        <v>-34.143672466396616</v>
      </c>
      <c r="AS81" t="str">
        <f t="shared" si="58"/>
        <v>-0.0000166666666666667</v>
      </c>
      <c r="AT81" t="str">
        <f t="shared" si="59"/>
        <v>9.11294576058488E-07i</v>
      </c>
      <c r="AU81">
        <f t="shared" si="84"/>
        <v>9.1129457605848803E-7</v>
      </c>
      <c r="AV81">
        <f t="shared" si="85"/>
        <v>1.5707963267948966</v>
      </c>
      <c r="AW81" t="str">
        <f t="shared" si="60"/>
        <v>1+0.000926114937676049i</v>
      </c>
      <c r="AX81">
        <f t="shared" si="86"/>
        <v>1.0000004288443469</v>
      </c>
      <c r="AY81">
        <f t="shared" si="87"/>
        <v>9.2611467290335805E-4</v>
      </c>
      <c r="AZ81" t="str">
        <f t="shared" si="61"/>
        <v>1+0.0314879078809857i</v>
      </c>
      <c r="BA81">
        <f t="shared" si="88"/>
        <v>1.0004956213510989</v>
      </c>
      <c r="BB81">
        <f t="shared" si="89"/>
        <v>3.1477507436236576E-2</v>
      </c>
      <c r="BC81" s="41" t="str">
        <f t="shared" si="90"/>
        <v>-0.558944157278016+18.2895178277404i</v>
      </c>
      <c r="BD81">
        <f t="shared" si="91"/>
        <v>25.24809940533288</v>
      </c>
      <c r="BE81" s="43">
        <f t="shared" si="92"/>
        <v>91.750465863585518</v>
      </c>
      <c r="BF81" s="41" t="str">
        <f t="shared" si="93"/>
        <v>148.485538617173+199.746462146146i</v>
      </c>
      <c r="BG81" s="20">
        <f t="shared" si="94"/>
        <v>47.920175049618202</v>
      </c>
      <c r="BH81" s="43">
        <f t="shared" si="95"/>
        <v>53.373992457964597</v>
      </c>
      <c r="BI81" s="41" t="str">
        <f t="shared" si="101"/>
        <v>2004.61747360985+3159.59968998666i</v>
      </c>
      <c r="BJ81" s="20">
        <f t="shared" si="97"/>
        <v>71.461764697313001</v>
      </c>
      <c r="BK81" s="43">
        <f t="shared" si="102"/>
        <v>57.606793397188859</v>
      </c>
      <c r="BL81">
        <f t="shared" si="99"/>
        <v>47.920175049618202</v>
      </c>
      <c r="BM81" s="43">
        <f t="shared" si="100"/>
        <v>53.373992457964597</v>
      </c>
    </row>
    <row r="82" spans="14:65" x14ac:dyDescent="0.25">
      <c r="N82" s="9">
        <v>64</v>
      </c>
      <c r="O82" s="34">
        <f t="shared" si="62"/>
        <v>43.651583224016633</v>
      </c>
      <c r="P82" s="33" t="str">
        <f t="shared" si="50"/>
        <v>16.5157725627975</v>
      </c>
      <c r="Q82" s="4" t="str">
        <f t="shared" si="63"/>
        <v>1+0.709668232872666i</v>
      </c>
      <c r="R82" s="4">
        <f t="shared" si="64"/>
        <v>1.226225509744685</v>
      </c>
      <c r="S82" s="4">
        <f t="shared" si="65"/>
        <v>0.61718528202642098</v>
      </c>
      <c r="T82" s="4" t="str">
        <f t="shared" si="51"/>
        <v>1+0.00451175772542901i</v>
      </c>
      <c r="U82" s="4">
        <f t="shared" si="66"/>
        <v>1.0000101779270913</v>
      </c>
      <c r="V82" s="4">
        <f t="shared" si="67"/>
        <v>4.5117271120863273E-3</v>
      </c>
      <c r="W82" t="str">
        <f t="shared" si="52"/>
        <v>1-0.068567746587067i</v>
      </c>
      <c r="X82" s="4">
        <f t="shared" si="68"/>
        <v>1.0023480113573469</v>
      </c>
      <c r="Y82" s="4">
        <f t="shared" si="69"/>
        <v>-6.8460590796365156E-2</v>
      </c>
      <c r="Z82" t="str">
        <f t="shared" si="53"/>
        <v>0.999999960630977+0.000959948452218937i</v>
      </c>
      <c r="AA82" s="4">
        <f t="shared" si="70"/>
        <v>1.0000004213814044</v>
      </c>
      <c r="AB82" s="4">
        <f t="shared" si="71"/>
        <v>9.599481951468032E-4</v>
      </c>
      <c r="AC82" s="47" t="str">
        <f t="shared" si="72"/>
        <v>10.4798560068871-8.51101328489806i</v>
      </c>
      <c r="AD82" s="20">
        <f t="shared" si="73"/>
        <v>22.607026343362762</v>
      </c>
      <c r="AE82" s="43">
        <f t="shared" si="74"/>
        <v>-39.081112811605031</v>
      </c>
      <c r="AF82" t="str">
        <f t="shared" si="54"/>
        <v>247.084651286898</v>
      </c>
      <c r="AG82" t="str">
        <f t="shared" si="55"/>
        <v>1+0.694002988365777i</v>
      </c>
      <c r="AH82">
        <f t="shared" si="75"/>
        <v>1.217226416021534</v>
      </c>
      <c r="AI82">
        <f t="shared" si="76"/>
        <v>0.60668977470982155</v>
      </c>
      <c r="AJ82" t="str">
        <f t="shared" si="56"/>
        <v>1+0.00451175772542901i</v>
      </c>
      <c r="AK82">
        <f t="shared" si="77"/>
        <v>1.0000101779270913</v>
      </c>
      <c r="AL82">
        <f t="shared" si="78"/>
        <v>4.5117271120863273E-3</v>
      </c>
      <c r="AM82" t="str">
        <f t="shared" si="57"/>
        <v>1-0.00448200630790728i</v>
      </c>
      <c r="AN82">
        <f t="shared" si="79"/>
        <v>1.0000100441398296</v>
      </c>
      <c r="AO82">
        <f t="shared" si="80"/>
        <v>-4.48197629618624E-3</v>
      </c>
      <c r="AP82" s="41" t="str">
        <f t="shared" si="81"/>
        <v>166.771094735951-115.732287001158i</v>
      </c>
      <c r="AQ82">
        <f t="shared" si="82"/>
        <v>46.149663634276195</v>
      </c>
      <c r="AR82" s="43">
        <f t="shared" si="83"/>
        <v>-34.759058968427269</v>
      </c>
      <c r="AS82" t="str">
        <f t="shared" si="58"/>
        <v>-0.0000166666666666667</v>
      </c>
      <c r="AT82" t="str">
        <f t="shared" si="59"/>
        <v>9.32521353584112E-07i</v>
      </c>
      <c r="AU82">
        <f t="shared" si="84"/>
        <v>9.3252135358411204E-7</v>
      </c>
      <c r="AV82">
        <f t="shared" si="85"/>
        <v>1.5707963267948966</v>
      </c>
      <c r="AW82" t="str">
        <f t="shared" si="60"/>
        <v>1+0.000947686925770427i</v>
      </c>
      <c r="AX82">
        <f t="shared" si="86"/>
        <v>1.0000004490551537</v>
      </c>
      <c r="AY82">
        <f t="shared" si="87"/>
        <v>9.4768664206138409E-4</v>
      </c>
      <c r="AZ82" t="str">
        <f t="shared" si="61"/>
        <v>1+0.0322213554761945i</v>
      </c>
      <c r="BA82">
        <f t="shared" si="88"/>
        <v>1.0005189732077664</v>
      </c>
      <c r="BB82">
        <f t="shared" si="89"/>
        <v>3.2210211511041802E-2</v>
      </c>
      <c r="BC82" s="41" t="str">
        <f t="shared" si="90"/>
        <v>-0.5589441346846+17.8732214151917i</v>
      </c>
      <c r="BD82">
        <f t="shared" si="91"/>
        <v>25.048301958590194</v>
      </c>
      <c r="BE82" s="43">
        <f t="shared" si="92"/>
        <v>91.791210731915371</v>
      </c>
      <c r="BF82" s="41" t="str">
        <f t="shared" si="93"/>
        <v>146.261570861232+192.065967766236i</v>
      </c>
      <c r="BG82" s="20">
        <f t="shared" si="94"/>
        <v>47.655328301952935</v>
      </c>
      <c r="BH82" s="43">
        <f t="shared" si="95"/>
        <v>52.710097920310353</v>
      </c>
      <c r="BI82" s="41" t="str">
        <f t="shared" si="101"/>
        <v>1975.29306522062+3045.4245848825i</v>
      </c>
      <c r="BJ82" s="20">
        <f t="shared" si="97"/>
        <v>71.197965592866396</v>
      </c>
      <c r="BK82" s="43">
        <f t="shared" si="102"/>
        <v>57.03215176348813</v>
      </c>
      <c r="BL82">
        <f t="shared" si="99"/>
        <v>47.655328301952935</v>
      </c>
      <c r="BM82" s="43">
        <f t="shared" si="100"/>
        <v>52.710097920310353</v>
      </c>
    </row>
    <row r="83" spans="14:65" x14ac:dyDescent="0.25">
      <c r="N83" s="9">
        <v>65</v>
      </c>
      <c r="O83" s="34">
        <f t="shared" si="62"/>
        <v>44.668359215096324</v>
      </c>
      <c r="P83" s="33" t="str">
        <f t="shared" ref="P83:P146" si="103">COMPLEX(Adc,0)</f>
        <v>16.5157725627975</v>
      </c>
      <c r="Q83" s="4" t="str">
        <f t="shared" ref="Q83:Q146" si="104">IMSUM(COMPLEX(1,0),IMDIV(COMPLEX(0,2*PI()*O83),COMPLEX(wp_lf,0)))</f>
        <v>1+0.726198529542865i</v>
      </c>
      <c r="R83" s="4">
        <f t="shared" si="64"/>
        <v>1.2358658116115275</v>
      </c>
      <c r="S83" s="4">
        <f t="shared" si="65"/>
        <v>0.62809334396877015</v>
      </c>
      <c r="T83" s="4" t="str">
        <f t="shared" ref="T83:T146" si="105">IMSUM(COMPLEX(1,0),IMDIV(COMPLEX(0,2*PI()*O83),COMPLEX(wz_esr,0)))</f>
        <v>1+0.00461685006330006i</v>
      </c>
      <c r="U83" s="4">
        <f t="shared" si="66"/>
        <v>1.0000106575954613</v>
      </c>
      <c r="V83" s="4">
        <f t="shared" si="67"/>
        <v>4.6168172605312585E-3</v>
      </c>
      <c r="W83" t="str">
        <f t="shared" ref="W83:W146" si="106">IMSUB(COMPLEX(1,0),IMDIV(COMPLEX(0,2*PI()*O83),COMPLEX(wz_rhp,0)))</f>
        <v>1-0.0701648945790283i</v>
      </c>
      <c r="X83" s="4">
        <f t="shared" si="68"/>
        <v>1.0024585340208771</v>
      </c>
      <c r="Y83" s="4">
        <f t="shared" si="69"/>
        <v>-7.0050090283796995E-2</v>
      </c>
      <c r="Z83" t="str">
        <f t="shared" ref="Z83:Z146" si="107">IMSUM(COMPLEX(1,0),IMDIV(COMPLEX(0,2*PI()*O83),COMPLEX(Q*(wsl/2),0)),IMDIV(IMPOWER(COMPLEX(0,2*PI()*O83),2),IMPOWER(COMPLEX(wsl/2,0),2)))</f>
        <v>0.999999958775572+0.000982308524106395i</v>
      </c>
      <c r="AA83" s="4">
        <f t="shared" si="70"/>
        <v>1.0000004412404937</v>
      </c>
      <c r="AB83" s="4">
        <f t="shared" si="71"/>
        <v>9.8230824864864777E-4</v>
      </c>
      <c r="AC83" s="47" t="str">
        <f t="shared" si="72"/>
        <v>10.2936109038471-8.57400952256665i</v>
      </c>
      <c r="AD83" s="20">
        <f t="shared" si="73"/>
        <v>22.539968591732965</v>
      </c>
      <c r="AE83" s="43">
        <f t="shared" si="74"/>
        <v>-39.79243025045794</v>
      </c>
      <c r="AF83" t="str">
        <f t="shared" ref="AF83:AF146" si="108">COMPLEX($B$72,0)</f>
        <v>247.084651286898</v>
      </c>
      <c r="AG83" t="str">
        <f t="shared" ref="AG83:AG146" si="109">IMSUM(COMPLEX(1,0),IMDIV(COMPLEX(0,2*PI()*O83),COMPLEX(wp_lf_DCM,0)))</f>
        <v>1+0.710168394616602i</v>
      </c>
      <c r="AH83">
        <f t="shared" si="75"/>
        <v>1.2265150421875477</v>
      </c>
      <c r="AI83">
        <f t="shared" si="76"/>
        <v>0.61751783991416576</v>
      </c>
      <c r="AJ83" t="str">
        <f t="shared" ref="AJ83:AJ146" si="110">IMSUM(COMPLEX(1,0),IMDIV(COMPLEX(0,2*PI()*O83),COMPLEX(wz1_dcm,0)))</f>
        <v>1+0.00461685006330006i</v>
      </c>
      <c r="AK83">
        <f t="shared" si="77"/>
        <v>1.0000106575954613</v>
      </c>
      <c r="AL83">
        <f t="shared" si="78"/>
        <v>4.6168172605312585E-3</v>
      </c>
      <c r="AM83" t="str">
        <f t="shared" ref="AM83:AM146" si="111">IMSUB(COMPLEX(1,0),IMDIV(COMPLEX(0,2*PI()*O83),COMPLEX(wz2_dcm,0)))</f>
        <v>1-0.00458640564623966i</v>
      </c>
      <c r="AN83">
        <f t="shared" si="79"/>
        <v>1.0000105175030669</v>
      </c>
      <c r="AO83">
        <f t="shared" si="80"/>
        <v>-4.5863734881194489E-3</v>
      </c>
      <c r="AP83" s="41" t="str">
        <f t="shared" si="81"/>
        <v>164.254999005616-116.641186603397i</v>
      </c>
      <c r="AQ83">
        <f t="shared" si="82"/>
        <v>46.083641710730816</v>
      </c>
      <c r="AR83" s="43">
        <f t="shared" si="83"/>
        <v>-35.379421701445288</v>
      </c>
      <c r="AS83" t="str">
        <f t="shared" ref="AS83:AS146" si="112">COMPLEX(Adc_ea,0)</f>
        <v>-0.0000166666666666667</v>
      </c>
      <c r="AT83" t="str">
        <f t="shared" ref="AT83:AT146" si="113">COMPLEX(0,2*PI()*O83*wp0_ea)</f>
        <v>9.54242566274785E-07i</v>
      </c>
      <c r="AU83">
        <f t="shared" si="84"/>
        <v>9.5424256627478505E-7</v>
      </c>
      <c r="AV83">
        <f t="shared" si="85"/>
        <v>1.5707963267948966</v>
      </c>
      <c r="AW83" t="str">
        <f t="shared" ref="AW83:AW146" si="114">IMSUM(COMPLEX(1,0),IMDIV(COMPLEX(0,2*PI()*O83),COMPLEX(wp1_ea,0)))</f>
        <v>1+0.000969761390016969i</v>
      </c>
      <c r="AX83">
        <f t="shared" si="86"/>
        <v>1.0000004702184662</v>
      </c>
      <c r="AY83">
        <f t="shared" si="87"/>
        <v>9.6976108601726013E-4</v>
      </c>
      <c r="AZ83" t="str">
        <f t="shared" ref="AZ83:AZ146" si="115">IMSUM(COMPLEX(1,0),IMDIV(COMPLEX(0,2*PI()*O83),COMPLEX(wz_ea,0)))</f>
        <v>1+0.0329718872605769i</v>
      </c>
      <c r="BA83">
        <f t="shared" si="88"/>
        <v>1.0005434250193863</v>
      </c>
      <c r="BB83">
        <f t="shared" si="89"/>
        <v>3.2959946637025617E-2</v>
      </c>
      <c r="BC83" s="41" t="str">
        <f t="shared" si="90"/>
        <v>-0.558944111026391+17.4664016212155i</v>
      </c>
      <c r="BD83">
        <f t="shared" si="91"/>
        <v>24.848514047746097</v>
      </c>
      <c r="BE83" s="43">
        <f t="shared" si="92"/>
        <v>91.832902617913163</v>
      </c>
      <c r="BF83" s="41" t="str">
        <f t="shared" si="93"/>
        <v>144.003540629373+184.584734309639i</v>
      </c>
      <c r="BG83" s="20">
        <f t="shared" si="94"/>
        <v>47.388482639479051</v>
      </c>
      <c r="BH83" s="43">
        <f t="shared" si="95"/>
        <v>52.040472367455152</v>
      </c>
      <c r="BI83" s="41" t="str">
        <f t="shared" si="101"/>
        <v>1945.49244638924+2934.13968527954i</v>
      </c>
      <c r="BJ83" s="20">
        <f t="shared" si="97"/>
        <v>70.93215575847691</v>
      </c>
      <c r="BK83" s="43">
        <f t="shared" si="102"/>
        <v>56.453480916467853</v>
      </c>
      <c r="BL83">
        <f t="shared" si="99"/>
        <v>47.388482639479051</v>
      </c>
      <c r="BM83" s="43">
        <f t="shared" si="100"/>
        <v>52.040472367455152</v>
      </c>
    </row>
    <row r="84" spans="14:65" x14ac:dyDescent="0.25">
      <c r="N84" s="9">
        <v>66</v>
      </c>
      <c r="O84" s="34">
        <f t="shared" ref="O84:O118" si="116">10^(1+(N84/100))</f>
        <v>45.70881896148753</v>
      </c>
      <c r="P84" s="33" t="str">
        <f t="shared" si="103"/>
        <v>16.5157725627975</v>
      </c>
      <c r="Q84" s="4" t="str">
        <f t="shared" si="104"/>
        <v>1+0.743113866285803i</v>
      </c>
      <c r="R84" s="4">
        <f t="shared" ref="R84:R147" si="117">IMABS(Q84)</f>
        <v>1.2458804991917301</v>
      </c>
      <c r="S84" s="4">
        <f t="shared" ref="S84:S147" si="118">IMARGUMENT(Q84)</f>
        <v>0.63907939665777858</v>
      </c>
      <c r="T84" s="4" t="str">
        <f t="shared" si="105"/>
        <v>1+0.00472439031618591i</v>
      </c>
      <c r="U84" s="4">
        <f t="shared" ref="U84:U147" si="119">IMABS(T84)</f>
        <v>1.0000111598696584</v>
      </c>
      <c r="V84" s="4">
        <f t="shared" ref="V84:V147" si="120">IMARGUMENT(T84)</f>
        <v>4.7243551674070591E-3</v>
      </c>
      <c r="W84" t="str">
        <f t="shared" si="106"/>
        <v>1-0.0717992449268375i</v>
      </c>
      <c r="X84" s="4">
        <f t="shared" ref="X84:X147" si="121">IMABS(W84)</f>
        <v>1.0025742523983268</v>
      </c>
      <c r="Y84" s="4">
        <f t="shared" ref="Y84:Y147" si="122">IMARGUMENT(W84)</f>
        <v>-7.1676246960913043E-2</v>
      </c>
      <c r="Z84" t="str">
        <f t="shared" si="107"/>
        <v>0.999999956832725+0.00100518942897572i</v>
      </c>
      <c r="AA84" s="4">
        <f t="shared" ref="AA84:AA147" si="123">IMABS(Z84)</f>
        <v>1.0000004620355132</v>
      </c>
      <c r="AB84" s="4">
        <f t="shared" ref="AB84:AB147" si="124">IMARGUMENT(Z84)</f>
        <v>1.0051891338174327E-3</v>
      </c>
      <c r="AC84" s="47" t="str">
        <f t="shared" ref="AC84:AC147" si="125">(IMDIV(IMPRODUCT(P84,T84,W84),IMPRODUCT(Q84,Z84)))</f>
        <v>10.1046931386359-8.63333665381098i</v>
      </c>
      <c r="AD84" s="20">
        <f t="shared" ref="AD84:AD147" si="126">20*LOG(IMABS(AC84))</f>
        <v>22.470873969643833</v>
      </c>
      <c r="AE84" s="43">
        <f t="shared" ref="AE84:AE147" si="127">(180/PI())*IMARGUMENT(AC84)</f>
        <v>-40.510206127422443</v>
      </c>
      <c r="AF84" t="str">
        <f t="shared" si="108"/>
        <v>247.084651286898</v>
      </c>
      <c r="AG84" t="str">
        <f t="shared" si="109"/>
        <v>1+0.726710341550442i</v>
      </c>
      <c r="AH84">
        <f t="shared" ref="AH84:AH147" si="128">IMABS(AG84)</f>
        <v>1.236166623281975</v>
      </c>
      <c r="AI84">
        <f t="shared" ref="AI84:AI147" si="129">IMARGUMENT(AG84)</f>
        <v>0.62842835734454194</v>
      </c>
      <c r="AJ84" t="str">
        <f t="shared" si="110"/>
        <v>1+0.00472439031618591i</v>
      </c>
      <c r="AK84">
        <f t="shared" ref="AK84:AK147" si="130">IMABS(AJ84)</f>
        <v>1.0000111598696584</v>
      </c>
      <c r="AL84">
        <f t="shared" ref="AL84:AL147" si="131">IMARGUMENT(AJ84)</f>
        <v>4.7243551674070591E-3</v>
      </c>
      <c r="AM84" t="str">
        <f t="shared" si="111"/>
        <v>1-0.00469323675755392i</v>
      </c>
      <c r="AN84">
        <f t="shared" ref="AN84:AN147" si="132">IMABS(AM84)</f>
        <v>1.0000110131749862</v>
      </c>
      <c r="AO84">
        <f t="shared" ref="AO84:AO147" si="133">IMARGUMENT(AM84)</f>
        <v>-4.6932022995277893E-3</v>
      </c>
      <c r="AP84" s="41" t="str">
        <f t="shared" ref="AP84:AP147" si="134">(IMDIV(IMPRODUCT(AF84,AJ84,AM84),IMPRODUCT(AG84)))</f>
        <v>161.700440394167-117.501684701531i</v>
      </c>
      <c r="AQ84">
        <f t="shared" ref="AQ84:AQ147" si="135">20*LOG(IMABS(AP84))</f>
        <v>46.015567687683216</v>
      </c>
      <c r="AR84" s="43">
        <f t="shared" ref="AR84:AR147" si="136">(180/PI())*IMARGUMENT(AP84)</f>
        <v>-36.004507674332153</v>
      </c>
      <c r="AS84" t="str">
        <f t="shared" si="112"/>
        <v>-0.0000166666666666667</v>
      </c>
      <c r="AT84" t="str">
        <f t="shared" si="113"/>
        <v>9.76469731004991E-07i</v>
      </c>
      <c r="AU84">
        <f t="shared" ref="AU84:AU147" si="137">IMABS(AT84)</f>
        <v>9.7646973100499102E-7</v>
      </c>
      <c r="AV84">
        <f t="shared" ref="AV84:AV147" si="138">IMARGUMENT(AT84)</f>
        <v>1.5707963267948966</v>
      </c>
      <c r="AW84" t="str">
        <f t="shared" si="114"/>
        <v>1+0.000992350034588808i</v>
      </c>
      <c r="AX84">
        <f t="shared" ref="AX84:AX147" si="139">IMABS(AW84)</f>
        <v>1.0000004923791743</v>
      </c>
      <c r="AY84">
        <f t="shared" ref="AY84:AY147" si="140">IMARGUMENT(AW84)</f>
        <v>9.9234970884725998E-4</v>
      </c>
      <c r="AZ84" t="str">
        <f t="shared" si="115"/>
        <v>1+0.0337399011760195i</v>
      </c>
      <c r="BA84">
        <f t="shared" ref="BA84:BA147" si="141">IMABS(AZ84)</f>
        <v>1.0005690285689277</v>
      </c>
      <c r="BB84">
        <f t="shared" ref="BB84:BB147" si="142">IMARGUMENT(AZ84)</f>
        <v>3.3727106960322939E-2</v>
      </c>
      <c r="BC84" s="41" t="str">
        <f t="shared" ref="BC84:BC147" si="143">IMPRODUCT(AS84,IMDIV(AZ84,IMPRODUCT(AT84,AW84)))</f>
        <v>-0.558944086253211+17.0688427445717i</v>
      </c>
      <c r="BD84">
        <f t="shared" ref="BD84:BD147" si="144">20*LOG(IMABS(BC84))</f>
        <v>24.64873612123607</v>
      </c>
      <c r="BE84" s="43">
        <f t="shared" ref="BE84:BE147" si="145">(180/PI())*IMARGUMENT(BC84)</f>
        <v>91.875563433894825</v>
      </c>
      <c r="BF84" s="41" t="str">
        <f t="shared" ref="BF84:BF147" si="146">IMPRODUCT(AC84,BC84)</f>
        <v>141.713107231603+177.30097063281i</v>
      </c>
      <c r="BG84" s="20">
        <f t="shared" ref="BG84:BG147" si="147">20*LOG(IMABS(BF84))</f>
        <v>47.119610090879924</v>
      </c>
      <c r="BH84" s="43">
        <f t="shared" ref="BH84:BH147" si="148">(180/PI())*IMARGUMENT(BF84)</f>
        <v>51.365357306472369</v>
      </c>
      <c r="BI84" s="41" t="str">
        <f t="shared" si="101"/>
        <v>1915.23627348982+2825.71626060474i</v>
      </c>
      <c r="BJ84" s="20">
        <f t="shared" ref="BJ84:BJ147" si="149">20*LOG(IMABS(BI84))</f>
        <v>70.664303808919286</v>
      </c>
      <c r="BK84" s="43">
        <f t="shared" si="102"/>
        <v>55.871055759562708</v>
      </c>
      <c r="BL84">
        <f t="shared" ref="BL84:BL147" si="150">IF($B$31=0,BJ84,BG84)</f>
        <v>47.119610090879924</v>
      </c>
      <c r="BM84" s="43">
        <f t="shared" ref="BM84:BM147" si="151">IF($B$31=0,BK84,BH84)</f>
        <v>51.365357306472369</v>
      </c>
    </row>
    <row r="85" spans="14:65" x14ac:dyDescent="0.25">
      <c r="N85" s="9">
        <v>67</v>
      </c>
      <c r="O85" s="34">
        <f t="shared" si="116"/>
        <v>46.773514128719818</v>
      </c>
      <c r="P85" s="33" t="str">
        <f t="shared" si="103"/>
        <v>16.5157725627975</v>
      </c>
      <c r="Q85" s="4" t="str">
        <f t="shared" si="104"/>
        <v>1+0.760423211836919i</v>
      </c>
      <c r="R85" s="4">
        <f t="shared" si="117"/>
        <v>1.2562816010355224</v>
      </c>
      <c r="S85" s="4">
        <f t="shared" si="118"/>
        <v>0.65013865780441493</v>
      </c>
      <c r="T85" s="4" t="str">
        <f t="shared" si="105"/>
        <v>1+0.00483443550335209i</v>
      </c>
      <c r="U85" s="4">
        <f t="shared" si="119"/>
        <v>1.000011685815039</v>
      </c>
      <c r="V85" s="4">
        <f t="shared" si="120"/>
        <v>4.834397840780766E-3</v>
      </c>
      <c r="W85" t="str">
        <f t="shared" si="106"/>
        <v>1-0.0734716641846822i</v>
      </c>
      <c r="X85" s="4">
        <f t="shared" si="121"/>
        <v>1.0026954101012264</v>
      </c>
      <c r="Y85" s="4">
        <f t="shared" si="122"/>
        <v>-7.3339888616718182E-2</v>
      </c>
      <c r="Z85" t="str">
        <f t="shared" si="107"/>
        <v>0.999999954798314+0.00102860329858555i</v>
      </c>
      <c r="AA85" s="4">
        <f t="shared" si="123"/>
        <v>1.0000004838105709</v>
      </c>
      <c r="AB85" s="4">
        <f t="shared" si="124"/>
        <v>1.0286029823177553E-3</v>
      </c>
      <c r="AC85" s="47" t="str">
        <f t="shared" si="125"/>
        <v>9.91324927143767-8.68885475662841i</v>
      </c>
      <c r="AD85" s="20">
        <f t="shared" si="126"/>
        <v>22.399715723238867</v>
      </c>
      <c r="AE85" s="43">
        <f t="shared" si="127"/>
        <v>-41.23421129510799</v>
      </c>
      <c r="AF85" t="str">
        <f t="shared" si="108"/>
        <v>247.084651286898</v>
      </c>
      <c r="AG85" t="str">
        <f t="shared" si="109"/>
        <v>1+0.74363759992652i</v>
      </c>
      <c r="AH85">
        <f t="shared" si="128"/>
        <v>1.2461929545718331</v>
      </c>
      <c r="AI85">
        <f t="shared" si="129"/>
        <v>0.63941672186749055</v>
      </c>
      <c r="AJ85" t="str">
        <f t="shared" si="110"/>
        <v>1+0.00483443550335209i</v>
      </c>
      <c r="AK85">
        <f t="shared" si="130"/>
        <v>1.000011685815039</v>
      </c>
      <c r="AL85">
        <f t="shared" si="131"/>
        <v>4.834397840780766E-3</v>
      </c>
      <c r="AM85" t="str">
        <f t="shared" si="111"/>
        <v>1-0.00480255628511938i</v>
      </c>
      <c r="AN85">
        <f t="shared" si="132"/>
        <v>1.0000115322069401</v>
      </c>
      <c r="AO85">
        <f t="shared" si="133"/>
        <v>-4.8025193627021573E-3</v>
      </c>
      <c r="AP85" s="41" t="str">
        <f t="shared" si="134"/>
        <v>159.109299396007-118.311780663317i</v>
      </c>
      <c r="AQ85">
        <f t="shared" si="135"/>
        <v>45.945411199554947</v>
      </c>
      <c r="AR85" s="43">
        <f t="shared" si="136"/>
        <v>-36.63405301084655</v>
      </c>
      <c r="AS85" t="str">
        <f t="shared" si="112"/>
        <v>-0.0000166666666666667</v>
      </c>
      <c r="AT85" t="str">
        <f t="shared" si="113"/>
        <v>9.99214632911679E-07i</v>
      </c>
      <c r="AU85">
        <f t="shared" si="137"/>
        <v>9.9921463291167896E-7</v>
      </c>
      <c r="AV85">
        <f t="shared" si="138"/>
        <v>1.5707963267948966</v>
      </c>
      <c r="AW85" t="str">
        <f t="shared" si="114"/>
        <v>1+0.00101546483628429i</v>
      </c>
      <c r="AX85">
        <f t="shared" si="139"/>
        <v>1.0000005155842839</v>
      </c>
      <c r="AY85">
        <f t="shared" si="140"/>
        <v>1.0154644872459424E-3</v>
      </c>
      <c r="AZ85" t="str">
        <f t="shared" si="115"/>
        <v>1+0.0345258044336659i</v>
      </c>
      <c r="BA85">
        <f t="shared" si="141"/>
        <v>1.0005958380743905</v>
      </c>
      <c r="BB85">
        <f t="shared" si="142"/>
        <v>3.4512095625421665E-2</v>
      </c>
      <c r="BC85" s="41" t="str">
        <f t="shared" si="143"/>
        <v>-0.558944060312508+16.6803339942817i</v>
      </c>
      <c r="BD85">
        <f t="shared" si="144"/>
        <v>24.448968648535839</v>
      </c>
      <c r="BE85" s="43">
        <f t="shared" si="145"/>
        <v>91.919215592123962</v>
      </c>
      <c r="BF85" s="41" t="str">
        <f t="shared" si="146"/>
        <v>139.392047569698+170.212892573286i</v>
      </c>
      <c r="BG85" s="20">
        <f t="shared" si="147"/>
        <v>46.848684371774723</v>
      </c>
      <c r="BH85" s="43">
        <f t="shared" si="148"/>
        <v>50.685004297016</v>
      </c>
      <c r="BI85" s="41" t="str">
        <f t="shared" si="101"/>
        <v>1884.54681908444+2720.12592258832i</v>
      </c>
      <c r="BJ85" s="20">
        <f t="shared" si="149"/>
        <v>70.394379848090779</v>
      </c>
      <c r="BK85" s="43">
        <f t="shared" si="102"/>
        <v>55.285162581277511</v>
      </c>
      <c r="BL85">
        <f t="shared" si="150"/>
        <v>46.848684371774723</v>
      </c>
      <c r="BM85" s="43">
        <f t="shared" si="151"/>
        <v>50.685004297016</v>
      </c>
    </row>
    <row r="86" spans="14:65" x14ac:dyDescent="0.25">
      <c r="N86" s="9">
        <v>68</v>
      </c>
      <c r="O86" s="34">
        <f t="shared" si="116"/>
        <v>47.863009232263877</v>
      </c>
      <c r="P86" s="33" t="str">
        <f t="shared" si="103"/>
        <v>16.5157725627975</v>
      </c>
      <c r="Q86" s="4" t="str">
        <f t="shared" si="104"/>
        <v>1+0.778135743840343i</v>
      </c>
      <c r="R86" s="4">
        <f t="shared" si="117"/>
        <v>1.267081384853382</v>
      </c>
      <c r="S86" s="4">
        <f t="shared" si="118"/>
        <v>0.66126617055440617</v>
      </c>
      <c r="T86" s="4" t="str">
        <f t="shared" si="105"/>
        <v>1+0.00494704397221348i</v>
      </c>
      <c r="U86" s="4">
        <f t="shared" si="119"/>
        <v>1.0000122365471651</v>
      </c>
      <c r="V86" s="4">
        <f t="shared" si="120"/>
        <v>4.9470036160678913E-3</v>
      </c>
      <c r="W86" t="str">
        <f t="shared" si="106"/>
        <v>1-0.0751830390913902i</v>
      </c>
      <c r="X86" s="4">
        <f t="shared" si="121"/>
        <v>1.002822262101823</v>
      </c>
      <c r="Y86" s="4">
        <f t="shared" si="122"/>
        <v>-7.5041860479651917E-2</v>
      </c>
      <c r="Z86" t="str">
        <f t="shared" si="107"/>
        <v>0.999999952668024+0.00105256254727946i</v>
      </c>
      <c r="AA86" s="4">
        <f t="shared" si="123"/>
        <v>1.0000005066118547</v>
      </c>
      <c r="AB86" s="4">
        <f t="shared" si="124"/>
        <v>1.0525622083924218E-3</v>
      </c>
      <c r="AC86" s="47" t="str">
        <f t="shared" si="125"/>
        <v>9.71943523062295-8.74043078542603i</v>
      </c>
      <c r="AD86" s="20">
        <f t="shared" si="126"/>
        <v>22.326468874625171</v>
      </c>
      <c r="AE86" s="43">
        <f t="shared" si="127"/>
        <v>-41.964207543618393</v>
      </c>
      <c r="AF86" t="str">
        <f t="shared" si="108"/>
        <v>247.084651286898</v>
      </c>
      <c r="AG86" t="str">
        <f t="shared" si="109"/>
        <v>1+0.760959144801287i</v>
      </c>
      <c r="AH86">
        <f t="shared" si="128"/>
        <v>1.2566060719480492</v>
      </c>
      <c r="AI86">
        <f t="shared" si="129"/>
        <v>0.65047814572467644</v>
      </c>
      <c r="AJ86" t="str">
        <f t="shared" si="110"/>
        <v>1+0.00494704397221348i</v>
      </c>
      <c r="AK86">
        <f t="shared" si="130"/>
        <v>1.0000122365471651</v>
      </c>
      <c r="AL86">
        <f t="shared" si="131"/>
        <v>4.9470036160678913E-3</v>
      </c>
      <c r="AM86" t="str">
        <f t="shared" si="111"/>
        <v>1-0.00491442219159655i</v>
      </c>
      <c r="AN86">
        <f t="shared" si="132"/>
        <v>1.0000120756998274</v>
      </c>
      <c r="AO86">
        <f t="shared" si="133"/>
        <v>-4.9143826285395027E-3</v>
      </c>
      <c r="AP86" s="41" t="str">
        <f t="shared" si="134"/>
        <v>156.483589355177-119.069557989863i</v>
      </c>
      <c r="AQ86">
        <f t="shared" si="135"/>
        <v>45.873143457955827</v>
      </c>
      <c r="AR86" s="43">
        <f t="shared" si="136"/>
        <v>-37.267783370610729</v>
      </c>
      <c r="AS86" t="str">
        <f t="shared" si="112"/>
        <v>-0.0000166666666666667</v>
      </c>
      <c r="AT86" t="str">
        <f t="shared" si="113"/>
        <v>1.02248933164291E-06i</v>
      </c>
      <c r="AU86">
        <f t="shared" si="137"/>
        <v>1.02248933164291E-6</v>
      </c>
      <c r="AV86">
        <f t="shared" si="138"/>
        <v>1.5707963267948966</v>
      </c>
      <c r="AW86" t="str">
        <f t="shared" si="114"/>
        <v>1+0.00103911805087724i</v>
      </c>
      <c r="AX86">
        <f t="shared" si="139"/>
        <v>1.0000005398830161</v>
      </c>
      <c r="AY86">
        <f t="shared" si="140"/>
        <v>1.0391176768759231E-3</v>
      </c>
      <c r="AZ86" t="str">
        <f t="shared" si="115"/>
        <v>1+0.0353300137298261i</v>
      </c>
      <c r="BA86">
        <f t="shared" si="141"/>
        <v>1.0006239103030417</v>
      </c>
      <c r="BB86">
        <f t="shared" si="142"/>
        <v>3.5315324971766121E-2</v>
      </c>
      <c r="BC86" s="41" t="str">
        <f t="shared" si="143"/>
        <v>-0.558944033149256+16.3006693778633i</v>
      </c>
      <c r="BD86">
        <f t="shared" si="144"/>
        <v>24.249212121143454</v>
      </c>
      <c r="BE86" s="43">
        <f t="shared" si="145"/>
        <v>91.963882015712727</v>
      </c>
      <c r="BF86" s="41" t="str">
        <f t="shared" si="146"/>
        <v>137.04225212559+163.318711868609i</v>
      </c>
      <c r="BG86" s="20">
        <f t="shared" si="147"/>
        <v>46.575680995768607</v>
      </c>
      <c r="BH86" s="43">
        <f t="shared" si="148"/>
        <v>49.999674472094384</v>
      </c>
      <c r="BI86" s="41" t="str">
        <f t="shared" si="101"/>
        <v>1853.44792920522+2617.34047210822i</v>
      </c>
      <c r="BJ86" s="20">
        <f t="shared" si="149"/>
        <v>70.122355579099263</v>
      </c>
      <c r="BK86" s="43">
        <f t="shared" si="102"/>
        <v>54.69609864510204</v>
      </c>
      <c r="BL86">
        <f t="shared" si="150"/>
        <v>46.575680995768607</v>
      </c>
      <c r="BM86" s="43">
        <f t="shared" si="151"/>
        <v>49.999674472094384</v>
      </c>
    </row>
    <row r="87" spans="14:65" x14ac:dyDescent="0.25">
      <c r="N87" s="9">
        <v>69</v>
      </c>
      <c r="O87" s="34">
        <f t="shared" si="116"/>
        <v>48.977881936844632</v>
      </c>
      <c r="P87" s="33" t="str">
        <f t="shared" si="103"/>
        <v>16.5157725627975</v>
      </c>
      <c r="Q87" s="4" t="str">
        <f t="shared" si="104"/>
        <v>1+0.796260853714996i</v>
      </c>
      <c r="R87" s="4">
        <f t="shared" si="117"/>
        <v>1.2782923559025667</v>
      </c>
      <c r="S87" s="4">
        <f t="shared" si="118"/>
        <v>0.67245681274934033</v>
      </c>
      <c r="T87" s="4" t="str">
        <f t="shared" si="105"/>
        <v>1+0.00506227542927081i</v>
      </c>
      <c r="U87" s="4">
        <f t="shared" si="119"/>
        <v>1.0000128132341715</v>
      </c>
      <c r="V87" s="4">
        <f t="shared" si="120"/>
        <v>5.0622321869116509E-3</v>
      </c>
      <c r="W87" t="str">
        <f t="shared" si="106"/>
        <v>1-0.0769342770405897i</v>
      </c>
      <c r="X87" s="4">
        <f t="shared" si="121"/>
        <v>1.0029550752569918</v>
      </c>
      <c r="Y87" s="4">
        <f t="shared" si="122"/>
        <v>-7.6783025494709917E-2</v>
      </c>
      <c r="Z87" t="str">
        <f t="shared" si="107"/>
        <v>0.999999950437336+0.00107707987856826i</v>
      </c>
      <c r="AA87" s="4">
        <f t="shared" si="123"/>
        <v>1.0000005304877291</v>
      </c>
      <c r="AB87" s="4">
        <f t="shared" si="124"/>
        <v>1.0770795154442674E-3</v>
      </c>
      <c r="AC87" s="47" t="str">
        <f t="shared" si="125"/>
        <v>9.52341591207521-8.78793931394439i</v>
      </c>
      <c r="AD87" s="20">
        <f t="shared" si="126"/>
        <v>22.251110328061905</v>
      </c>
      <c r="AE87" s="43">
        <f t="shared" si="127"/>
        <v>-42.699948145658198</v>
      </c>
      <c r="AF87" t="str">
        <f t="shared" si="108"/>
        <v>247.084651286898</v>
      </c>
      <c r="AG87" t="str">
        <f t="shared" si="109"/>
        <v>1+0.778684160287114i</v>
      </c>
      <c r="AH87">
        <f t="shared" si="128"/>
        <v>1.2674182504138276</v>
      </c>
      <c r="AI87">
        <f t="shared" si="129"/>
        <v>0.66160766686174166</v>
      </c>
      <c r="AJ87" t="str">
        <f t="shared" si="110"/>
        <v>1+0.00506227542927081i</v>
      </c>
      <c r="AK87">
        <f t="shared" si="130"/>
        <v>1.0000128132341715</v>
      </c>
      <c r="AL87">
        <f t="shared" si="131"/>
        <v>5.0622321869116509E-3</v>
      </c>
      <c r="AM87" t="str">
        <f t="shared" si="111"/>
        <v>1-0.00502889378976978i</v>
      </c>
      <c r="AN87">
        <f t="shared" si="132"/>
        <v>1.0000126448064288</v>
      </c>
      <c r="AO87">
        <f t="shared" si="133"/>
        <v>-5.0288513972193303E-3</v>
      </c>
      <c r="AP87" s="41" t="str">
        <f t="shared" si="134"/>
        <v>153.825451899612-119.773194752479i</v>
      </c>
      <c r="AQ87">
        <f t="shared" si="135"/>
        <v>45.798737357484598</v>
      </c>
      <c r="AR87" s="43">
        <f t="shared" si="136"/>
        <v>-37.905414426308823</v>
      </c>
      <c r="AS87" t="str">
        <f t="shared" si="112"/>
        <v>-0.0000166666666666667</v>
      </c>
      <c r="AT87" t="str">
        <f t="shared" si="113"/>
        <v>1.04630616775202E-06i</v>
      </c>
      <c r="AU87">
        <f t="shared" si="137"/>
        <v>1.0463061677520201E-6</v>
      </c>
      <c r="AV87">
        <f t="shared" si="138"/>
        <v>1.5707963267948966</v>
      </c>
      <c r="AW87" t="str">
        <f t="shared" si="114"/>
        <v>1+0.00106332221961512i</v>
      </c>
      <c r="AX87">
        <f t="shared" si="139"/>
        <v>1.0000005653269115</v>
      </c>
      <c r="AY87">
        <f t="shared" si="140"/>
        <v>1.0633218188655009E-3</v>
      </c>
      <c r="AZ87" t="str">
        <f t="shared" si="115"/>
        <v>1+0.0361529554669139i</v>
      </c>
      <c r="BA87">
        <f t="shared" si="141"/>
        <v>1.0006533046909867</v>
      </c>
      <c r="BB87">
        <f t="shared" si="142"/>
        <v>3.6137216734016084E-2</v>
      </c>
      <c r="BC87" s="41" t="str">
        <f t="shared" si="143"/>
        <v>-0.558944004705846+15.9296475921112i</v>
      </c>
      <c r="BD87">
        <f t="shared" si="144"/>
        <v>24.049467053607465</v>
      </c>
      <c r="BE87" s="43">
        <f t="shared" si="145"/>
        <v>92.009586149723489</v>
      </c>
      <c r="BF87" s="41" t="str">
        <f t="shared" si="146"/>
        <v>134.665720103619+156.61662534571i</v>
      </c>
      <c r="BG87" s="20">
        <f t="shared" si="147"/>
        <v>46.300577381669363</v>
      </c>
      <c r="BH87" s="43">
        <f t="shared" si="148"/>
        <v>49.309638004065199</v>
      </c>
      <c r="BI87" s="41" t="str">
        <f t="shared" si="101"/>
        <v>1821.96496927784+2517.33174858944i</v>
      </c>
      <c r="BJ87" s="20">
        <f t="shared" si="149"/>
        <v>69.848204411092084</v>
      </c>
      <c r="BK87" s="43">
        <f t="shared" si="102"/>
        <v>54.104171723414673</v>
      </c>
      <c r="BL87">
        <f t="shared" si="150"/>
        <v>46.300577381669363</v>
      </c>
      <c r="BM87" s="43">
        <f t="shared" si="151"/>
        <v>49.309638004065199</v>
      </c>
    </row>
    <row r="88" spans="14:65" x14ac:dyDescent="0.25">
      <c r="N88" s="9">
        <v>70</v>
      </c>
      <c r="O88" s="34">
        <f t="shared" si="116"/>
        <v>50.118723362727238</v>
      </c>
      <c r="P88" s="33" t="str">
        <f t="shared" si="103"/>
        <v>16.5157725627975</v>
      </c>
      <c r="Q88" s="4" t="str">
        <f t="shared" si="104"/>
        <v>1+0.814808151634045i</v>
      </c>
      <c r="R88" s="4">
        <f t="shared" si="117"/>
        <v>1.2899272553013557</v>
      </c>
      <c r="S88" s="4">
        <f t="shared" si="118"/>
        <v>0.68370530712107302</v>
      </c>
      <c r="T88" s="4" t="str">
        <f t="shared" si="105"/>
        <v>1+0.00518019097176786i</v>
      </c>
      <c r="U88" s="4">
        <f t="shared" si="119"/>
        <v>1.0000134170992427</v>
      </c>
      <c r="V88" s="4">
        <f t="shared" si="120"/>
        <v>5.180144636778794E-3</v>
      </c>
      <c r="W88" t="str">
        <f t="shared" si="106"/>
        <v>1-0.0787263065618215i</v>
      </c>
      <c r="X88" s="4">
        <f t="shared" si="121"/>
        <v>1.0030941288557449</v>
      </c>
      <c r="Y88" s="4">
        <f t="shared" si="122"/>
        <v>-7.8564264598108599E-2</v>
      </c>
      <c r="Z88" t="str">
        <f t="shared" si="107"/>
        <v>0.99999994810152+0.0011021682918655i</v>
      </c>
      <c r="AA88" s="4">
        <f t="shared" si="123"/>
        <v>1.0000005554888389</v>
      </c>
      <c r="AB88" s="4">
        <f t="shared" si="124"/>
        <v>1.1021679027711428E-3</v>
      </c>
      <c r="AC88" s="47" t="str">
        <f t="shared" si="125"/>
        <v>9.32536470971455-8.83126325205454i</v>
      </c>
      <c r="AD88" s="20">
        <f t="shared" si="126"/>
        <v>22.173618971506691</v>
      </c>
      <c r="AE88" s="43">
        <f t="shared" si="127"/>
        <v>-43.441178454942744</v>
      </c>
      <c r="AF88" t="str">
        <f t="shared" si="108"/>
        <v>247.084651286898</v>
      </c>
      <c r="AG88" t="str">
        <f t="shared" si="109"/>
        <v>1+0.796822044421826i</v>
      </c>
      <c r="AH88">
        <f t="shared" si="128"/>
        <v>1.2786420024684699</v>
      </c>
      <c r="AI88">
        <f t="shared" si="129"/>
        <v>0.67280015821844119</v>
      </c>
      <c r="AJ88" t="str">
        <f t="shared" si="110"/>
        <v>1+0.00518019097176786i</v>
      </c>
      <c r="AK88">
        <f t="shared" si="130"/>
        <v>1.0000134170992427</v>
      </c>
      <c r="AL88">
        <f t="shared" si="131"/>
        <v>5.180144636778794E-3</v>
      </c>
      <c r="AM88" t="str">
        <f t="shared" si="111"/>
        <v>1-0.00514603177399562i</v>
      </c>
      <c r="AN88">
        <f t="shared" si="132"/>
        <v>1.0000132407338509</v>
      </c>
      <c r="AO88">
        <f t="shared" si="133"/>
        <v>-5.1459863495918979E-3</v>
      </c>
      <c r="AP88" s="41" t="str">
        <f t="shared" si="134"/>
        <v>151.13715141882-120.420973768165i</v>
      </c>
      <c r="AQ88">
        <f t="shared" si="135"/>
        <v>45.722167577447472</v>
      </c>
      <c r="AR88" s="43">
        <f t="shared" si="136"/>
        <v>-38.546652395959399</v>
      </c>
      <c r="AS88" t="str">
        <f t="shared" si="112"/>
        <v>-0.0000166666666666667</v>
      </c>
      <c r="AT88" t="str">
        <f t="shared" si="113"/>
        <v>1.07067776924077E-06i</v>
      </c>
      <c r="AU88">
        <f t="shared" si="137"/>
        <v>1.0706777692407701E-6</v>
      </c>
      <c r="AV88">
        <f t="shared" si="138"/>
        <v>1.5707963267948966</v>
      </c>
      <c r="AW88" t="str">
        <f t="shared" si="114"/>
        <v>1+0.00108809017586856i</v>
      </c>
      <c r="AX88">
        <f t="shared" si="139"/>
        <v>1.0000005919699402</v>
      </c>
      <c r="AY88">
        <f t="shared" si="140"/>
        <v>1.0880897464576205E-3</v>
      </c>
      <c r="AZ88" t="str">
        <f t="shared" si="115"/>
        <v>1+0.0369950659795312i</v>
      </c>
      <c r="BA88">
        <f t="shared" si="141"/>
        <v>1.0006840834683191</v>
      </c>
      <c r="BB88">
        <f t="shared" si="142"/>
        <v>3.6978202245983263E-2</v>
      </c>
      <c r="BC88" s="41" t="str">
        <f t="shared" si="143"/>
        <v>-0.558943974921944+15.5670719163635i</v>
      </c>
      <c r="BD88">
        <f t="shared" si="144"/>
        <v>23.849733984602434</v>
      </c>
      <c r="BE88" s="43">
        <f t="shared" si="145"/>
        <v>92.056351972472527</v>
      </c>
      <c r="BF88" s="41" t="str">
        <f t="shared" si="146"/>
        <v>132.264553738627+150.10480446813i</v>
      </c>
      <c r="BG88" s="20">
        <f t="shared" si="147"/>
        <v>46.023352956109136</v>
      </c>
      <c r="BH88" s="43">
        <f t="shared" si="148"/>
        <v>48.615173517529684</v>
      </c>
      <c r="BI88" s="41" t="str">
        <f t="shared" si="101"/>
        <v>1790.12475871513+2420.07148311304i</v>
      </c>
      <c r="BJ88" s="20">
        <f t="shared" si="149"/>
        <v>69.571901562049902</v>
      </c>
      <c r="BK88" s="43">
        <f t="shared" si="102"/>
        <v>53.509699576513171</v>
      </c>
      <c r="BL88">
        <f t="shared" si="150"/>
        <v>46.023352956109136</v>
      </c>
      <c r="BM88" s="43">
        <f t="shared" si="151"/>
        <v>48.615173517529684</v>
      </c>
    </row>
    <row r="89" spans="14:65" x14ac:dyDescent="0.25">
      <c r="N89" s="9">
        <v>71</v>
      </c>
      <c r="O89" s="34">
        <f t="shared" si="116"/>
        <v>51.28613839913649</v>
      </c>
      <c r="P89" s="33" t="str">
        <f t="shared" si="103"/>
        <v>16.5157725627975</v>
      </c>
      <c r="Q89" s="4" t="str">
        <f t="shared" si="104"/>
        <v>1+0.833787471620352i</v>
      </c>
      <c r="R89" s="4">
        <f t="shared" si="117"/>
        <v>1.301999058306518</v>
      </c>
      <c r="S89" s="4">
        <f t="shared" si="118"/>
        <v>0.69500623238140002</v>
      </c>
      <c r="T89" s="4" t="str">
        <f t="shared" si="105"/>
        <v>1+0.00530085312008607i</v>
      </c>
      <c r="U89" s="4">
        <f t="shared" si="119"/>
        <v>1.0000140494232073</v>
      </c>
      <c r="V89" s="4">
        <f t="shared" si="120"/>
        <v>5.3008034712884499E-3</v>
      </c>
      <c r="W89" t="str">
        <f t="shared" si="106"/>
        <v>1-0.0805600778128582i</v>
      </c>
      <c r="X89" s="4">
        <f t="shared" si="121"/>
        <v>1.0032397151913464</v>
      </c>
      <c r="Y89" s="4">
        <f t="shared" si="122"/>
        <v>-8.0386476988836483E-2</v>
      </c>
      <c r="Z89" t="str">
        <f t="shared" si="107"/>
        <v>0.99999994565562+0.00112784108938001i</v>
      </c>
      <c r="AA89" s="4">
        <f t="shared" si="123"/>
        <v>1.0000005816682138</v>
      </c>
      <c r="AB89" s="4">
        <f t="shared" si="124"/>
        <v>1.1278406724579081E-3</v>
      </c>
      <c r="AC89" s="47" t="str">
        <f t="shared" si="125"/>
        <v>9.12546297906263-8.87029452915607i</v>
      </c>
      <c r="AD89" s="20">
        <f t="shared" si="126"/>
        <v>22.093975772772232</v>
      </c>
      <c r="AE89" s="43">
        <f t="shared" si="127"/>
        <v>-44.187636555690517</v>
      </c>
      <c r="AF89" t="str">
        <f t="shared" si="108"/>
        <v>247.084651286898</v>
      </c>
      <c r="AG89" t="str">
        <f t="shared" si="109"/>
        <v>1+0.815382414151678i</v>
      </c>
      <c r="AH89">
        <f t="shared" si="128"/>
        <v>1.290290076419957</v>
      </c>
      <c r="AI89">
        <f t="shared" si="129"/>
        <v>0.68405033795106018</v>
      </c>
      <c r="AJ89" t="str">
        <f t="shared" si="110"/>
        <v>1+0.00530085312008607i</v>
      </c>
      <c r="AK89">
        <f t="shared" si="130"/>
        <v>1.0000140494232073</v>
      </c>
      <c r="AL89">
        <f t="shared" si="131"/>
        <v>5.3008034712884499E-3</v>
      </c>
      <c r="AM89" t="str">
        <f t="shared" si="111"/>
        <v>1-0.00526589825238381i</v>
      </c>
      <c r="AN89">
        <f t="shared" si="132"/>
        <v>1.0000138647460866</v>
      </c>
      <c r="AO89">
        <f t="shared" si="133"/>
        <v>-5.2658495792947393E-3</v>
      </c>
      <c r="AP89" s="41" t="str">
        <f t="shared" si="134"/>
        <v>148.421068598872-121.011292413823i</v>
      </c>
      <c r="AQ89">
        <f t="shared" si="135"/>
        <v>45.643410678725317</v>
      </c>
      <c r="AR89" s="43">
        <f t="shared" si="136"/>
        <v>-39.191194628604578</v>
      </c>
      <c r="AS89" t="str">
        <f t="shared" si="112"/>
        <v>-0.0000166666666666667</v>
      </c>
      <c r="AT89" t="str">
        <f t="shared" si="113"/>
        <v>1.09561705825487E-06i</v>
      </c>
      <c r="AU89">
        <f t="shared" si="137"/>
        <v>1.0956170582548701E-6</v>
      </c>
      <c r="AV89">
        <f t="shared" si="138"/>
        <v>1.5707963267948966</v>
      </c>
      <c r="AW89" t="str">
        <f t="shared" si="114"/>
        <v>1+0.00111343505193583i</v>
      </c>
      <c r="AX89">
        <f t="shared" si="139"/>
        <v>1.0000006198686153</v>
      </c>
      <c r="AY89">
        <f t="shared" si="140"/>
        <v>1.1134345918137338E-3</v>
      </c>
      <c r="AZ89" t="str">
        <f t="shared" si="115"/>
        <v>1+0.0378567917658183i</v>
      </c>
      <c r="BA89">
        <f t="shared" si="141"/>
        <v>1.0007163117901099</v>
      </c>
      <c r="BB89">
        <f t="shared" si="142"/>
        <v>3.7838722648260222E-2</v>
      </c>
      <c r="BC89" s="41" t="str">
        <f t="shared" si="143"/>
        <v>-0.558943943734371+15.2127501081973i</v>
      </c>
      <c r="BD89">
        <f t="shared" si="144"/>
        <v>23.650013478053772</v>
      </c>
      <c r="BE89" s="43">
        <f t="shared" si="145"/>
        <v>92.104204007036586</v>
      </c>
      <c r="BF89" s="41" t="str">
        <f t="shared" si="146"/>
        <v>129.840951792242+143.781385328297i</v>
      </c>
      <c r="BG89" s="20">
        <f t="shared" si="147"/>
        <v>45.743989250826004</v>
      </c>
      <c r="BH89" s="43">
        <f t="shared" si="148"/>
        <v>47.916567451345919</v>
      </c>
      <c r="BI89" s="41" t="str">
        <f t="shared" si="101"/>
        <v>1757.95549434556+2325.53115640442i</v>
      </c>
      <c r="BJ89" s="20">
        <f t="shared" si="149"/>
        <v>69.293424156779082</v>
      </c>
      <c r="BK89" s="43">
        <f t="shared" si="102"/>
        <v>52.913009378431923</v>
      </c>
      <c r="BL89">
        <f t="shared" si="150"/>
        <v>45.743989250826004</v>
      </c>
      <c r="BM89" s="43">
        <f t="shared" si="151"/>
        <v>47.916567451345919</v>
      </c>
    </row>
    <row r="90" spans="14:65" x14ac:dyDescent="0.25">
      <c r="N90" s="9">
        <v>72</v>
      </c>
      <c r="O90" s="34">
        <f t="shared" si="116"/>
        <v>52.480746024977286</v>
      </c>
      <c r="P90" s="33" t="str">
        <f t="shared" si="103"/>
        <v>16.5157725627975</v>
      </c>
      <c r="Q90" s="4" t="str">
        <f t="shared" si="104"/>
        <v>1+0.853208876760596i</v>
      </c>
      <c r="R90" s="4">
        <f t="shared" si="117"/>
        <v>1.3145209725915665</v>
      </c>
      <c r="S90" s="4">
        <f t="shared" si="118"/>
        <v>0.70635403515972106</v>
      </c>
      <c r="T90" s="4" t="str">
        <f t="shared" si="105"/>
        <v>1+0.00542432585089366i</v>
      </c>
      <c r="U90" s="4">
        <f t="shared" si="119"/>
        <v>1.0000147115472535</v>
      </c>
      <c r="V90" s="4">
        <f t="shared" si="120"/>
        <v>5.4242726512907973E-3</v>
      </c>
      <c r="W90" t="str">
        <f t="shared" si="106"/>
        <v>1-0.0824365630834903i</v>
      </c>
      <c r="X90" s="4">
        <f t="shared" si="121"/>
        <v>1.0033921401590797</v>
      </c>
      <c r="Y90" s="4">
        <f t="shared" si="122"/>
        <v>-8.2250580396381445E-2</v>
      </c>
      <c r="Z90" t="str">
        <f t="shared" si="107"/>
        <v>0.999999943094448+0.00115411188316886i</v>
      </c>
      <c r="AA90" s="4">
        <f t="shared" si="123"/>
        <v>1.0000006090813836</v>
      </c>
      <c r="AB90" s="4">
        <f t="shared" si="124"/>
        <v>1.1541114364287941E-3</v>
      </c>
      <c r="AC90" s="47" t="str">
        <f t="shared" si="125"/>
        <v>8.92389943655882-8.90493473703404i</v>
      </c>
      <c r="AD90" s="20">
        <f t="shared" si="126"/>
        <v>22.012163869571857</v>
      </c>
      <c r="AE90" s="43">
        <f t="shared" si="127"/>
        <v>-44.939053960449471</v>
      </c>
      <c r="AF90" t="str">
        <f t="shared" si="108"/>
        <v>247.084651286898</v>
      </c>
      <c r="AG90" t="str">
        <f t="shared" si="109"/>
        <v>1+0.834375110430377i</v>
      </c>
      <c r="AH90">
        <f t="shared" si="128"/>
        <v>1.3023754546618667</v>
      </c>
      <c r="AI90">
        <f t="shared" si="129"/>
        <v>0.69535278054877003</v>
      </c>
      <c r="AJ90" t="str">
        <f t="shared" si="110"/>
        <v>1+0.00542432585089366i</v>
      </c>
      <c r="AK90">
        <f t="shared" si="130"/>
        <v>1.0000147115472535</v>
      </c>
      <c r="AL90">
        <f t="shared" si="131"/>
        <v>5.4242726512907973E-3</v>
      </c>
      <c r="AM90" t="str">
        <f t="shared" si="111"/>
        <v>1-0.00538855677972783i</v>
      </c>
      <c r="AN90">
        <f t="shared" si="132"/>
        <v>1.0000145181666957</v>
      </c>
      <c r="AO90">
        <f t="shared" si="133"/>
        <v>-5.3885046256141392E-3</v>
      </c>
      <c r="AP90" s="41" t="str">
        <f t="shared" si="134"/>
        <v>145.679693040361-121.542671979538i</v>
      </c>
      <c r="AQ90">
        <f t="shared" si="135"/>
        <v>45.562445195036517</v>
      </c>
      <c r="AR90" s="43">
        <f t="shared" si="136"/>
        <v>-39.838730241218073</v>
      </c>
      <c r="AS90" t="str">
        <f t="shared" si="112"/>
        <v>-0.0000166666666666667</v>
      </c>
      <c r="AT90" t="str">
        <f t="shared" si="113"/>
        <v>1.12113725793547E-06i</v>
      </c>
      <c r="AU90">
        <f t="shared" si="137"/>
        <v>1.1211372579354701E-6</v>
      </c>
      <c r="AV90">
        <f t="shared" si="138"/>
        <v>1.5707963267948966</v>
      </c>
      <c r="AW90" t="str">
        <f t="shared" si="114"/>
        <v>1+0.0011393702860057i</v>
      </c>
      <c r="AX90">
        <f t="shared" si="139"/>
        <v>1.0000006490821136</v>
      </c>
      <c r="AY90">
        <f t="shared" si="140"/>
        <v>1.1393697929760083E-3</v>
      </c>
      <c r="AZ90" t="str">
        <f t="shared" si="115"/>
        <v>1+0.0387385897241937i</v>
      </c>
      <c r="BA90">
        <f t="shared" si="141"/>
        <v>1.0007500578735029</v>
      </c>
      <c r="BB90">
        <f t="shared" si="142"/>
        <v>3.8719229099554241E-2</v>
      </c>
      <c r="BC90" s="41" t="str">
        <f t="shared" si="143"/>
        <v>-0.558943911076974+14.8664943014996i</v>
      </c>
      <c r="BD90">
        <f t="shared" si="144"/>
        <v>23.450306124314896</v>
      </c>
      <c r="BE90" s="43">
        <f t="shared" si="145"/>
        <v>92.153167332962354</v>
      </c>
      <c r="BF90" s="41" t="str">
        <f t="shared" si="146"/>
        <v>127.397202270215+137.64445917056i</v>
      </c>
      <c r="BG90" s="20">
        <f t="shared" si="147"/>
        <v>45.462469993886756</v>
      </c>
      <c r="BH90" s="43">
        <f t="shared" si="148"/>
        <v>47.214113372512763</v>
      </c>
      <c r="BI90" s="41" t="str">
        <f t="shared" si="101"/>
        <v>1725.48666298036+2233.68186286773i</v>
      </c>
      <c r="BJ90" s="20">
        <f t="shared" si="149"/>
        <v>69.012751319351423</v>
      </c>
      <c r="BK90" s="43">
        <f t="shared" si="102"/>
        <v>52.314437091744402</v>
      </c>
      <c r="BL90">
        <f t="shared" si="150"/>
        <v>45.462469993886756</v>
      </c>
      <c r="BM90" s="43">
        <f t="shared" si="151"/>
        <v>47.214113372512763</v>
      </c>
    </row>
    <row r="91" spans="14:65" x14ac:dyDescent="0.25">
      <c r="N91" s="9">
        <v>73</v>
      </c>
      <c r="O91" s="34">
        <f t="shared" si="116"/>
        <v>53.703179637025293</v>
      </c>
      <c r="P91" s="33" t="str">
        <f t="shared" si="103"/>
        <v>16.5157725627975</v>
      </c>
      <c r="Q91" s="4" t="str">
        <f t="shared" si="104"/>
        <v>1+0.873082664540849i</v>
      </c>
      <c r="R91" s="4">
        <f t="shared" si="117"/>
        <v>1.3275064365650922</v>
      </c>
      <c r="S91" s="4">
        <f t="shared" si="118"/>
        <v>0.71774304273246681</v>
      </c>
      <c r="T91" s="4" t="str">
        <f t="shared" si="105"/>
        <v>1+0.00555067463106681i</v>
      </c>
      <c r="U91" s="4">
        <f t="shared" si="119"/>
        <v>1.0000154048757748</v>
      </c>
      <c r="V91" s="4">
        <f t="shared" si="120"/>
        <v>5.5506176267127389E-3</v>
      </c>
      <c r="W91" t="str">
        <f t="shared" si="106"/>
        <v>1-0.0843567573110457i</v>
      </c>
      <c r="X91" s="4">
        <f t="shared" si="121"/>
        <v>1.0035517238807548</v>
      </c>
      <c r="Y91" s="4">
        <f t="shared" si="122"/>
        <v>-8.415751134386619E-2</v>
      </c>
      <c r="Z91" t="str">
        <f t="shared" si="107"/>
        <v>0.999999940412572+0.00118099460235464i</v>
      </c>
      <c r="AA91" s="4">
        <f t="shared" si="123"/>
        <v>1.0000006377864956</v>
      </c>
      <c r="AB91" s="4">
        <f t="shared" si="124"/>
        <v>1.1809941236640511E-3</v>
      </c>
      <c r="AC91" s="47" t="str">
        <f t="shared" si="125"/>
        <v>8.72086949819662-8.93509572527615i</v>
      </c>
      <c r="AD91" s="20">
        <f t="shared" si="126"/>
        <v>21.928168652767674</v>
      </c>
      <c r="AE91" s="43">
        <f t="shared" si="127"/>
        <v>-45.69515635299026</v>
      </c>
      <c r="AF91" t="str">
        <f t="shared" si="108"/>
        <v>247.084651286898</v>
      </c>
      <c r="AG91" t="str">
        <f t="shared" si="109"/>
        <v>1+0.853810203436884i</v>
      </c>
      <c r="AH91">
        <f t="shared" si="128"/>
        <v>1.3149113519522651</v>
      </c>
      <c r="AI91">
        <f t="shared" si="129"/>
        <v>0.70670192879640059</v>
      </c>
      <c r="AJ91" t="str">
        <f t="shared" si="110"/>
        <v>1+0.00555067463106681i</v>
      </c>
      <c r="AK91">
        <f t="shared" si="130"/>
        <v>1.0000154048757748</v>
      </c>
      <c r="AL91">
        <f t="shared" si="131"/>
        <v>5.5506176267127389E-3</v>
      </c>
      <c r="AM91" t="str">
        <f t="shared" si="111"/>
        <v>1-0.00551407239120243i</v>
      </c>
      <c r="AN91">
        <f t="shared" si="132"/>
        <v>1.0000152023816116</v>
      </c>
      <c r="AO91">
        <f t="shared" si="133"/>
        <v>-5.5140165071086468E-3</v>
      </c>
      <c r="AP91" s="41" t="str">
        <f t="shared" si="134"/>
        <v>142.915614996832-122.013766463079i</v>
      </c>
      <c r="AQ91">
        <f t="shared" si="135"/>
        <v>45.479251717867221</v>
      </c>
      <c r="AR91" s="43">
        <f t="shared" si="136"/>
        <v>-40.488940804109731</v>
      </c>
      <c r="AS91" t="str">
        <f t="shared" si="112"/>
        <v>-0.0000166666666666667</v>
      </c>
      <c r="AT91" t="str">
        <f t="shared" si="113"/>
        <v>1.14725189943022E-06i</v>
      </c>
      <c r="AU91">
        <f t="shared" si="137"/>
        <v>1.14725189943022E-6</v>
      </c>
      <c r="AV91">
        <f t="shared" si="138"/>
        <v>1.5707963267948966</v>
      </c>
      <c r="AW91" t="str">
        <f t="shared" si="114"/>
        <v>1+0.00116590962928255i</v>
      </c>
      <c r="AX91">
        <f t="shared" si="139"/>
        <v>1.0000006796724008</v>
      </c>
      <c r="AY91">
        <f t="shared" si="140"/>
        <v>1.1659091009917368E-3</v>
      </c>
      <c r="AZ91" t="str">
        <f t="shared" si="115"/>
        <v>1+0.0396409273956066i</v>
      </c>
      <c r="BA91">
        <f t="shared" si="141"/>
        <v>1.0007853931411987</v>
      </c>
      <c r="BB91">
        <f t="shared" si="142"/>
        <v>3.9620182991729945E-2</v>
      </c>
      <c r="BC91" s="41" t="str">
        <f t="shared" si="143"/>
        <v>-0.558943876880491+14.5281209068586i</v>
      </c>
      <c r="BD91">
        <f t="shared" si="144"/>
        <v>23.250612541398649</v>
      </c>
      <c r="BE91" s="43">
        <f t="shared" si="145"/>
        <v>92.203267598179409</v>
      </c>
      <c r="BF91" s="41" t="str">
        <f t="shared" si="146"/>
        <v>124.935674404077+131.69206352772i</v>
      </c>
      <c r="BG91" s="20">
        <f t="shared" si="147"/>
        <v>45.178781194166348</v>
      </c>
      <c r="BH91" s="43">
        <f t="shared" si="148"/>
        <v>46.508111245189056</v>
      </c>
      <c r="BI91" s="41" t="str">
        <f t="shared" si="101"/>
        <v>1692.74894356373+2144.49418181169i</v>
      </c>
      <c r="BJ91" s="20">
        <f t="shared" si="149"/>
        <v>68.729864259265852</v>
      </c>
      <c r="BK91" s="43">
        <f t="shared" si="102"/>
        <v>51.714326794069663</v>
      </c>
      <c r="BL91">
        <f t="shared" si="150"/>
        <v>45.178781194166348</v>
      </c>
      <c r="BM91" s="43">
        <f t="shared" si="151"/>
        <v>46.508111245189056</v>
      </c>
    </row>
    <row r="92" spans="14:65" x14ac:dyDescent="0.25">
      <c r="N92" s="9">
        <v>74</v>
      </c>
      <c r="O92" s="34">
        <f t="shared" si="116"/>
        <v>54.95408738576247</v>
      </c>
      <c r="P92" s="33" t="str">
        <f t="shared" si="103"/>
        <v>16.5157725627975</v>
      </c>
      <c r="Q92" s="4" t="str">
        <f t="shared" si="104"/>
        <v>1+0.893419372306461i</v>
      </c>
      <c r="R92" s="4">
        <f t="shared" si="117"/>
        <v>1.3409691177698577</v>
      </c>
      <c r="S92" s="4">
        <f t="shared" si="118"/>
        <v>0.72916747647945923</v>
      </c>
      <c r="T92" s="4" t="str">
        <f t="shared" si="105"/>
        <v>1+0.00567996645240124i</v>
      </c>
      <c r="U92" s="4">
        <f t="shared" si="119"/>
        <v>1.0000161308793476</v>
      </c>
      <c r="V92" s="4">
        <f t="shared" si="120"/>
        <v>5.6799053711885832E-3</v>
      </c>
      <c r="W92" t="str">
        <f t="shared" si="106"/>
        <v>1-0.0863216786079215i</v>
      </c>
      <c r="X92" s="4">
        <f t="shared" si="121"/>
        <v>1.0037188013570779</v>
      </c>
      <c r="Y92" s="4">
        <f t="shared" si="122"/>
        <v>-8.6108225405769886E-2</v>
      </c>
      <c r="Z92" t="str">
        <f t="shared" si="107"/>
        <v>0.999999937604303+0.0012085035005109i</v>
      </c>
      <c r="AA92" s="4">
        <f t="shared" si="123"/>
        <v>1.0000006678444373</v>
      </c>
      <c r="AB92" s="4">
        <f t="shared" si="124"/>
        <v>1.2085029875847112E-3</v>
      </c>
      <c r="AC92" s="47" t="str">
        <f t="shared" si="125"/>
        <v>8.51657456188271-8.96070014270874i</v>
      </c>
      <c r="AD92" s="20">
        <f t="shared" si="126"/>
        <v>21.841977842178359</v>
      </c>
      <c r="AE92" s="43">
        <f t="shared" si="127"/>
        <v>-46.455664372504302</v>
      </c>
      <c r="AF92" t="str">
        <f t="shared" si="108"/>
        <v>247.084651286898</v>
      </c>
      <c r="AG92" t="str">
        <f t="shared" si="109"/>
        <v>1+0.87369799791477i</v>
      </c>
      <c r="AH92">
        <f t="shared" si="128"/>
        <v>1.3279112137339144</v>
      </c>
      <c r="AI92">
        <f t="shared" si="129"/>
        <v>0.7180921065271243</v>
      </c>
      <c r="AJ92" t="str">
        <f t="shared" si="110"/>
        <v>1+0.00567996645240124i</v>
      </c>
      <c r="AK92">
        <f t="shared" si="130"/>
        <v>1.0000161308793476</v>
      </c>
      <c r="AL92">
        <f t="shared" si="131"/>
        <v>5.6799053711885832E-3</v>
      </c>
      <c r="AM92" t="str">
        <f t="shared" si="111"/>
        <v>1-0.00564251163684623i</v>
      </c>
      <c r="AN92">
        <f t="shared" si="132"/>
        <v>1.0000159188420812</v>
      </c>
      <c r="AO92">
        <f t="shared" si="133"/>
        <v>-5.642451756012367E-3</v>
      </c>
      <c r="AP92" s="41" t="str">
        <f t="shared" si="134"/>
        <v>140.13151628297-122.423370711152i</v>
      </c>
      <c r="AQ92">
        <f t="shared" si="135"/>
        <v>45.393812974375848</v>
      </c>
      <c r="AR92" s="43">
        <f t="shared" si="136"/>
        <v>-41.141501071585964</v>
      </c>
      <c r="AS92" t="str">
        <f t="shared" si="112"/>
        <v>-0.0000166666666666667</v>
      </c>
      <c r="AT92" t="str">
        <f t="shared" si="113"/>
        <v>1.17397482906773E-06i</v>
      </c>
      <c r="AU92">
        <f t="shared" si="137"/>
        <v>1.17397482906773E-6</v>
      </c>
      <c r="AV92">
        <f t="shared" si="138"/>
        <v>1.5707963267948966</v>
      </c>
      <c r="AW92" t="str">
        <f t="shared" si="114"/>
        <v>1+0.00119306715327748i</v>
      </c>
      <c r="AX92">
        <f t="shared" si="139"/>
        <v>1.0000007117043628</v>
      </c>
      <c r="AY92">
        <f t="shared" si="140"/>
        <v>1.1930665872036967E-3</v>
      </c>
      <c r="AZ92" t="str">
        <f t="shared" si="115"/>
        <v>1+0.0405642832114345i</v>
      </c>
      <c r="BA92">
        <f t="shared" si="141"/>
        <v>1.0008223923716222</v>
      </c>
      <c r="BB92">
        <f t="shared" si="142"/>
        <v>4.0542056168566057E-2</v>
      </c>
      <c r="BC92" s="41" t="str">
        <f t="shared" si="143"/>
        <v>-0.558943841072379+14.1974505142209i</v>
      </c>
      <c r="BD92">
        <f t="shared" si="144"/>
        <v>23.050933376264421</v>
      </c>
      <c r="BE92" s="43">
        <f t="shared" si="145"/>
        <v>92.254531031116315</v>
      </c>
      <c r="BF92" s="41" t="str">
        <f t="shared" si="146"/>
        <v>122.458809950481+125.922174049466i</v>
      </c>
      <c r="BG92" s="20">
        <f t="shared" si="147"/>
        <v>44.892911218442762</v>
      </c>
      <c r="BH92" s="43">
        <f t="shared" si="148"/>
        <v>45.79886665861217</v>
      </c>
      <c r="BI92" s="41" t="str">
        <f t="shared" si="101"/>
        <v>1659.7740994892+2057.93805697253i</v>
      </c>
      <c r="BJ92" s="20">
        <f t="shared" si="149"/>
        <v>68.444746350640287</v>
      </c>
      <c r="BK92" s="43">
        <f t="shared" si="102"/>
        <v>51.113029959530429</v>
      </c>
      <c r="BL92">
        <f t="shared" si="150"/>
        <v>44.892911218442762</v>
      </c>
      <c r="BM92" s="43">
        <f t="shared" si="151"/>
        <v>45.79886665861217</v>
      </c>
    </row>
    <row r="93" spans="14:65" x14ac:dyDescent="0.25">
      <c r="N93" s="9">
        <v>75</v>
      </c>
      <c r="O93" s="34">
        <f t="shared" si="116"/>
        <v>56.234132519034915</v>
      </c>
      <c r="P93" s="33" t="str">
        <f t="shared" si="103"/>
        <v>16.5157725627975</v>
      </c>
      <c r="Q93" s="4" t="str">
        <f t="shared" si="104"/>
        <v>1+0.914229782849071i</v>
      </c>
      <c r="R93" s="4">
        <f t="shared" si="117"/>
        <v>1.3549229114042833</v>
      </c>
      <c r="S93" s="4">
        <f t="shared" si="118"/>
        <v>0.74062146599425482</v>
      </c>
      <c r="T93" s="4" t="str">
        <f t="shared" si="105"/>
        <v>1+0.00581226986713196i</v>
      </c>
      <c r="U93" s="4">
        <f t="shared" si="119"/>
        <v>1.0000168910978495</v>
      </c>
      <c r="V93" s="4">
        <f t="shared" si="120"/>
        <v>5.8122044174931187E-3</v>
      </c>
      <c r="W93" t="str">
        <f t="shared" si="106"/>
        <v>1-0.0883323688013975i</v>
      </c>
      <c r="X93" s="4">
        <f t="shared" si="121"/>
        <v>1.0038937231490523</v>
      </c>
      <c r="Y93" s="4">
        <f t="shared" si="122"/>
        <v>-8.8103697459333635E-2</v>
      </c>
      <c r="Z93" t="str">
        <f t="shared" si="107"/>
        <v>0.999999934663685+0.00123665316321956i</v>
      </c>
      <c r="AA93" s="4">
        <f t="shared" si="123"/>
        <v>1.0000006993189656</v>
      </c>
      <c r="AB93" s="4">
        <f t="shared" si="124"/>
        <v>1.2366526136092665E-3</v>
      </c>
      <c r="AC93" s="47" t="str">
        <f t="shared" si="125"/>
        <v>8.31122123871733-8.98168191878203i</v>
      </c>
      <c r="AD93" s="20">
        <f t="shared" si="126"/>
        <v>21.753581554358604</v>
      </c>
      <c r="AE93" s="43">
        <f t="shared" si="127"/>
        <v>-47.220294434873914</v>
      </c>
      <c r="AF93" t="str">
        <f t="shared" si="108"/>
        <v>247.084651286898</v>
      </c>
      <c r="AG93" t="str">
        <f t="shared" si="109"/>
        <v>1+0.894049038635908i</v>
      </c>
      <c r="AH93">
        <f t="shared" si="128"/>
        <v>1.3413887145364656</v>
      </c>
      <c r="AI93">
        <f t="shared" si="129"/>
        <v>0.72951753209992476</v>
      </c>
      <c r="AJ93" t="str">
        <f t="shared" si="110"/>
        <v>1+0.00581226986713196i</v>
      </c>
      <c r="AK93">
        <f t="shared" si="130"/>
        <v>1.0000168910978495</v>
      </c>
      <c r="AL93">
        <f t="shared" si="131"/>
        <v>5.8122044174931187E-3</v>
      </c>
      <c r="AM93" t="str">
        <f t="shared" si="111"/>
        <v>1-0.00577394261684735i</v>
      </c>
      <c r="AN93">
        <f t="shared" si="132"/>
        <v>1.0000166690677423</v>
      </c>
      <c r="AO93">
        <f t="shared" si="133"/>
        <v>-5.7738784534356168E-3</v>
      </c>
      <c r="AP93" s="41" t="str">
        <f t="shared" si="134"/>
        <v>137.330160413268-122.770427817926i</v>
      </c>
      <c r="AQ93">
        <f t="shared" si="135"/>
        <v>45.306113897625011</v>
      </c>
      <c r="AR93" s="43">
        <f t="shared" si="136"/>
        <v>-41.796079754139001</v>
      </c>
      <c r="AS93" t="str">
        <f t="shared" si="112"/>
        <v>-0.0000166666666666667</v>
      </c>
      <c r="AT93" t="str">
        <f t="shared" si="113"/>
        <v>1.20132021569901E-06i</v>
      </c>
      <c r="AU93">
        <f t="shared" si="137"/>
        <v>1.2013202156990099E-6</v>
      </c>
      <c r="AV93">
        <f t="shared" si="138"/>
        <v>1.5707963267948966</v>
      </c>
      <c r="AW93" t="str">
        <f t="shared" si="114"/>
        <v>1+0.0012208572572692i</v>
      </c>
      <c r="AX93">
        <f t="shared" si="139"/>
        <v>1.0000007452459436</v>
      </c>
      <c r="AY93">
        <f t="shared" si="140"/>
        <v>1.2208566507102372E-3</v>
      </c>
      <c r="AZ93" t="str">
        <f t="shared" si="115"/>
        <v>1+0.0415091467471527i</v>
      </c>
      <c r="BA93">
        <f t="shared" si="141"/>
        <v>1.0008611338560793</v>
      </c>
      <c r="BB93">
        <f t="shared" si="142"/>
        <v>4.1485331148216432E-2</v>
      </c>
      <c r="BC93" s="41" t="str">
        <f t="shared" si="143"/>
        <v>-0.558943803576684+13.8743077977673i</v>
      </c>
      <c r="BD93">
        <f t="shared" si="144"/>
        <v>22.85126930616595</v>
      </c>
      <c r="BE93" s="43">
        <f t="shared" si="145"/>
        <v>92.306984453019226</v>
      </c>
      <c r="BF93" s="41" t="str">
        <f t="shared" si="146"/>
        <v>119.969113871287+120.332697095505i</v>
      </c>
      <c r="BG93" s="20">
        <f t="shared" si="147"/>
        <v>44.604850860524543</v>
      </c>
      <c r="BH93" s="43">
        <f t="shared" si="148"/>
        <v>45.086690018145347</v>
      </c>
      <c r="BI93" s="41" t="str">
        <f t="shared" si="101"/>
        <v>1626.59486180229+1973.98268538173i</v>
      </c>
      <c r="BJ93" s="20">
        <f t="shared" si="149"/>
        <v>68.157383203790971</v>
      </c>
      <c r="BK93" s="43">
        <f t="shared" si="102"/>
        <v>50.510904698880289</v>
      </c>
      <c r="BL93">
        <f t="shared" si="150"/>
        <v>44.604850860524543</v>
      </c>
      <c r="BM93" s="43">
        <f t="shared" si="151"/>
        <v>45.086690018145347</v>
      </c>
    </row>
    <row r="94" spans="14:65" x14ac:dyDescent="0.25">
      <c r="N94" s="9">
        <v>76</v>
      </c>
      <c r="O94" s="34">
        <f t="shared" si="116"/>
        <v>57.543993733715695</v>
      </c>
      <c r="P94" s="33" t="str">
        <f t="shared" si="103"/>
        <v>16.5157725627975</v>
      </c>
      <c r="Q94" s="4" t="str">
        <f t="shared" si="104"/>
        <v>1+0.935524930123811i</v>
      </c>
      <c r="R94" s="4">
        <f t="shared" si="117"/>
        <v>1.3693819390086761</v>
      </c>
      <c r="S94" s="4">
        <f t="shared" si="118"/>
        <v>0.75209906376822322</v>
      </c>
      <c r="T94" s="4" t="str">
        <f t="shared" si="105"/>
        <v>1+0.00594765502428073i</v>
      </c>
      <c r="U94" s="4">
        <f t="shared" si="119"/>
        <v>1.0000176871437265</v>
      </c>
      <c r="V94" s="4">
        <f t="shared" si="120"/>
        <v>5.9475848937961817E-3</v>
      </c>
      <c r="W94" t="str">
        <f t="shared" si="106"/>
        <v>1-0.0903898939860292i</v>
      </c>
      <c r="X94" s="4">
        <f t="shared" si="121"/>
        <v>1.0040768560896149</v>
      </c>
      <c r="Y94" s="4">
        <f t="shared" si="122"/>
        <v>-9.0144921928700966E-2</v>
      </c>
      <c r="Z94" t="str">
        <f t="shared" si="107"/>
        <v>0.999999931584479+0.00126545851580441i</v>
      </c>
      <c r="AA94" s="4">
        <f t="shared" si="123"/>
        <v>1.0000007322768407</v>
      </c>
      <c r="AB94" s="4">
        <f t="shared" si="124"/>
        <v>1.2654579268863938E-3</v>
      </c>
      <c r="AC94" s="47" t="str">
        <f t="shared" si="125"/>
        <v>8.10502053912886-8.99798667941335i</v>
      </c>
      <c r="AD94" s="20">
        <f t="shared" si="126"/>
        <v>21.662972361823169</v>
      </c>
      <c r="AE94" s="43">
        <f t="shared" si="127"/>
        <v>-47.988759586362313</v>
      </c>
      <c r="AF94" t="str">
        <f t="shared" si="108"/>
        <v>247.084651286898</v>
      </c>
      <c r="AG94" t="str">
        <f t="shared" si="109"/>
        <v>1+0.914874115991471i</v>
      </c>
      <c r="AH94">
        <f t="shared" si="128"/>
        <v>1.355357756502384</v>
      </c>
      <c r="AI94">
        <f t="shared" si="129"/>
        <v>0.74097233252874906</v>
      </c>
      <c r="AJ94" t="str">
        <f t="shared" si="110"/>
        <v>1+0.00594765502428073i</v>
      </c>
      <c r="AK94">
        <f t="shared" si="130"/>
        <v>1.0000176871437265</v>
      </c>
      <c r="AL94">
        <f t="shared" si="131"/>
        <v>5.9475848937961817E-3</v>
      </c>
      <c r="AM94" t="str">
        <f t="shared" si="111"/>
        <v>1-0.0059084350176511i</v>
      </c>
      <c r="AN94">
        <f t="shared" si="132"/>
        <v>1.0000174546498464</v>
      </c>
      <c r="AO94">
        <f t="shared" si="133"/>
        <v>-5.90836626538155E-3</v>
      </c>
      <c r="AP94" s="41" t="str">
        <f t="shared" si="134"/>
        <v>134.514382042733-123.054035697823i</v>
      </c>
      <c r="AQ94">
        <f t="shared" si="135"/>
        <v>45.216141688544774</v>
      </c>
      <c r="AR94" s="43">
        <f t="shared" si="136"/>
        <v>-42.452340327975115</v>
      </c>
      <c r="AS94" t="str">
        <f t="shared" si="112"/>
        <v>-0.0000166666666666667</v>
      </c>
      <c r="AT94" t="str">
        <f t="shared" si="113"/>
        <v>0.00000122930255821i</v>
      </c>
      <c r="AU94">
        <f t="shared" si="137"/>
        <v>1.22930255821E-6</v>
      </c>
      <c r="AV94">
        <f t="shared" si="138"/>
        <v>1.5707963267948966</v>
      </c>
      <c r="AW94" t="str">
        <f t="shared" si="114"/>
        <v>1+0.00124929467593867i</v>
      </c>
      <c r="AX94">
        <f t="shared" si="139"/>
        <v>1.0000007803682891</v>
      </c>
      <c r="AY94">
        <f t="shared" si="140"/>
        <v>1.249294025999059E-3</v>
      </c>
      <c r="AZ94" t="str">
        <f t="shared" si="115"/>
        <v>1+0.0424760189819149i</v>
      </c>
      <c r="BA94">
        <f t="shared" si="141"/>
        <v>1.0009016995632247</v>
      </c>
      <c r="BB94">
        <f t="shared" si="142"/>
        <v>4.2450501349369042E-2</v>
      </c>
      <c r="BC94" s="41" t="str">
        <f t="shared" si="143"/>
        <v>-0.558943764313883+13.558521422952i</v>
      </c>
      <c r="BD94">
        <f t="shared" si="144"/>
        <v>22.651621040059755</v>
      </c>
      <c r="BE94" s="43">
        <f t="shared" si="145"/>
        <v>92.360655290472593</v>
      </c>
      <c r="BF94" s="41" t="str">
        <f t="shared" si="146"/>
        <v>117.469144466281+114.921463159082i</v>
      </c>
      <c r="BG94" s="20">
        <f t="shared" si="147"/>
        <v>44.314593401882938</v>
      </c>
      <c r="BH94" s="43">
        <f t="shared" si="148"/>
        <v>44.371895704110173</v>
      </c>
      <c r="BI94" s="41" t="str">
        <f t="shared" si="101"/>
        <v>1593.24480413631+1892.5964165485i</v>
      </c>
      <c r="BJ94" s="20">
        <f t="shared" si="149"/>
        <v>67.867762728604532</v>
      </c>
      <c r="BK94" s="43">
        <f t="shared" si="102"/>
        <v>49.908314962497514</v>
      </c>
      <c r="BL94">
        <f t="shared" si="150"/>
        <v>44.314593401882938</v>
      </c>
      <c r="BM94" s="43">
        <f t="shared" si="151"/>
        <v>44.371895704110173</v>
      </c>
    </row>
    <row r="95" spans="14:65" x14ac:dyDescent="0.25">
      <c r="N95" s="9">
        <v>77</v>
      </c>
      <c r="O95" s="34">
        <f t="shared" si="116"/>
        <v>58.884365535558949</v>
      </c>
      <c r="P95" s="33" t="str">
        <f t="shared" si="103"/>
        <v>16.5157725627975</v>
      </c>
      <c r="Q95" s="4" t="str">
        <f t="shared" si="104"/>
        <v>1+0.957316105099637i</v>
      </c>
      <c r="R95" s="4">
        <f t="shared" si="117"/>
        <v>1.3843605473586493</v>
      </c>
      <c r="S95" s="4">
        <f t="shared" si="118"/>
        <v>0.76359426036140576</v>
      </c>
      <c r="T95" s="4" t="str">
        <f t="shared" si="105"/>
        <v>1+0.00608619370684988i</v>
      </c>
      <c r="U95" s="4">
        <f t="shared" si="119"/>
        <v>1.0000185207054104</v>
      </c>
      <c r="V95" s="4">
        <f t="shared" si="120"/>
        <v>6.0861185607569666E-3</v>
      </c>
      <c r="W95" t="str">
        <f t="shared" si="106"/>
        <v>1-0.092495345088904i</v>
      </c>
      <c r="X95" s="4">
        <f t="shared" si="121"/>
        <v>1.0042685840267609</v>
      </c>
      <c r="Y95" s="4">
        <f t="shared" si="122"/>
        <v>-9.2232913020750568E-2</v>
      </c>
      <c r="Z95" t="str">
        <f t="shared" si="107"/>
        <v>0.999999928360155+0.00129493483124465i</v>
      </c>
      <c r="AA95" s="4">
        <f t="shared" si="123"/>
        <v>1.0000007667879722</v>
      </c>
      <c r="AB95" s="4">
        <f t="shared" si="124"/>
        <v>1.2949342002076521E-3</v>
      </c>
      <c r="AC95" s="47" t="str">
        <f t="shared" si="125"/>
        <v>7.89818702045975-9.00957209247297i</v>
      </c>
      <c r="AD95" s="20">
        <f t="shared" si="126"/>
        <v>21.570145343258389</v>
      </c>
      <c r="AE95" s="43">
        <f t="shared" si="127"/>
        <v>-48.760770384679951</v>
      </c>
      <c r="AF95" t="str">
        <f t="shared" si="108"/>
        <v>247.084651286898</v>
      </c>
      <c r="AG95" t="str">
        <f t="shared" si="109"/>
        <v>1+0.936184271713122i</v>
      </c>
      <c r="AH95">
        <f t="shared" si="128"/>
        <v>1.3698324680788627</v>
      </c>
      <c r="AI95">
        <f t="shared" si="129"/>
        <v>0.75245055818277684</v>
      </c>
      <c r="AJ95" t="str">
        <f t="shared" si="110"/>
        <v>1+0.00608619370684988i</v>
      </c>
      <c r="AK95">
        <f t="shared" si="130"/>
        <v>1.0000185207054104</v>
      </c>
      <c r="AL95">
        <f t="shared" si="131"/>
        <v>6.0861185607569666E-3</v>
      </c>
      <c r="AM95" t="str">
        <f t="shared" si="111"/>
        <v>1-0.00604606014890858i</v>
      </c>
      <c r="AN95">
        <f t="shared" si="132"/>
        <v>1.0000182772546331</v>
      </c>
      <c r="AO95">
        <f t="shared" si="133"/>
        <v>-6.0459864795971976E-3</v>
      </c>
      <c r="AP95" s="41" t="str">
        <f t="shared" si="134"/>
        <v>131.687075791301-123.273452757541i</v>
      </c>
      <c r="AQ95">
        <f t="shared" si="135"/>
        <v>45.123885869095808</v>
      </c>
      <c r="AR95" s="43">
        <f t="shared" si="136"/>
        <v>-43.109941877262578</v>
      </c>
      <c r="AS95" t="str">
        <f t="shared" si="112"/>
        <v>-0.0000166666666666667</v>
      </c>
      <c r="AT95" t="str">
        <f t="shared" si="113"/>
        <v>1.25793669320909E-06i</v>
      </c>
      <c r="AU95">
        <f t="shared" si="137"/>
        <v>1.2579366932090899E-6</v>
      </c>
      <c r="AV95">
        <f t="shared" si="138"/>
        <v>1.5707963267948966</v>
      </c>
      <c r="AW95" t="str">
        <f t="shared" si="114"/>
        <v>1+0.0012783944871817i</v>
      </c>
      <c r="AX95">
        <f t="shared" si="139"/>
        <v>1.0000008171458985</v>
      </c>
      <c r="AY95">
        <f t="shared" si="140"/>
        <v>1.2783937907588903E-3</v>
      </c>
      <c r="AZ95" t="str">
        <f t="shared" si="115"/>
        <v>1+0.0434654125641778i</v>
      </c>
      <c r="BA95">
        <f t="shared" si="141"/>
        <v>1.0009441753111779</v>
      </c>
      <c r="BB95">
        <f t="shared" si="142"/>
        <v>4.343807132107947E-2</v>
      </c>
      <c r="BC95" s="41" t="str">
        <f t="shared" si="143"/>
        <v>-0.55894372320069+13.2499239556588i</v>
      </c>
      <c r="BD95">
        <f t="shared" si="144"/>
        <v>22.451989320078614</v>
      </c>
      <c r="BE95" s="43">
        <f t="shared" si="145"/>
        <v>92.415571588119903</v>
      </c>
      <c r="BF95" s="41" t="str">
        <f t="shared" si="146"/>
        <v>114.961503038541+109.686221178475i</v>
      </c>
      <c r="BG95" s="20">
        <f t="shared" si="147"/>
        <v>44.022134663336985</v>
      </c>
      <c r="BH95" s="43">
        <f t="shared" si="148"/>
        <v>43.654801203440094</v>
      </c>
      <c r="BI95" s="41" t="str">
        <f t="shared" si="101"/>
        <v>1559.75821034871+1813.74666283392i</v>
      </c>
      <c r="BJ95" s="20">
        <f t="shared" si="149"/>
        <v>67.575875189174411</v>
      </c>
      <c r="BK95" s="43">
        <f t="shared" si="102"/>
        <v>49.305629710857431</v>
      </c>
      <c r="BL95">
        <f t="shared" si="150"/>
        <v>44.022134663336985</v>
      </c>
      <c r="BM95" s="43">
        <f t="shared" si="151"/>
        <v>43.654801203440094</v>
      </c>
    </row>
    <row r="96" spans="14:65" x14ac:dyDescent="0.25">
      <c r="N96" s="9">
        <v>78</v>
      </c>
      <c r="O96" s="34">
        <f t="shared" si="116"/>
        <v>60.255958607435822</v>
      </c>
      <c r="P96" s="33" t="str">
        <f t="shared" si="103"/>
        <v>16.5157725627975</v>
      </c>
      <c r="Q96" s="4" t="str">
        <f t="shared" si="104"/>
        <v>1+0.979614861745964i</v>
      </c>
      <c r="R96" s="4">
        <f t="shared" si="117"/>
        <v>1.399873307608072</v>
      </c>
      <c r="S96" s="4">
        <f t="shared" si="118"/>
        <v>0.77510099996762438</v>
      </c>
      <c r="T96" s="4" t="str">
        <f t="shared" si="105"/>
        <v>1+0.00622795936988271i</v>
      </c>
      <c r="U96" s="4">
        <f t="shared" si="119"/>
        <v>1.0000193935509014</v>
      </c>
      <c r="V96" s="4">
        <f t="shared" si="120"/>
        <v>6.2278788494777781E-3</v>
      </c>
      <c r="W96" t="str">
        <f t="shared" si="106"/>
        <v>1-0.0946498384480655i</v>
      </c>
      <c r="X96" s="4">
        <f t="shared" si="121"/>
        <v>1.0044693085994438</v>
      </c>
      <c r="Y96" s="4">
        <f t="shared" si="122"/>
        <v>-9.4368704951516696E-2</v>
      </c>
      <c r="Z96" t="str">
        <f t="shared" si="107"/>
        <v>0.999999924983873+0.00132509773827292i</v>
      </c>
      <c r="AA96" s="4">
        <f t="shared" si="123"/>
        <v>1.0000008029255614</v>
      </c>
      <c r="AB96" s="4">
        <f t="shared" si="124"/>
        <v>1.3250970621046241E-3</v>
      </c>
      <c r="AC96" s="47" t="str">
        <f t="shared" si="125"/>
        <v>7.69093790317521-9.01640813886488i</v>
      </c>
      <c r="AD96" s="20">
        <f t="shared" si="126"/>
        <v>21.475098124341141</v>
      </c>
      <c r="AE96" s="43">
        <f t="shared" si="127"/>
        <v>-49.536035802061768</v>
      </c>
      <c r="AF96" t="str">
        <f t="shared" si="108"/>
        <v>247.084651286898</v>
      </c>
      <c r="AG96" t="str">
        <f t="shared" si="109"/>
        <v>1+0.957990804727499i</v>
      </c>
      <c r="AH96">
        <f t="shared" si="128"/>
        <v>1.3848272029182707</v>
      </c>
      <c r="AI96">
        <f t="shared" si="129"/>
        <v>0.76394619797075813</v>
      </c>
      <c r="AJ96" t="str">
        <f t="shared" si="110"/>
        <v>1+0.00622795936988271i</v>
      </c>
      <c r="AK96">
        <f t="shared" si="130"/>
        <v>1.0000193935509014</v>
      </c>
      <c r="AL96">
        <f t="shared" si="131"/>
        <v>6.2278788494777781E-3</v>
      </c>
      <c r="AM96" t="str">
        <f t="shared" si="111"/>
        <v>1-0.00618689098128609i</v>
      </c>
      <c r="AN96">
        <f t="shared" si="132"/>
        <v>1.0000191386268635</v>
      </c>
      <c r="AO96">
        <f t="shared" si="133"/>
        <v>-6.1868120432783339E-3</v>
      </c>
      <c r="AP96" s="41" t="str">
        <f t="shared" si="134"/>
        <v>128.85118454264-123.42810260162i</v>
      </c>
      <c r="AQ96">
        <f t="shared" si="135"/>
        <v>45.029338326169245</v>
      </c>
      <c r="AR96" s="43">
        <f t="shared" si="136"/>
        <v>-43.768539964116819</v>
      </c>
      <c r="AS96" t="str">
        <f t="shared" si="112"/>
        <v>-0.0000166666666666667</v>
      </c>
      <c r="AT96" t="str">
        <f t="shared" si="113"/>
        <v>1.28723780289369E-06i</v>
      </c>
      <c r="AU96">
        <f t="shared" si="137"/>
        <v>1.2872378028936899E-6</v>
      </c>
      <c r="AV96">
        <f t="shared" si="138"/>
        <v>1.5707963267948966</v>
      </c>
      <c r="AW96" t="str">
        <f t="shared" si="114"/>
        <v>1+0.00130817212010338i</v>
      </c>
      <c r="AX96">
        <f t="shared" si="139"/>
        <v>1.0000008556567819</v>
      </c>
      <c r="AY96">
        <f t="shared" si="140"/>
        <v>1.3081713738729293E-3</v>
      </c>
      <c r="AZ96" t="str">
        <f t="shared" si="115"/>
        <v>1+0.0444778520835149i</v>
      </c>
      <c r="BA96">
        <f t="shared" si="141"/>
        <v>1.0009886509476333</v>
      </c>
      <c r="BB96">
        <f t="shared" si="142"/>
        <v>4.4448556976257533E-2</v>
      </c>
      <c r="BC96" s="41" t="str">
        <f t="shared" si="143"/>
        <v>-0.558943680149891+12.9483517734254i</v>
      </c>
      <c r="BD96">
        <f t="shared" si="144"/>
        <v>22.25237492307247</v>
      </c>
      <c r="BE96" s="43">
        <f t="shared" si="145"/>
        <v>92.471762021583572</v>
      </c>
      <c r="BF96" s="41" t="str">
        <f t="shared" si="146"/>
        <v>112.448823179393+104.624633784754i</v>
      </c>
      <c r="BG96" s="20">
        <f t="shared" si="147"/>
        <v>43.727473047413604</v>
      </c>
      <c r="BH96" s="43">
        <f t="shared" si="148"/>
        <v>42.935726219521889</v>
      </c>
      <c r="BI96" s="41" t="str">
        <f t="shared" si="101"/>
        <v>1526.16993593228+1737.39982178272i</v>
      </c>
      <c r="BJ96" s="20">
        <f t="shared" si="149"/>
        <v>67.28171324924169</v>
      </c>
      <c r="BK96" s="43">
        <f t="shared" si="102"/>
        <v>48.703222057466739</v>
      </c>
      <c r="BL96">
        <f t="shared" si="150"/>
        <v>43.727473047413604</v>
      </c>
      <c r="BM96" s="43">
        <f t="shared" si="151"/>
        <v>42.935726219521889</v>
      </c>
    </row>
    <row r="97" spans="14:65" x14ac:dyDescent="0.25">
      <c r="N97" s="9">
        <v>79</v>
      </c>
      <c r="O97" s="34">
        <f t="shared" si="116"/>
        <v>61.659500186148257</v>
      </c>
      <c r="P97" s="33" t="str">
        <f t="shared" si="103"/>
        <v>16.5157725627975</v>
      </c>
      <c r="Q97" s="4" t="str">
        <f t="shared" si="104"/>
        <v>1+1.00243302315873i</v>
      </c>
      <c r="R97" s="4">
        <f t="shared" si="117"/>
        <v>1.4159350147231866</v>
      </c>
      <c r="S97" s="4">
        <f t="shared" si="118"/>
        <v>0.78661319627659909</v>
      </c>
      <c r="T97" s="4" t="str">
        <f t="shared" si="105"/>
        <v>1+0.00637302717941024i</v>
      </c>
      <c r="U97" s="4">
        <f t="shared" si="119"/>
        <v>1.0000203075315168</v>
      </c>
      <c r="V97" s="4">
        <f t="shared" si="120"/>
        <v>6.3729409003365177E-3</v>
      </c>
      <c r="W97" t="str">
        <f t="shared" si="106"/>
        <v>1-0.096854516404411i</v>
      </c>
      <c r="X97" s="4">
        <f t="shared" si="121"/>
        <v>1.0046794500475922</v>
      </c>
      <c r="Y97" s="4">
        <f t="shared" si="122"/>
        <v>-9.6553352162003364E-2</v>
      </c>
      <c r="Z97" t="str">
        <f t="shared" si="107"/>
        <v>0.999999921448472+0.00135596322966175i</v>
      </c>
      <c r="AA97" s="4">
        <f t="shared" si="123"/>
        <v>1.0000008407662617</v>
      </c>
      <c r="AB97" s="4">
        <f t="shared" si="124"/>
        <v>1.3559625051344001E-3</v>
      </c>
      <c r="AC97" s="47" t="str">
        <f t="shared" si="125"/>
        <v>7.48349216333895-9.01847730599426i</v>
      </c>
      <c r="AD97" s="20">
        <f t="shared" si="126"/>
        <v>21.377830908866446</v>
      </c>
      <c r="AE97" s="43">
        <f t="shared" si="127"/>
        <v>-50.314264144714834</v>
      </c>
      <c r="AF97" t="str">
        <f t="shared" si="108"/>
        <v>247.084651286898</v>
      </c>
      <c r="AG97" t="str">
        <f t="shared" si="109"/>
        <v>1+0.980305277147051i</v>
      </c>
      <c r="AH97">
        <f t="shared" si="128"/>
        <v>1.4003565390293846</v>
      </c>
      <c r="AI97">
        <f t="shared" si="129"/>
        <v>0.77545319491666242</v>
      </c>
      <c r="AJ97" t="str">
        <f t="shared" si="110"/>
        <v>1+0.00637302717941024i</v>
      </c>
      <c r="AK97">
        <f t="shared" si="130"/>
        <v>1.0000203075315168</v>
      </c>
      <c r="AL97">
        <f t="shared" si="131"/>
        <v>6.3729409003365177E-3</v>
      </c>
      <c r="AM97" t="str">
        <f t="shared" si="111"/>
        <v>1-0.00633100218515506i</v>
      </c>
      <c r="AN97">
        <f t="shared" si="132"/>
        <v>1.0000200405935216</v>
      </c>
      <c r="AO97">
        <f t="shared" si="133"/>
        <v>-6.3309176016473805E-3</v>
      </c>
      <c r="AP97" s="41" t="str">
        <f t="shared" si="134"/>
        <v>126.009687315898-123.517577716374i</v>
      </c>
      <c r="AQ97">
        <f t="shared" si="135"/>
        <v>44.93249334583777</v>
      </c>
      <c r="AR97" s="43">
        <f t="shared" si="136"/>
        <v>-44.427787521004298</v>
      </c>
      <c r="AS97" t="str">
        <f t="shared" si="112"/>
        <v>-0.0000166666666666667</v>
      </c>
      <c r="AT97" t="str">
        <f t="shared" si="113"/>
        <v>1.31722142309999E-06i</v>
      </c>
      <c r="AU97">
        <f t="shared" si="137"/>
        <v>1.3172214230999901E-6</v>
      </c>
      <c r="AV97">
        <f t="shared" si="138"/>
        <v>1.5707963267948966</v>
      </c>
      <c r="AW97" t="str">
        <f t="shared" si="114"/>
        <v>1+0.00133864336319885i</v>
      </c>
      <c r="AX97">
        <f t="shared" si="139"/>
        <v>1.0000008959826254</v>
      </c>
      <c r="AY97">
        <f t="shared" si="140"/>
        <v>1.3386425635985547E-3</v>
      </c>
      <c r="AZ97" t="str">
        <f t="shared" si="115"/>
        <v>1+0.0455138743487608i</v>
      </c>
      <c r="BA97">
        <f t="shared" si="141"/>
        <v>1.0010352205383359</v>
      </c>
      <c r="BB97">
        <f t="shared" si="142"/>
        <v>4.5482485828769507E-2</v>
      </c>
      <c r="BC97" s="41" t="str">
        <f t="shared" si="143"/>
        <v>-0.558943635070181+12.6536449786886i</v>
      </c>
      <c r="BD97">
        <f t="shared" si="144"/>
        <v>22.052778662219819</v>
      </c>
      <c r="BE97" s="43">
        <f t="shared" si="145"/>
        <v>92.529255910581284</v>
      </c>
      <c r="BF97" s="41" t="str">
        <f t="shared" si="146"/>
        <v>109.933759765615+99.7342735238998i</v>
      </c>
      <c r="BG97" s="20">
        <f t="shared" si="147"/>
        <v>43.430609571086251</v>
      </c>
      <c r="BH97" s="43">
        <f t="shared" si="148"/>
        <v>42.214991765866593</v>
      </c>
      <c r="BI97" s="41" t="str">
        <f t="shared" si="101"/>
        <v>1492.51526436817+1663.52121105479i</v>
      </c>
      <c r="BJ97" s="20">
        <f t="shared" si="149"/>
        <v>66.985272008057592</v>
      </c>
      <c r="BK97" s="43">
        <f t="shared" si="102"/>
        <v>48.10146838957705</v>
      </c>
      <c r="BL97">
        <f t="shared" si="150"/>
        <v>43.430609571086251</v>
      </c>
      <c r="BM97" s="43">
        <f t="shared" si="151"/>
        <v>42.214991765866593</v>
      </c>
    </row>
    <row r="98" spans="14:65" x14ac:dyDescent="0.25">
      <c r="N98" s="9">
        <v>80</v>
      </c>
      <c r="O98" s="34">
        <f t="shared" si="116"/>
        <v>63.095734448019364</v>
      </c>
      <c r="P98" s="33" t="str">
        <f t="shared" si="103"/>
        <v>16.5157725627975</v>
      </c>
      <c r="Q98" s="4" t="str">
        <f t="shared" si="104"/>
        <v>1+1.02578268782913i</v>
      </c>
      <c r="R98" s="4">
        <f t="shared" si="117"/>
        <v>1.4325606872485208</v>
      </c>
      <c r="S98" s="4">
        <f t="shared" si="118"/>
        <v>0.79812474853232929</v>
      </c>
      <c r="T98" s="4" t="str">
        <f t="shared" si="105"/>
        <v>1+0.00652147405230527i</v>
      </c>
      <c r="U98" s="4">
        <f t="shared" si="119"/>
        <v>1.0000212645858162</v>
      </c>
      <c r="V98" s="4">
        <f t="shared" si="120"/>
        <v>6.5213816027183116E-3</v>
      </c>
      <c r="W98" t="str">
        <f t="shared" si="106"/>
        <v>1-0.099110547907375i</v>
      </c>
      <c r="X98" s="4">
        <f t="shared" si="121"/>
        <v>1.0048994480576154</v>
      </c>
      <c r="Y98" s="4">
        <f t="shared" si="122"/>
        <v>-9.8787929522113391E-2</v>
      </c>
      <c r="Z98" t="str">
        <f t="shared" si="107"/>
        <v>0.999999917746452+0.00138754767070325i</v>
      </c>
      <c r="AA98" s="4">
        <f t="shared" si="123"/>
        <v>1.0000008803903371</v>
      </c>
      <c r="AB98" s="4">
        <f t="shared" si="124"/>
        <v>1.3875468943582447E-3</v>
      </c>
      <c r="AC98" s="47" t="str">
        <f t="shared" si="125"/>
        <v>7.27606960936391-9.01577470131805i</v>
      </c>
      <c r="AD98" s="20">
        <f t="shared" si="126"/>
        <v>21.278346499974134</v>
      </c>
      <c r="AE98" s="43">
        <f t="shared" si="127"/>
        <v>-51.095163982788755</v>
      </c>
      <c r="AF98" t="str">
        <f t="shared" si="108"/>
        <v>247.084651286898</v>
      </c>
      <c r="AG98" t="str">
        <f t="shared" si="109"/>
        <v>1+1.00313952040042i</v>
      </c>
      <c r="AH98">
        <f t="shared" si="128"/>
        <v>1.4164352782210647</v>
      </c>
      <c r="AI98">
        <f t="shared" si="129"/>
        <v>0.78696546202931128</v>
      </c>
      <c r="AJ98" t="str">
        <f t="shared" si="110"/>
        <v>1+0.00652147405230527i</v>
      </c>
      <c r="AK98">
        <f t="shared" si="130"/>
        <v>1.0000212645858162</v>
      </c>
      <c r="AL98">
        <f t="shared" si="131"/>
        <v>6.5213816027183116E-3</v>
      </c>
      <c r="AM98" t="str">
        <f t="shared" si="111"/>
        <v>1-0.0064784701701833i</v>
      </c>
      <c r="AN98">
        <f t="shared" si="132"/>
        <v>1.0000209850676864</v>
      </c>
      <c r="AO98">
        <f t="shared" si="133"/>
        <v>-6.4783795374246354E-3</v>
      </c>
      <c r="AP98" s="41" t="str">
        <f t="shared" si="134"/>
        <v>123.16558681537-123.541642088589i</v>
      </c>
      <c r="AQ98">
        <f t="shared" si="135"/>
        <v>44.833347637654121</v>
      </c>
      <c r="AR98" s="43">
        <f t="shared" si="136"/>
        <v>-45.087335759990822</v>
      </c>
      <c r="AS98" t="str">
        <f t="shared" si="112"/>
        <v>-0.0000166666666666667</v>
      </c>
      <c r="AT98" t="str">
        <f t="shared" si="113"/>
        <v>0.0000013479034515403i</v>
      </c>
      <c r="AU98">
        <f t="shared" si="137"/>
        <v>1.3479034515403E-6</v>
      </c>
      <c r="AV98">
        <f t="shared" si="138"/>
        <v>1.5707963267948966</v>
      </c>
      <c r="AW98" t="str">
        <f t="shared" si="114"/>
        <v>1+0.00136982437272452i</v>
      </c>
      <c r="AX98">
        <f t="shared" si="139"/>
        <v>1.0000009382089659</v>
      </c>
      <c r="AY98">
        <f t="shared" si="140"/>
        <v>1.3698235159374105E-3</v>
      </c>
      <c r="AZ98" t="str">
        <f t="shared" si="115"/>
        <v>1+0.0465740286726336i</v>
      </c>
      <c r="BA98">
        <f t="shared" si="141"/>
        <v>1.0010839825642999</v>
      </c>
      <c r="BB98">
        <f t="shared" si="142"/>
        <v>4.6540397234112858E-2</v>
      </c>
      <c r="BC98" s="41" t="str">
        <f t="shared" si="143"/>
        <v>-0.558943587865938+12.3656473140046i</v>
      </c>
      <c r="BD98">
        <f t="shared" si="144"/>
        <v>21.853201388712659</v>
      </c>
      <c r="BE98" s="43">
        <f t="shared" si="145"/>
        <v>92.588083232236002</v>
      </c>
      <c r="BF98" s="41" t="str">
        <f t="shared" si="146"/>
        <v>107.418977766004+95.012620080487i</v>
      </c>
      <c r="BG98" s="20">
        <f t="shared" si="147"/>
        <v>43.131547888686796</v>
      </c>
      <c r="BH98" s="43">
        <f t="shared" si="148"/>
        <v>41.492919249447247</v>
      </c>
      <c r="BI98" s="41" t="str">
        <f t="shared" si="101"/>
        <v>1458.82975966428+1592.07501646113i</v>
      </c>
      <c r="BJ98" s="20">
        <f t="shared" si="149"/>
        <v>66.686549026366777</v>
      </c>
      <c r="BK98" s="43">
        <f t="shared" si="102"/>
        <v>47.500747472245301</v>
      </c>
      <c r="BL98">
        <f t="shared" si="150"/>
        <v>43.131547888686796</v>
      </c>
      <c r="BM98" s="43">
        <f t="shared" si="151"/>
        <v>41.492919249447247</v>
      </c>
    </row>
    <row r="99" spans="14:65" x14ac:dyDescent="0.25">
      <c r="N99" s="9">
        <v>81</v>
      </c>
      <c r="O99" s="34">
        <f t="shared" si="116"/>
        <v>64.565422903465588</v>
      </c>
      <c r="P99" s="33" t="str">
        <f t="shared" si="103"/>
        <v>16.5157725627975</v>
      </c>
      <c r="Q99" s="4" t="str">
        <f t="shared" si="104"/>
        <v>1+1.04967623605847i</v>
      </c>
      <c r="R99" s="4">
        <f t="shared" si="117"/>
        <v>1.4497655674438805</v>
      </c>
      <c r="S99" s="4">
        <f t="shared" si="118"/>
        <v>0.80962955768471634</v>
      </c>
      <c r="T99" s="4" t="str">
        <f t="shared" si="105"/>
        <v>1+0.00667337869706476i</v>
      </c>
      <c r="U99" s="4">
        <f t="shared" si="119"/>
        <v>1.0000222667437133</v>
      </c>
      <c r="V99" s="4">
        <f t="shared" si="120"/>
        <v>6.6732796356667014E-3</v>
      </c>
      <c r="W99" t="str">
        <f t="shared" si="106"/>
        <v>1-0.101419129134723i</v>
      </c>
      <c r="X99" s="4">
        <f t="shared" si="121"/>
        <v>1.0051297626448268</v>
      </c>
      <c r="Y99" s="4">
        <f t="shared" si="122"/>
        <v>-0.10107353252132577</v>
      </c>
      <c r="Z99" t="str">
        <f t="shared" si="107"/>
        <v>0.999999913869962+0.00141986780788612i</v>
      </c>
      <c r="AA99" s="4">
        <f t="shared" si="123"/>
        <v>1.0000009218818366</v>
      </c>
      <c r="AB99" s="4">
        <f t="shared" si="124"/>
        <v>1.4198669760175004E-3</v>
      </c>
      <c r="AC99" s="47" t="str">
        <f t="shared" si="125"/>
        <v>7.06888995128258-9.00830808461846i</v>
      </c>
      <c r="AD99" s="20">
        <f t="shared" si="126"/>
        <v>21.176650311351771</v>
      </c>
      <c r="AE99" s="43">
        <f t="shared" si="127"/>
        <v>-51.87844508488957</v>
      </c>
      <c r="AF99" t="str">
        <f t="shared" si="108"/>
        <v>247.084651286898</v>
      </c>
      <c r="AG99" t="str">
        <f t="shared" si="109"/>
        <v>1+1.02650564150562i</v>
      </c>
      <c r="AH99">
        <f t="shared" si="128"/>
        <v>1.4330784458789632</v>
      </c>
      <c r="AI99">
        <f t="shared" si="129"/>
        <v>0.79847689836516222</v>
      </c>
      <c r="AJ99" t="str">
        <f t="shared" si="110"/>
        <v>1+0.00667337869706476i</v>
      </c>
      <c r="AK99">
        <f t="shared" si="130"/>
        <v>1.0000222667437133</v>
      </c>
      <c r="AL99">
        <f t="shared" si="131"/>
        <v>6.6732796356667014E-3</v>
      </c>
      <c r="AM99" t="str">
        <f t="shared" si="111"/>
        <v>1-0.00662937312584847i</v>
      </c>
      <c r="AN99">
        <f t="shared" si="132"/>
        <v>1.0000219740525913</v>
      </c>
      <c r="AO99">
        <f t="shared" si="133"/>
        <v>-6.6292760112131267E-3</v>
      </c>
      <c r="AP99" s="41" t="str">
        <f t="shared" si="134"/>
        <v>120.321896767981-123.50023272777i</v>
      </c>
      <c r="AQ99">
        <f t="shared" si="135"/>
        <v>44.7319003487804</v>
      </c>
      <c r="AR99" s="43">
        <f t="shared" si="136"/>
        <v>-45.746835093055552</v>
      </c>
      <c r="AS99" t="str">
        <f t="shared" si="112"/>
        <v>-0.0000166666666666667</v>
      </c>
      <c r="AT99" t="str">
        <f t="shared" si="113"/>
        <v>1.37930015623223E-06i</v>
      </c>
      <c r="AU99">
        <f t="shared" si="137"/>
        <v>1.37930015623223E-6</v>
      </c>
      <c r="AV99">
        <f t="shared" si="138"/>
        <v>1.5707963267948966</v>
      </c>
      <c r="AW99" t="str">
        <f t="shared" si="114"/>
        <v>1+0.00140173168126438i</v>
      </c>
      <c r="AX99">
        <f t="shared" si="139"/>
        <v>1.0000009824253706</v>
      </c>
      <c r="AY99">
        <f t="shared" si="140"/>
        <v>1.4017307632005005E-3</v>
      </c>
      <c r="AZ99" t="str">
        <f t="shared" si="115"/>
        <v>1+0.0476588771629889i</v>
      </c>
      <c r="BA99">
        <f t="shared" si="141"/>
        <v>1.0011350401281722</v>
      </c>
      <c r="BB99">
        <f t="shared" si="142"/>
        <v>4.7622842633612467E-2</v>
      </c>
      <c r="BC99" s="41" t="str">
        <f t="shared" si="143"/>
        <v>-0.558943538437036+12.0842060791991i</v>
      </c>
      <c r="BD99">
        <f t="shared" si="144"/>
        <v>21.653643993518124</v>
      </c>
      <c r="BE99" s="43">
        <f t="shared" si="145"/>
        <v>92.648274634576637</v>
      </c>
      <c r="BF99" s="41" t="str">
        <f t="shared" si="146"/>
        <v>104.907140957253+90.457058518626i</v>
      </c>
      <c r="BG99" s="20">
        <f t="shared" si="147"/>
        <v>42.830294304869902</v>
      </c>
      <c r="BH99" s="43">
        <f t="shared" si="148"/>
        <v>40.769829549687039</v>
      </c>
      <c r="BI99" s="41" t="str">
        <f t="shared" si="101"/>
        <v>1425.14911638047+1523.02425346306i</v>
      </c>
      <c r="BJ99" s="20">
        <f t="shared" si="149"/>
        <v>66.385544342298516</v>
      </c>
      <c r="BK99" s="43">
        <f t="shared" si="102"/>
        <v>46.9014395415211</v>
      </c>
      <c r="BL99">
        <f t="shared" si="150"/>
        <v>42.830294304869902</v>
      </c>
      <c r="BM99" s="43">
        <f t="shared" si="151"/>
        <v>40.769829549687039</v>
      </c>
    </row>
    <row r="100" spans="14:65" x14ac:dyDescent="0.25">
      <c r="N100" s="9">
        <v>82</v>
      </c>
      <c r="O100" s="34">
        <f t="shared" si="116"/>
        <v>66.069344800759623</v>
      </c>
      <c r="P100" s="33" t="str">
        <f t="shared" si="103"/>
        <v>16.5157725627975</v>
      </c>
      <c r="Q100" s="4" t="str">
        <f t="shared" si="104"/>
        <v>1+1.07412633652227i</v>
      </c>
      <c r="R100" s="4">
        <f t="shared" si="117"/>
        <v>1.4675651218296082</v>
      </c>
      <c r="S100" s="4">
        <f t="shared" si="118"/>
        <v>0.82112154253008929</v>
      </c>
      <c r="T100" s="4" t="str">
        <f t="shared" si="105"/>
        <v>1+0.00682882165554204i</v>
      </c>
      <c r="U100" s="4">
        <f t="shared" si="119"/>
        <v>1.0000233161307805</v>
      </c>
      <c r="V100" s="4">
        <f t="shared" si="120"/>
        <v>6.8287155094752805E-3</v>
      </c>
      <c r="W100" t="str">
        <f t="shared" si="106"/>
        <v>1-0.103781484126779i</v>
      </c>
      <c r="X100" s="4">
        <f t="shared" si="121"/>
        <v>1.0053708750742469</v>
      </c>
      <c r="Y100" s="4">
        <f t="shared" si="122"/>
        <v>-0.1034112774446504</v>
      </c>
      <c r="Z100" t="str">
        <f t="shared" si="107"/>
        <v>0.999999909810778+0.0014529407777749i</v>
      </c>
      <c r="AA100" s="4">
        <f t="shared" si="123"/>
        <v>1.000000965328768</v>
      </c>
      <c r="AB100" s="4">
        <f t="shared" si="124"/>
        <v>1.4529398864116616E-3</v>
      </c>
      <c r="AC100" s="47" t="str">
        <f t="shared" si="125"/>
        <v>6.86217187090361-8.99609781861397i</v>
      </c>
      <c r="AD100" s="20">
        <f t="shared" si="126"/>
        <v>21.072750368388149</v>
      </c>
      <c r="AE100" s="43">
        <f t="shared" si="127"/>
        <v>-52.663819351070131</v>
      </c>
      <c r="AF100" t="str">
        <f t="shared" si="108"/>
        <v>247.084651286898</v>
      </c>
      <c r="AG100" t="str">
        <f t="shared" si="109"/>
        <v>1+1.05041602948937i</v>
      </c>
      <c r="AH100">
        <f t="shared" si="128"/>
        <v>1.4503012911144406</v>
      </c>
      <c r="AI100">
        <f t="shared" si="129"/>
        <v>0.80998140518112161</v>
      </c>
      <c r="AJ100" t="str">
        <f t="shared" si="110"/>
        <v>1+0.00682882165554204i</v>
      </c>
      <c r="AK100">
        <f t="shared" si="130"/>
        <v>1.0000233161307805</v>
      </c>
      <c r="AL100">
        <f t="shared" si="131"/>
        <v>6.8287155094752805E-3</v>
      </c>
      <c r="AM100" t="str">
        <f t="shared" si="111"/>
        <v>1-0.00678379106289511i</v>
      </c>
      <c r="AN100">
        <f t="shared" si="132"/>
        <v>1.0000230096458707</v>
      </c>
      <c r="AO100">
        <f t="shared" si="133"/>
        <v>-6.7836870028178337E-3</v>
      </c>
      <c r="AP100" s="41" t="str">
        <f t="shared" si="134"/>
        <v>117.481629161729-123.393460073724i</v>
      </c>
      <c r="AQ100">
        <f t="shared" si="135"/>
        <v>44.62815306782278</v>
      </c>
      <c r="AR100" s="43">
        <f t="shared" si="136"/>
        <v>-46.405936057564766</v>
      </c>
      <c r="AS100" t="str">
        <f t="shared" si="112"/>
        <v>-0.0000166666666666667</v>
      </c>
      <c r="AT100" t="str">
        <f t="shared" si="113"/>
        <v>1.41142818412419E-06i</v>
      </c>
      <c r="AU100">
        <f t="shared" si="137"/>
        <v>1.41142818412419E-6</v>
      </c>
      <c r="AV100">
        <f t="shared" si="138"/>
        <v>1.5707963267948966</v>
      </c>
      <c r="AW100" t="str">
        <f t="shared" si="114"/>
        <v>1+0.00143438220649576i</v>
      </c>
      <c r="AX100">
        <f t="shared" si="139"/>
        <v>1.000001028725628</v>
      </c>
      <c r="AY100">
        <f t="shared" si="140"/>
        <v>1.4343812227726443E-3</v>
      </c>
      <c r="AZ100" t="str">
        <f t="shared" si="115"/>
        <v>1+0.0487689950208559i</v>
      </c>
      <c r="BA100">
        <f t="shared" si="141"/>
        <v>1.0011885011701565</v>
      </c>
      <c r="BB100">
        <f t="shared" si="142"/>
        <v>4.8730385802070716E-2</v>
      </c>
      <c r="BC100" s="41" t="str">
        <f t="shared" si="143"/>
        <v>-0.558943486678633+11.8091720504037i</v>
      </c>
      <c r="BD100">
        <f t="shared" si="144"/>
        <v>21.454107409220384</v>
      </c>
      <c r="BE100" s="43">
        <f t="shared" si="145"/>
        <v>92.709861450225176</v>
      </c>
      <c r="BF100" s="41" t="str">
        <f t="shared" si="146"/>
        <v>102.400900650563+86.0648785441795i</v>
      </c>
      <c r="BG100" s="20">
        <f t="shared" si="147"/>
        <v>42.526857777608541</v>
      </c>
      <c r="BH100" s="43">
        <f t="shared" si="148"/>
        <v>40.046042099155024</v>
      </c>
      <c r="BI100" s="41" t="str">
        <f t="shared" si="101"/>
        <v>1391.50900848088+1456.33074233953i</v>
      </c>
      <c r="BJ100" s="20">
        <f t="shared" si="149"/>
        <v>66.08226047704315</v>
      </c>
      <c r="BK100" s="43">
        <f t="shared" si="102"/>
        <v>46.303925392660489</v>
      </c>
      <c r="BL100">
        <f t="shared" si="150"/>
        <v>42.526857777608541</v>
      </c>
      <c r="BM100" s="43">
        <f t="shared" si="151"/>
        <v>40.046042099155024</v>
      </c>
    </row>
    <row r="101" spans="14:65" x14ac:dyDescent="0.25">
      <c r="N101" s="9">
        <v>83</v>
      </c>
      <c r="O101" s="34">
        <f t="shared" si="116"/>
        <v>67.60829753919819</v>
      </c>
      <c r="P101" s="33" t="str">
        <f t="shared" si="103"/>
        <v>16.5157725627975</v>
      </c>
      <c r="Q101" s="4" t="str">
        <f t="shared" si="104"/>
        <v>1+1.09914595298744i</v>
      </c>
      <c r="R101" s="4">
        <f t="shared" si="117"/>
        <v>1.4859750421755635</v>
      </c>
      <c r="S101" s="4">
        <f t="shared" si="118"/>
        <v>0.83259465573673164</v>
      </c>
      <c r="T101" s="4" t="str">
        <f t="shared" si="105"/>
        <v>1+0.00698788534565123i</v>
      </c>
      <c r="U101" s="4">
        <f t="shared" si="119"/>
        <v>1.0000244149727566</v>
      </c>
      <c r="V101" s="4">
        <f t="shared" si="120"/>
        <v>6.9877716082414956E-3</v>
      </c>
      <c r="W101" t="str">
        <f t="shared" si="106"/>
        <v>1-0.106198865435429i</v>
      </c>
      <c r="X101" s="4">
        <f t="shared" si="121"/>
        <v>1.0056232888213024</v>
      </c>
      <c r="Y101" s="4">
        <f t="shared" si="122"/>
        <v>-0.10580230153229818</v>
      </c>
      <c r="Z101" t="str">
        <f t="shared" si="107"/>
        <v>0.999999905560291+0.001486784116096i</v>
      </c>
      <c r="AA101" s="4">
        <f t="shared" si="123"/>
        <v>1.0000010108232884</v>
      </c>
      <c r="AB101" s="4">
        <f t="shared" si="124"/>
        <v>1.4867831609831339E-3</v>
      </c>
      <c r="AC101" s="47" t="str">
        <f t="shared" si="125"/>
        <v>6.65613210119986-8.9791767385002i</v>
      </c>
      <c r="AD101" s="20">
        <f t="shared" si="126"/>
        <v>20.966657299339573</v>
      </c>
      <c r="AE101" s="43">
        <f t="shared" si="127"/>
        <v>-53.451001738255478</v>
      </c>
      <c r="AF101" t="str">
        <f t="shared" si="108"/>
        <v>247.084651286898</v>
      </c>
      <c r="AG101" t="str">
        <f t="shared" si="109"/>
        <v>1+1.07488336195584i</v>
      </c>
      <c r="AH101">
        <f t="shared" si="128"/>
        <v>1.4681192873228965</v>
      </c>
      <c r="AI101">
        <f t="shared" si="129"/>
        <v>0.82147290207309664</v>
      </c>
      <c r="AJ101" t="str">
        <f t="shared" si="110"/>
        <v>1+0.00698788534565123i</v>
      </c>
      <c r="AK101">
        <f t="shared" si="130"/>
        <v>1.0000244149727566</v>
      </c>
      <c r="AL101">
        <f t="shared" si="131"/>
        <v>6.9877716082414956E-3</v>
      </c>
      <c r="AM101" t="str">
        <f t="shared" si="111"/>
        <v>1-0.00694180585575737i</v>
      </c>
      <c r="AN101">
        <f t="shared" si="132"/>
        <v>1.0000240940440082</v>
      </c>
      <c r="AO101">
        <f t="shared" si="133"/>
        <v>-6.9416943535207569E-3</v>
      </c>
      <c r="AP101" s="41" t="str">
        <f t="shared" si="134"/>
        <v>114.647781499785-123.221607284575i</v>
      </c>
      <c r="AQ101">
        <f t="shared" si="135"/>
        <v>44.522109818338159</v>
      </c>
      <c r="AR101" s="43">
        <f t="shared" si="136"/>
        <v>-47.064290240924834</v>
      </c>
      <c r="AS101" t="str">
        <f t="shared" si="112"/>
        <v>-0.0000166666666666667</v>
      </c>
      <c r="AT101" t="str">
        <f t="shared" si="113"/>
        <v>1.44430456992183E-06i</v>
      </c>
      <c r="AU101">
        <f t="shared" si="137"/>
        <v>1.44430456992183E-6</v>
      </c>
      <c r="AV101">
        <f t="shared" si="138"/>
        <v>1.5707963267948966</v>
      </c>
      <c r="AW101" t="str">
        <f t="shared" si="114"/>
        <v>1+0.00146779326015932i</v>
      </c>
      <c r="AX101">
        <f t="shared" si="139"/>
        <v>1.0000010772079471</v>
      </c>
      <c r="AY101">
        <f t="shared" si="140"/>
        <v>1.4677922060810718E-3</v>
      </c>
      <c r="AZ101" t="str">
        <f t="shared" si="115"/>
        <v>1+0.0499049708454168i</v>
      </c>
      <c r="BA101">
        <f t="shared" si="141"/>
        <v>1.0012444786939312</v>
      </c>
      <c r="BB101">
        <f t="shared" si="142"/>
        <v>4.9863603098798913E-2</v>
      </c>
      <c r="BC101" s="41" t="str">
        <f t="shared" si="143"/>
        <v>-0.558943432480939+11.5403994009352i</v>
      </c>
      <c r="BD101">
        <f t="shared" si="144"/>
        <v>21.254592611946066</v>
      </c>
      <c r="BE101" s="43">
        <f t="shared" si="145"/>
        <v>92.772875710265993</v>
      </c>
      <c r="BF101" s="41" t="str">
        <f t="shared" si="146"/>
        <v>99.9028845301878+81.8332747803027i</v>
      </c>
      <c r="BG101" s="20">
        <f t="shared" si="147"/>
        <v>42.221249911285639</v>
      </c>
      <c r="BH101" s="43">
        <f t="shared" si="148"/>
        <v>39.321873972010501</v>
      </c>
      <c r="BI101" s="41" t="str">
        <f t="shared" si="101"/>
        <v>1357.94493837137+1391.95509707013i</v>
      </c>
      <c r="BJ101" s="20">
        <f t="shared" si="149"/>
        <v>65.776702430284246</v>
      </c>
      <c r="BK101" s="43">
        <f t="shared" si="102"/>
        <v>45.708585469341166</v>
      </c>
      <c r="BL101">
        <f t="shared" si="150"/>
        <v>42.221249911285639</v>
      </c>
      <c r="BM101" s="43">
        <f t="shared" si="151"/>
        <v>39.321873972010501</v>
      </c>
    </row>
    <row r="102" spans="14:65" x14ac:dyDescent="0.25">
      <c r="N102" s="9">
        <v>84</v>
      </c>
      <c r="O102" s="34">
        <f t="shared" si="116"/>
        <v>69.183097091893657</v>
      </c>
      <c r="P102" s="33" t="str">
        <f t="shared" si="103"/>
        <v>16.5157725627975</v>
      </c>
      <c r="Q102" s="4" t="str">
        <f t="shared" si="104"/>
        <v>1+1.1247483511858i</v>
      </c>
      <c r="R102" s="4">
        <f t="shared" si="117"/>
        <v>1.5050112469663395</v>
      </c>
      <c r="S102" s="4">
        <f t="shared" si="118"/>
        <v>0.84404289965257495</v>
      </c>
      <c r="T102" s="4" t="str">
        <f t="shared" si="105"/>
        <v>1+0.00715065410506628i</v>
      </c>
      <c r="U102" s="4">
        <f t="shared" si="119"/>
        <v>1.0000255656002652</v>
      </c>
      <c r="V102" s="4">
        <f t="shared" si="120"/>
        <v>7.1505322334042935E-3</v>
      </c>
      <c r="W102" t="str">
        <f t="shared" si="106"/>
        <v>1-0.108672554788241i</v>
      </c>
      <c r="X102" s="4">
        <f t="shared" si="121"/>
        <v>1.0058875305739718</v>
      </c>
      <c r="Y102" s="4">
        <f t="shared" si="122"/>
        <v>-0.10824776312138851</v>
      </c>
      <c r="Z102" t="str">
        <f t="shared" si="107"/>
        <v>0.999999901109485+0.00152141576703538i</v>
      </c>
      <c r="AA102" s="4">
        <f t="shared" si="123"/>
        <v>1.0000010584618977</v>
      </c>
      <c r="AB102" s="4">
        <f t="shared" si="124"/>
        <v>1.5214147436135631E-3</v>
      </c>
      <c r="AC102" s="47" t="str">
        <f t="shared" si="125"/>
        <v>6.45098452313685-8.95758994198217i</v>
      </c>
      <c r="AD102" s="20">
        <f t="shared" si="126"/>
        <v>20.858384316666445</v>
      </c>
      <c r="AE102" s="43">
        <f t="shared" si="127"/>
        <v>-54.239711172115712</v>
      </c>
      <c r="AF102" t="str">
        <f t="shared" si="108"/>
        <v>247.084651286898</v>
      </c>
      <c r="AG102" t="str">
        <f t="shared" si="109"/>
        <v>1+1.09992061180859i</v>
      </c>
      <c r="AH102">
        <f t="shared" si="128"/>
        <v>1.4865481331868751</v>
      </c>
      <c r="AI102">
        <f t="shared" si="129"/>
        <v>0.83294534299638501</v>
      </c>
      <c r="AJ102" t="str">
        <f t="shared" si="110"/>
        <v>1+0.00715065410506628i</v>
      </c>
      <c r="AK102">
        <f t="shared" si="130"/>
        <v>1.0000255656002652</v>
      </c>
      <c r="AL102">
        <f t="shared" si="131"/>
        <v>7.1505322334042935E-3</v>
      </c>
      <c r="AM102" t="str">
        <f t="shared" si="111"/>
        <v>1-0.00710350128597002i</v>
      </c>
      <c r="AN102">
        <f t="shared" si="132"/>
        <v>1.0000252295469949</v>
      </c>
      <c r="AO102">
        <f t="shared" si="133"/>
        <v>-7.1033818093337092E-3</v>
      </c>
      <c r="AP102" s="41" t="str">
        <f t="shared" si="134"/>
        <v>111.823324184627-122.985128413761i</v>
      </c>
      <c r="AQ102">
        <f t="shared" si="135"/>
        <v>44.413777042070457</v>
      </c>
      <c r="AR102" s="43">
        <f t="shared" si="136"/>
        <v>-47.721551198467957</v>
      </c>
      <c r="AS102" t="str">
        <f t="shared" si="112"/>
        <v>-0.0000166666666666667</v>
      </c>
      <c r="AT102" t="str">
        <f t="shared" si="113"/>
        <v>1.47794674512008E-06i</v>
      </c>
      <c r="AU102">
        <f t="shared" si="137"/>
        <v>1.47794674512008E-6</v>
      </c>
      <c r="AV102">
        <f t="shared" si="138"/>
        <v>1.5707963267948966</v>
      </c>
      <c r="AW102" t="str">
        <f t="shared" si="114"/>
        <v>1+0.00150198255723795i</v>
      </c>
      <c r="AX102">
        <f t="shared" si="139"/>
        <v>1.0000011279751648</v>
      </c>
      <c r="AY102">
        <f t="shared" si="140"/>
        <v>1.5019814277728266E-3</v>
      </c>
      <c r="AZ102" t="str">
        <f t="shared" si="115"/>
        <v>1+0.0510674069460903i</v>
      </c>
      <c r="BA102">
        <f t="shared" si="141"/>
        <v>1.0013030910030176</v>
      </c>
      <c r="BB102">
        <f t="shared" si="142"/>
        <v>5.102308372194124E-2</v>
      </c>
      <c r="BC102" s="41" t="str">
        <f t="shared" si="143"/>
        <v>-0.558943375728998+11.2777456239769i</v>
      </c>
      <c r="BD102">
        <f t="shared" si="144"/>
        <v>21.055100623377491</v>
      </c>
      <c r="BE102" s="43">
        <f t="shared" si="145"/>
        <v>92.837350158291457</v>
      </c>
      <c r="BF102" s="41" t="str">
        <f t="shared" si="146"/>
        <v>97.4156857034313+77.759348036717i</v>
      </c>
      <c r="BG102" s="20">
        <f t="shared" si="147"/>
        <v>41.913484940043936</v>
      </c>
      <c r="BH102" s="43">
        <f t="shared" si="148"/>
        <v>38.59763898617576</v>
      </c>
      <c r="BI102" s="41" t="str">
        <f t="shared" si="101"/>
        <v>1324.49208747754+1329.85672782178i</v>
      </c>
      <c r="BJ102" s="20">
        <f t="shared" si="149"/>
        <v>65.468877665447962</v>
      </c>
      <c r="BK102" s="43">
        <f t="shared" si="102"/>
        <v>45.115798959823437</v>
      </c>
      <c r="BL102">
        <f t="shared" si="150"/>
        <v>41.913484940043936</v>
      </c>
      <c r="BM102" s="43">
        <f t="shared" si="151"/>
        <v>38.59763898617576</v>
      </c>
    </row>
    <row r="103" spans="14:65" x14ac:dyDescent="0.25">
      <c r="N103" s="9">
        <v>85</v>
      </c>
      <c r="O103" s="34">
        <f t="shared" si="116"/>
        <v>70.794578438413865</v>
      </c>
      <c r="P103" s="33" t="str">
        <f t="shared" si="103"/>
        <v>16.5157725627975</v>
      </c>
      <c r="Q103" s="4" t="str">
        <f t="shared" si="104"/>
        <v>1+1.15094710584776i</v>
      </c>
      <c r="R103" s="4">
        <f t="shared" si="117"/>
        <v>1.5246898833727911</v>
      </c>
      <c r="S103" s="4">
        <f t="shared" si="118"/>
        <v>0.85546034179504915</v>
      </c>
      <c r="T103" s="4" t="str">
        <f t="shared" si="105"/>
        <v>1+0.00731721423593794i</v>
      </c>
      <c r="U103" s="4">
        <f t="shared" si="119"/>
        <v>1.0000267704537587</v>
      </c>
      <c r="V103" s="4">
        <f t="shared" si="120"/>
        <v>7.3170836482881639E-3</v>
      </c>
      <c r="W103" t="str">
        <f t="shared" si="106"/>
        <v>1-0.111203863768054i</v>
      </c>
      <c r="X103" s="4">
        <f t="shared" si="121"/>
        <v>1.0061641512779831</v>
      </c>
      <c r="Y103" s="4">
        <f t="shared" si="122"/>
        <v>-0.11074884176790625</v>
      </c>
      <c r="Z103" t="str">
        <f t="shared" si="107"/>
        <v>0.999999896448919+0.00155685409275275i</v>
      </c>
      <c r="AA103" s="4">
        <f t="shared" si="123"/>
        <v>1.0000011083456433</v>
      </c>
      <c r="AB103" s="4">
        <f t="shared" si="124"/>
        <v>1.5568529961365808E-3</v>
      </c>
      <c r="AC103" s="47" t="str">
        <f t="shared" si="125"/>
        <v>6.24693928788159-8.93139450229796i</v>
      </c>
      <c r="AD103" s="20">
        <f t="shared" si="126"/>
        <v>20.747947188786469</v>
      </c>
      <c r="AE103" s="43">
        <f t="shared" si="127"/>
        <v>-55.029671439548309</v>
      </c>
      <c r="AF103" t="str">
        <f t="shared" si="108"/>
        <v>247.084651286898</v>
      </c>
      <c r="AG103" t="str">
        <f t="shared" si="109"/>
        <v>1+1.12554105412889i</v>
      </c>
      <c r="AH103">
        <f t="shared" si="128"/>
        <v>1.5056037541563094</v>
      </c>
      <c r="AI103">
        <f t="shared" si="129"/>
        <v>0.84439273206509002</v>
      </c>
      <c r="AJ103" t="str">
        <f t="shared" si="110"/>
        <v>1+0.00731721423593794i</v>
      </c>
      <c r="AK103">
        <f t="shared" si="130"/>
        <v>1.0000267704537587</v>
      </c>
      <c r="AL103">
        <f t="shared" si="131"/>
        <v>7.3170836482881639E-3</v>
      </c>
      <c r="AM103" t="str">
        <f t="shared" si="111"/>
        <v>1-0.00726896308659046i</v>
      </c>
      <c r="AN103">
        <f t="shared" si="132"/>
        <v>1.0000264185632068</v>
      </c>
      <c r="AO103">
        <f t="shared" si="133"/>
        <v>-7.2688350652507887E-3</v>
      </c>
      <c r="AP103" s="41" t="str">
        <f t="shared" si="134"/>
        <v>109.0111881447-122.684645497817i</v>
      </c>
      <c r="AQ103">
        <f t="shared" si="135"/>
        <v>44.303163572069842</v>
      </c>
      <c r="AR103" s="43">
        <f t="shared" si="136"/>
        <v>-48.377375358674911</v>
      </c>
      <c r="AS103" t="str">
        <f t="shared" si="112"/>
        <v>-0.0000166666666666667</v>
      </c>
      <c r="AT103" t="str">
        <f t="shared" si="113"/>
        <v>1.51237254724553E-06i</v>
      </c>
      <c r="AU103">
        <f t="shared" si="137"/>
        <v>1.51237254724553E-6</v>
      </c>
      <c r="AV103">
        <f t="shared" si="138"/>
        <v>1.5707963267948966</v>
      </c>
      <c r="AW103" t="str">
        <f t="shared" si="114"/>
        <v>1+0.00153696822534952i</v>
      </c>
      <c r="AX103">
        <f t="shared" si="139"/>
        <v>1.0000011811349654</v>
      </c>
      <c r="AY103">
        <f t="shared" si="140"/>
        <v>1.5369670151059128E-3</v>
      </c>
      <c r="AZ103" t="str">
        <f t="shared" si="115"/>
        <v>1+0.0522569196618838i</v>
      </c>
      <c r="BA103">
        <f t="shared" si="141"/>
        <v>1.0013644619480704</v>
      </c>
      <c r="BB103">
        <f t="shared" si="142"/>
        <v>5.2209429965988867E-2</v>
      </c>
      <c r="BC103" s="41" t="str">
        <f t="shared" si="143"/>
        <v>-0.558943316302433+11.0210714570189i</v>
      </c>
      <c r="BD103">
        <f t="shared" si="144"/>
        <v>20.855632512856161</v>
      </c>
      <c r="BE103" s="43">
        <f t="shared" si="145"/>
        <v>92.903318264618619</v>
      </c>
      <c r="BF103" s="41" t="str">
        <f t="shared" si="146"/>
        <v>94.9418520583431+73.8401075417215i</v>
      </c>
      <c r="BG103" s="20">
        <f t="shared" si="147"/>
        <v>41.60357970164263</v>
      </c>
      <c r="BH103" s="43">
        <f t="shared" si="148"/>
        <v>37.87364682507031</v>
      </c>
      <c r="BI103" s="41" t="str">
        <f t="shared" si="101"/>
        <v>1291.18516969481+1269.99385677121i</v>
      </c>
      <c r="BJ103" s="20">
        <f t="shared" si="149"/>
        <v>65.158796084926024</v>
      </c>
      <c r="BK103" s="43">
        <f t="shared" si="102"/>
        <v>44.525942905943666</v>
      </c>
      <c r="BL103">
        <f t="shared" si="150"/>
        <v>41.60357970164263</v>
      </c>
      <c r="BM103" s="43">
        <f t="shared" si="151"/>
        <v>37.87364682507031</v>
      </c>
    </row>
    <row r="104" spans="14:65" x14ac:dyDescent="0.25">
      <c r="N104" s="9">
        <v>86</v>
      </c>
      <c r="O104" s="34">
        <f t="shared" si="116"/>
        <v>72.443596007499011</v>
      </c>
      <c r="P104" s="33" t="str">
        <f t="shared" si="103"/>
        <v>16.5157725627975</v>
      </c>
      <c r="Q104" s="4" t="str">
        <f t="shared" si="104"/>
        <v>1+1.17775610789983i</v>
      </c>
      <c r="R104" s="4">
        <f t="shared" si="117"/>
        <v>1.5450273297567767</v>
      </c>
      <c r="S104" s="4">
        <f t="shared" si="118"/>
        <v>0.86684112992673534</v>
      </c>
      <c r="T104" s="4" t="str">
        <f t="shared" si="105"/>
        <v>1+0.00748765405065224i</v>
      </c>
      <c r="U104" s="4">
        <f t="shared" si="119"/>
        <v>1.0000280320886921</v>
      </c>
      <c r="V104" s="4">
        <f t="shared" si="120"/>
        <v>7.4875141236763199E-3</v>
      </c>
      <c r="W104" t="str">
        <f t="shared" si="106"/>
        <v>1-0.113794134508393i</v>
      </c>
      <c r="X104" s="4">
        <f t="shared" si="121"/>
        <v>1.0064537272266987</v>
      </c>
      <c r="Y104" s="4">
        <f t="shared" si="122"/>
        <v>-0.11330673834699923</v>
      </c>
      <c r="Z104" t="str">
        <f t="shared" si="107"/>
        <v>0.999999891568707+0.0015931178831175i</v>
      </c>
      <c r="AA104" s="4">
        <f t="shared" si="123"/>
        <v>1.0000011605803341</v>
      </c>
      <c r="AB104" s="4">
        <f t="shared" si="124"/>
        <v>1.5931167080721776E-3</v>
      </c>
      <c r="AC104" s="47" t="str">
        <f t="shared" si="125"/>
        <v>6.04420197194479-8.90065910762356i</v>
      </c>
      <c r="AD104" s="20">
        <f t="shared" si="126"/>
        <v>20.635364202575722</v>
      </c>
      <c r="AE104" s="43">
        <f t="shared" si="127"/>
        <v>-55.82061205614265</v>
      </c>
      <c r="AF104" t="str">
        <f t="shared" si="108"/>
        <v>247.084651286898</v>
      </c>
      <c r="AG104" t="str">
        <f t="shared" si="109"/>
        <v>1+1.15175827321438i</v>
      </c>
      <c r="AH104">
        <f t="shared" si="128"/>
        <v>1.5253023044359997</v>
      </c>
      <c r="AI104">
        <f t="shared" si="129"/>
        <v>0.85580913903071487</v>
      </c>
      <c r="AJ104" t="str">
        <f t="shared" si="110"/>
        <v>1+0.00748765405065224i</v>
      </c>
      <c r="AK104">
        <f t="shared" si="130"/>
        <v>1.0000280320886921</v>
      </c>
      <c r="AL104">
        <f t="shared" si="131"/>
        <v>7.4875141236763199E-3</v>
      </c>
      <c r="AM104" t="str">
        <f t="shared" si="111"/>
        <v>1-0.00743827898765547i</v>
      </c>
      <c r="AN104">
        <f t="shared" si="132"/>
        <v>1.0000276636145113</v>
      </c>
      <c r="AO104">
        <f t="shared" si="133"/>
        <v>-7.438141810523477E-3</v>
      </c>
      <c r="AP104" s="41" t="str">
        <f t="shared" si="134"/>
        <v>106.214252812275-122.320944589598i</v>
      </c>
      <c r="AQ104">
        <f t="shared" si="135"/>
        <v>44.190280595934048</v>
      </c>
      <c r="AR104" s="43">
        <f t="shared" si="136"/>
        <v>-49.031422910016047</v>
      </c>
      <c r="AS104" t="str">
        <f t="shared" si="112"/>
        <v>-0.0000166666666666667</v>
      </c>
      <c r="AT104" t="str">
        <f t="shared" si="113"/>
        <v>1.54760022931414E-06i</v>
      </c>
      <c r="AU104">
        <f t="shared" si="137"/>
        <v>1.5476002293141401E-6</v>
      </c>
      <c r="AV104">
        <f t="shared" si="138"/>
        <v>1.5707963267948966</v>
      </c>
      <c r="AW104" t="str">
        <f t="shared" si="114"/>
        <v>1+0.00157276881435835i</v>
      </c>
      <c r="AX104">
        <f t="shared" si="139"/>
        <v>1.0000012368001068</v>
      </c>
      <c r="AY104">
        <f t="shared" si="140"/>
        <v>1.5727675175590476E-3</v>
      </c>
      <c r="AZ104" t="str">
        <f t="shared" si="115"/>
        <v>1+0.0534741396881839i</v>
      </c>
      <c r="BA104">
        <f t="shared" si="141"/>
        <v>1.0014287211855826</v>
      </c>
      <c r="BB104">
        <f t="shared" si="142"/>
        <v>5.3423257482368466E-2</v>
      </c>
      <c r="BC104" s="41" t="str">
        <f t="shared" si="143"/>
        <v>-0.558943254075195+10.77024080802i</v>
      </c>
      <c r="BD104">
        <f t="shared" si="144"/>
        <v>20.656189399582363</v>
      </c>
      <c r="BE104" s="43">
        <f t="shared" si="145"/>
        <v>92.970814240669014</v>
      </c>
      <c r="BF104" s="41" t="str">
        <f t="shared" si="146"/>
        <v>92.4838760207156+70.0724740951839i</v>
      </c>
      <c r="BG104" s="20">
        <f t="shared" si="147"/>
        <v>41.291553602158089</v>
      </c>
      <c r="BH104" s="43">
        <f t="shared" si="148"/>
        <v>37.150202184526393</v>
      </c>
      <c r="BI104" s="41" t="str">
        <f t="shared" si="101"/>
        <v>1258.05828899838+1212.32354684258i</v>
      </c>
      <c r="BJ104" s="20">
        <f t="shared" si="149"/>
        <v>64.846469995516401</v>
      </c>
      <c r="BK104" s="43">
        <f t="shared" si="102"/>
        <v>43.939391330653073</v>
      </c>
      <c r="BL104">
        <f t="shared" si="150"/>
        <v>41.291553602158089</v>
      </c>
      <c r="BM104" s="43">
        <f t="shared" si="151"/>
        <v>37.150202184526393</v>
      </c>
    </row>
    <row r="105" spans="14:65" x14ac:dyDescent="0.25">
      <c r="N105" s="9">
        <v>87</v>
      </c>
      <c r="O105" s="34">
        <f t="shared" si="116"/>
        <v>74.131024130091816</v>
      </c>
      <c r="P105" s="33" t="str">
        <f t="shared" si="103"/>
        <v>16.5157725627975</v>
      </c>
      <c r="Q105" s="4" t="str">
        <f t="shared" si="104"/>
        <v>1+1.20518957182975i</v>
      </c>
      <c r="R105" s="4">
        <f t="shared" si="117"/>
        <v>1.5660401987328347</v>
      </c>
      <c r="S105" s="4">
        <f t="shared" si="118"/>
        <v>0.87817950662535338</v>
      </c>
      <c r="T105" s="4" t="str">
        <f t="shared" si="105"/>
        <v>1+0.00766206391865506i</v>
      </c>
      <c r="U105" s="4">
        <f t="shared" si="119"/>
        <v>1.0000293531809421</v>
      </c>
      <c r="V105" s="4">
        <f t="shared" si="120"/>
        <v>7.6619139844367259E-3</v>
      </c>
      <c r="W105" t="str">
        <f t="shared" si="106"/>
        <v>1-0.116444740405092i</v>
      </c>
      <c r="X105" s="4">
        <f t="shared" si="121"/>
        <v>1.0067568611973843</v>
      </c>
      <c r="Y105" s="4">
        <f t="shared" si="122"/>
        <v>-0.11592267512959777</v>
      </c>
      <c r="Z105" t="str">
        <f t="shared" si="107"/>
        <v>0.999999886458497+0.00163022636567129i</v>
      </c>
      <c r="AA105" s="4">
        <f t="shared" si="123"/>
        <v>1.0000012152767666</v>
      </c>
      <c r="AB105" s="4">
        <f t="shared" si="124"/>
        <v>1.630225106587626E-3</v>
      </c>
      <c r="AC105" s="47" t="str">
        <f t="shared" si="125"/>
        <v>5.84297277231504-8.86546363107655i</v>
      </c>
      <c r="AD105" s="20">
        <f t="shared" si="126"/>
        <v>20.520656117031134</v>
      </c>
      <c r="AE105" s="43">
        <f t="shared" si="127"/>
        <v>-56.612269103269078</v>
      </c>
      <c r="AF105" t="str">
        <f t="shared" si="108"/>
        <v>247.084651286898</v>
      </c>
      <c r="AG105" t="str">
        <f t="shared" si="109"/>
        <v>1+1.17858616978166i</v>
      </c>
      <c r="AH105">
        <f t="shared" si="128"/>
        <v>1.5456601695070633</v>
      </c>
      <c r="AI105">
        <f t="shared" si="129"/>
        <v>0.86718871434367495</v>
      </c>
      <c r="AJ105" t="str">
        <f t="shared" si="110"/>
        <v>1+0.00766206391865506i</v>
      </c>
      <c r="AK105">
        <f t="shared" si="130"/>
        <v>1.0000293531809421</v>
      </c>
      <c r="AL105">
        <f t="shared" si="131"/>
        <v>7.6619139844367259E-3</v>
      </c>
      <c r="AM105" t="str">
        <f t="shared" si="111"/>
        <v>1-0.00761153876269704i</v>
      </c>
      <c r="AN105">
        <f t="shared" si="132"/>
        <v>1.0000289673416145</v>
      </c>
      <c r="AO105">
        <f t="shared" si="133"/>
        <v>-7.6113917749818264E-3</v>
      </c>
      <c r="AP105" s="41" t="str">
        <f t="shared" si="134"/>
        <v>103.435334555902-121.894970783784i</v>
      </c>
      <c r="AQ105">
        <f t="shared" si="135"/>
        <v>44.075141609499163</v>
      </c>
      <c r="AR105" s="43">
        <f t="shared" si="136"/>
        <v>-49.683358663895092</v>
      </c>
      <c r="AS105" t="str">
        <f t="shared" si="112"/>
        <v>-0.0000166666666666667</v>
      </c>
      <c r="AT105" t="str">
        <f t="shared" si="113"/>
        <v>1.58364846950925E-06i</v>
      </c>
      <c r="AU105">
        <f t="shared" si="137"/>
        <v>1.5836484695092501E-6</v>
      </c>
      <c r="AV105">
        <f t="shared" si="138"/>
        <v>1.5707963267948966</v>
      </c>
      <c r="AW105" t="str">
        <f t="shared" si="114"/>
        <v>1+0.00160940330621061i</v>
      </c>
      <c r="AX105">
        <f t="shared" si="139"/>
        <v>1.0000012950886623</v>
      </c>
      <c r="AY105">
        <f t="shared" si="140"/>
        <v>1.6094019166652195E-3</v>
      </c>
      <c r="AZ105" t="str">
        <f t="shared" si="115"/>
        <v>1+0.0547197124111608i</v>
      </c>
      <c r="BA105">
        <f t="shared" si="141"/>
        <v>1.001496004448525</v>
      </c>
      <c r="BB105">
        <f t="shared" si="142"/>
        <v>5.4665195542975734E-2</v>
      </c>
      <c r="BC105" s="41" t="str">
        <f t="shared" si="143"/>
        <v>-0.558943188915291+10.5251206832493i</v>
      </c>
      <c r="BD105">
        <f t="shared" si="144"/>
        <v>20.456772454912887</v>
      </c>
      <c r="BE105" s="43">
        <f t="shared" si="145"/>
        <v>93.039873053504678</v>
      </c>
      <c r="BF105" s="41" t="str">
        <f t="shared" si="146"/>
        <v>90.0441847959352+66.453284090722i</v>
      </c>
      <c r="BG105" s="20">
        <f t="shared" si="147"/>
        <v>40.977428571944017</v>
      </c>
      <c r="BH105" s="43">
        <f t="shared" si="148"/>
        <v>36.427603950235621</v>
      </c>
      <c r="BI105" s="41" t="str">
        <f t="shared" si="101"/>
        <v>1225.14480243728+1156.80174279576i</v>
      </c>
      <c r="BJ105" s="20">
        <f t="shared" si="149"/>
        <v>64.531914064412064</v>
      </c>
      <c r="BK105" s="43">
        <f t="shared" si="102"/>
        <v>43.356514389609565</v>
      </c>
      <c r="BL105">
        <f t="shared" si="150"/>
        <v>40.977428571944017</v>
      </c>
      <c r="BM105" s="43">
        <f t="shared" si="151"/>
        <v>36.427603950235621</v>
      </c>
    </row>
    <row r="106" spans="14:65" x14ac:dyDescent="0.25">
      <c r="N106" s="9">
        <v>88</v>
      </c>
      <c r="O106" s="34">
        <f t="shared" si="116"/>
        <v>75.857757502918361</v>
      </c>
      <c r="P106" s="33" t="str">
        <f t="shared" si="103"/>
        <v>16.5157725627975</v>
      </c>
      <c r="Q106" s="4" t="str">
        <f t="shared" si="104"/>
        <v>1+1.23326204322322i</v>
      </c>
      <c r="R106" s="4">
        <f t="shared" si="117"/>
        <v>1.5877453408072439</v>
      </c>
      <c r="S106" s="4">
        <f t="shared" si="118"/>
        <v>0.88946982326253488</v>
      </c>
      <c r="T106" s="4" t="str">
        <f t="shared" si="105"/>
        <v>1+0.00784053631436693i</v>
      </c>
      <c r="U106" s="4">
        <f t="shared" si="119"/>
        <v>1.0000307365324812</v>
      </c>
      <c r="V106" s="4">
        <f t="shared" si="120"/>
        <v>7.8403756572241589E-3</v>
      </c>
      <c r="W106" t="str">
        <f t="shared" si="106"/>
        <v>1-0.119157086844482i</v>
      </c>
      <c r="X106" s="4">
        <f t="shared" si="121"/>
        <v>1.0070741836355768</v>
      </c>
      <c r="Y106" s="4">
        <f t="shared" si="122"/>
        <v>-0.11859789583317547</v>
      </c>
      <c r="Z106" t="str">
        <f t="shared" si="107"/>
        <v>0.999999881107451+0.00166819921582275i</v>
      </c>
      <c r="AA106" s="4">
        <f t="shared" si="123"/>
        <v>1.0000012725509602</v>
      </c>
      <c r="AB106" s="4">
        <f t="shared" si="124"/>
        <v>1.6681978666903893E-3</v>
      </c>
      <c r="AC106" s="47" t="str">
        <f t="shared" si="125"/>
        <v>5.64344574804885-8.82589863628347i</v>
      </c>
      <c r="AD106" s="20">
        <f t="shared" si="126"/>
        <v>20.403846108582151</v>
      </c>
      <c r="AE106" s="43">
        <f t="shared" si="127"/>
        <v>-57.404386029761561</v>
      </c>
      <c r="AF106" t="str">
        <f t="shared" si="108"/>
        <v>247.084651286898</v>
      </c>
      <c r="AG106" t="str">
        <f t="shared" si="109"/>
        <v>1+1.20603896833659i</v>
      </c>
      <c r="AH106">
        <f t="shared" si="128"/>
        <v>1.5666939692059791</v>
      </c>
      <c r="AI106">
        <f t="shared" si="129"/>
        <v>0.87852570370642336</v>
      </c>
      <c r="AJ106" t="str">
        <f t="shared" si="110"/>
        <v>1+0.00784053631436693i</v>
      </c>
      <c r="AK106">
        <f t="shared" si="130"/>
        <v>1.0000307365324812</v>
      </c>
      <c r="AL106">
        <f t="shared" si="131"/>
        <v>7.8403756572241589E-3</v>
      </c>
      <c r="AM106" t="str">
        <f t="shared" si="111"/>
        <v>1-0.0077888342763412i</v>
      </c>
      <c r="AN106">
        <f t="shared" si="132"/>
        <v>1.0000303325096616</v>
      </c>
      <c r="AO106">
        <f t="shared" si="133"/>
        <v>-7.788676776424727E-3</v>
      </c>
      <c r="AP106" s="41" t="str">
        <f t="shared" si="134"/>
        <v>100.677175664-121.407822292816i</v>
      </c>
      <c r="AQ106">
        <f t="shared" si="135"/>
        <v>43.957762361387999</v>
      </c>
      <c r="AR106" s="43">
        <f t="shared" si="136"/>
        <v>-50.332852888463407</v>
      </c>
      <c r="AS106" t="str">
        <f t="shared" si="112"/>
        <v>-0.0000166666666666667</v>
      </c>
      <c r="AT106" t="str">
        <f t="shared" si="113"/>
        <v>1.62053638108496E-06i</v>
      </c>
      <c r="AU106">
        <f t="shared" si="137"/>
        <v>1.6205363810849601E-6</v>
      </c>
      <c r="AV106">
        <f t="shared" si="138"/>
        <v>1.5707963267948966</v>
      </c>
      <c r="AW106" t="str">
        <f t="shared" si="114"/>
        <v>1+0.0016468911249988i</v>
      </c>
      <c r="AX106">
        <f t="shared" si="139"/>
        <v>1.0000013561242693</v>
      </c>
      <c r="AY106">
        <f t="shared" si="140"/>
        <v>1.6468896360741978E-3</v>
      </c>
      <c r="AZ106" t="str">
        <f t="shared" si="115"/>
        <v>1+0.0559942982499591i</v>
      </c>
      <c r="BA106">
        <f t="shared" si="141"/>
        <v>1.0015664538294526</v>
      </c>
      <c r="BB106">
        <f t="shared" si="142"/>
        <v>5.5935887306500509E-2</v>
      </c>
      <c r="BC106" s="41" t="str">
        <f t="shared" si="143"/>
        <v>-0.558943120684511+10.2855811167713i</v>
      </c>
      <c r="BD106">
        <f t="shared" si="144"/>
        <v>20.257382904762661</v>
      </c>
      <c r="BE106" s="43">
        <f t="shared" si="145"/>
        <v>93.110530440510985</v>
      </c>
      <c r="BF106" s="41" t="str">
        <f t="shared" si="146"/>
        <v>87.6251311740667+62.979294346264i</v>
      </c>
      <c r="BG106" s="20">
        <f t="shared" si="147"/>
        <v>40.661229013344808</v>
      </c>
      <c r="BH106" s="43">
        <f t="shared" si="148"/>
        <v>35.706144410749438</v>
      </c>
      <c r="BI106" s="41" t="str">
        <f t="shared" si="101"/>
        <v>1192.47718965598+1103.38332396736i</v>
      </c>
      <c r="BJ106" s="20">
        <f t="shared" si="149"/>
        <v>64.215145266150671</v>
      </c>
      <c r="BK106" s="43">
        <f t="shared" si="102"/>
        <v>42.777677552047408</v>
      </c>
      <c r="BL106">
        <f t="shared" si="150"/>
        <v>40.661229013344808</v>
      </c>
      <c r="BM106" s="43">
        <f t="shared" si="151"/>
        <v>35.706144410749438</v>
      </c>
    </row>
    <row r="107" spans="14:65" x14ac:dyDescent="0.25">
      <c r="N107" s="9">
        <v>89</v>
      </c>
      <c r="O107" s="34">
        <f t="shared" si="116"/>
        <v>77.624711662869217</v>
      </c>
      <c r="P107" s="33" t="str">
        <f t="shared" si="103"/>
        <v>16.5157725627975</v>
      </c>
      <c r="Q107" s="4" t="str">
        <f t="shared" si="104"/>
        <v>1+1.26198840647617i</v>
      </c>
      <c r="R107" s="4">
        <f t="shared" si="117"/>
        <v>1.6101598486113926</v>
      </c>
      <c r="S107" s="4">
        <f t="shared" si="118"/>
        <v>0.90070655331255034</v>
      </c>
      <c r="T107" s="4" t="str">
        <f t="shared" si="105"/>
        <v>1+0.00802316586621446i</v>
      </c>
      <c r="U107" s="4">
        <f t="shared" si="119"/>
        <v>1.0000321850773188</v>
      </c>
      <c r="V107" s="4">
        <f t="shared" si="120"/>
        <v>8.0229937192836855E-3</v>
      </c>
      <c r="W107" t="str">
        <f t="shared" si="106"/>
        <v>1-0.121932611948548i</v>
      </c>
      <c r="X107" s="4">
        <f t="shared" si="121"/>
        <v>1.0074063538893305</v>
      </c>
      <c r="Y107" s="4">
        <f t="shared" si="122"/>
        <v>-0.12133366564437047</v>
      </c>
      <c r="Z107" t="str">
        <f t="shared" si="107"/>
        <v>0.999999875504218+0.00170705656727967i</v>
      </c>
      <c r="AA107" s="4">
        <f t="shared" si="123"/>
        <v>1.0000013325243999</v>
      </c>
      <c r="AB107" s="4">
        <f t="shared" si="124"/>
        <v>1.7070551216584037E-3</v>
      </c>
      <c r="AC107" s="47" t="str">
        <f t="shared" si="125"/>
        <v>5.44580811409964-8.78206482413344i</v>
      </c>
      <c r="AD107" s="20">
        <f t="shared" si="126"/>
        <v>20.284959708606873</v>
      </c>
      <c r="AE107" s="43">
        <f t="shared" si="127"/>
        <v>-58.196714413550495</v>
      </c>
      <c r="AF107" t="str">
        <f t="shared" si="108"/>
        <v>247.084651286898</v>
      </c>
      <c r="AG107" t="str">
        <f t="shared" si="109"/>
        <v>1+1.23413122471635i</v>
      </c>
      <c r="AH107">
        <f t="shared" si="128"/>
        <v>1.5884205613816129</v>
      </c>
      <c r="AI107">
        <f t="shared" si="129"/>
        <v>0.88981446203286241</v>
      </c>
      <c r="AJ107" t="str">
        <f t="shared" si="110"/>
        <v>1+0.00802316586621446i</v>
      </c>
      <c r="AK107">
        <f t="shared" si="130"/>
        <v>1.0000321850773188</v>
      </c>
      <c r="AL107">
        <f t="shared" si="131"/>
        <v>8.0229937192836855E-3</v>
      </c>
      <c r="AM107" t="str">
        <f t="shared" si="111"/>
        <v>1-0.0079702595330161i</v>
      </c>
      <c r="AN107">
        <f t="shared" si="132"/>
        <v>1.000031762014099</v>
      </c>
      <c r="AO107">
        <f t="shared" si="133"/>
        <v>-7.9700907691045205E-3</v>
      </c>
      <c r="AP107" s="41" t="str">
        <f t="shared" si="134"/>
        <v>97.9424339679116-120.86074364163i</v>
      </c>
      <c r="AQ107">
        <f t="shared" si="135"/>
        <v>43.838160788897895</v>
      </c>
      <c r="AR107" s="43">
        <f t="shared" si="136"/>
        <v>-50.97958210841783</v>
      </c>
      <c r="AS107" t="str">
        <f t="shared" si="112"/>
        <v>-0.0000166666666666667</v>
      </c>
      <c r="AT107" t="str">
        <f t="shared" si="113"/>
        <v>1.65828352250025E-06i</v>
      </c>
      <c r="AU107">
        <f t="shared" si="137"/>
        <v>1.65828352250025E-6</v>
      </c>
      <c r="AV107">
        <f t="shared" si="138"/>
        <v>1.5707963267948966</v>
      </c>
      <c r="AW107" t="str">
        <f t="shared" si="114"/>
        <v>1+0.00168525214726064i</v>
      </c>
      <c r="AX107">
        <f t="shared" si="139"/>
        <v>1.0000014200363916</v>
      </c>
      <c r="AY107">
        <f t="shared" si="140"/>
        <v>1.685250551849307E-3</v>
      </c>
      <c r="AZ107" t="str">
        <f t="shared" si="115"/>
        <v>1+0.0572985730068617i</v>
      </c>
      <c r="BA107">
        <f t="shared" si="141"/>
        <v>1.0016402180766419</v>
      </c>
      <c r="BB107">
        <f t="shared" si="142"/>
        <v>5.7235990087381776E-2</v>
      </c>
      <c r="BC107" s="41" t="str">
        <f t="shared" si="143"/>
        <v>-0.558943049238135+10.0514951015367i</v>
      </c>
      <c r="BD107">
        <f t="shared" si="144"/>
        <v>20.058022032114508</v>
      </c>
      <c r="BE107" s="43">
        <f t="shared" si="145"/>
        <v>93.182822924216538</v>
      </c>
      <c r="BF107" s="41" t="str">
        <f t="shared" si="146"/>
        <v>85.2289849682944+59.6471876741895i</v>
      </c>
      <c r="BG107" s="20">
        <f t="shared" si="147"/>
        <v>40.342981740721385</v>
      </c>
      <c r="BH107" s="43">
        <f t="shared" si="148"/>
        <v>34.986108510666071</v>
      </c>
      <c r="BI107" s="41" t="str">
        <f t="shared" si="101"/>
        <v>1160.0869299901+1052.02216784529i</v>
      </c>
      <c r="BJ107" s="20">
        <f t="shared" si="149"/>
        <v>63.896182821012424</v>
      </c>
      <c r="BK107" s="43">
        <f t="shared" si="102"/>
        <v>42.20324081579875</v>
      </c>
      <c r="BL107">
        <f t="shared" si="150"/>
        <v>40.342981740721385</v>
      </c>
      <c r="BM107" s="43">
        <f t="shared" si="151"/>
        <v>34.986108510666071</v>
      </c>
    </row>
    <row r="108" spans="14:65" x14ac:dyDescent="0.25">
      <c r="N108" s="9">
        <v>90</v>
      </c>
      <c r="O108" s="34">
        <f t="shared" si="116"/>
        <v>79.432823472428197</v>
      </c>
      <c r="P108" s="33" t="str">
        <f t="shared" si="103"/>
        <v>16.5157725627975</v>
      </c>
      <c r="Q108" s="4" t="str">
        <f t="shared" si="104"/>
        <v>1+1.29138389268662i</v>
      </c>
      <c r="R108" s="4">
        <f t="shared" si="117"/>
        <v>1.6333010617428885</v>
      </c>
      <c r="S108" s="4">
        <f t="shared" si="118"/>
        <v>0.91188430491971839</v>
      </c>
      <c r="T108" s="4" t="str">
        <f t="shared" si="105"/>
        <v>1+0.0082100494068034i</v>
      </c>
      <c r="U108" s="4">
        <f t="shared" si="119"/>
        <v>1.0000337018877223</v>
      </c>
      <c r="V108" s="4">
        <f t="shared" si="120"/>
        <v>8.2098649483794781E-3</v>
      </c>
      <c r="W108" t="str">
        <f t="shared" si="106"/>
        <v>1-0.124772787337438i</v>
      </c>
      <c r="X108" s="4">
        <f t="shared" si="121"/>
        <v>1.0077540614951415</v>
      </c>
      <c r="Y108" s="4">
        <f t="shared" si="122"/>
        <v>-0.12413127121101446</v>
      </c>
      <c r="Z108" t="str">
        <f t="shared" si="107"/>
        <v>0.999999869636912+0.00174681902272413i</v>
      </c>
      <c r="AA108" s="4">
        <f t="shared" si="123"/>
        <v>1.0000013953242961</v>
      </c>
      <c r="AB108" s="4">
        <f t="shared" si="124"/>
        <v>1.7468174737131524E-3</v>
      </c>
      <c r="AC108" s="47" t="str">
        <f t="shared" si="125"/>
        <v>5.25023959242182-8.73407242689701i</v>
      </c>
      <c r="AD108" s="20">
        <f t="shared" si="126"/>
        <v>20.164024733769459</v>
      </c>
      <c r="AE108" s="43">
        <f t="shared" si="127"/>
        <v>-58.989014679014304</v>
      </c>
      <c r="AF108" t="str">
        <f t="shared" si="108"/>
        <v>247.084651286898</v>
      </c>
      <c r="AG108" t="str">
        <f t="shared" si="109"/>
        <v>1+1.2628778338071i</v>
      </c>
      <c r="AH108">
        <f t="shared" si="128"/>
        <v>1.6108570461469613</v>
      </c>
      <c r="AI108">
        <f t="shared" si="129"/>
        <v>0.90104946673538699</v>
      </c>
      <c r="AJ108" t="str">
        <f t="shared" si="110"/>
        <v>1+0.0082100494068034i</v>
      </c>
      <c r="AK108">
        <f t="shared" si="130"/>
        <v>1.0000337018877223</v>
      </c>
      <c r="AL108">
        <f t="shared" si="131"/>
        <v>8.2098649483794781E-3</v>
      </c>
      <c r="AM108" t="str">
        <f t="shared" si="111"/>
        <v>1-0.00815591072679425i</v>
      </c>
      <c r="AN108">
        <f t="shared" si="132"/>
        <v>1.000033258886815</v>
      </c>
      <c r="AO108">
        <f t="shared" si="133"/>
        <v>-8.1557298933297787E-3</v>
      </c>
      <c r="AP108" s="41" t="str">
        <f t="shared" si="134"/>
        <v>95.2336731834377-120.255118058522i</v>
      </c>
      <c r="AQ108">
        <f t="shared" si="135"/>
        <v>43.716356945779083</v>
      </c>
      <c r="AR108" s="43">
        <f t="shared" si="136"/>
        <v>-51.623229866273093</v>
      </c>
      <c r="AS108" t="str">
        <f t="shared" si="112"/>
        <v>-0.0000166666666666667</v>
      </c>
      <c r="AT108" t="str">
        <f t="shared" si="113"/>
        <v>1.69690990778915E-06i</v>
      </c>
      <c r="AU108">
        <f t="shared" si="137"/>
        <v>1.6969099077891499E-6</v>
      </c>
      <c r="AV108">
        <f t="shared" si="138"/>
        <v>1.5707963267948966</v>
      </c>
      <c r="AW108" t="str">
        <f t="shared" si="114"/>
        <v>1+0.0017245067125179i</v>
      </c>
      <c r="AX108">
        <f t="shared" si="139"/>
        <v>1.0000014869605953</v>
      </c>
      <c r="AY108">
        <f t="shared" si="140"/>
        <v>1.7245050030039941E-3</v>
      </c>
      <c r="AZ108" t="str">
        <f t="shared" si="115"/>
        <v>1+0.0586332282256087i</v>
      </c>
      <c r="BA108">
        <f t="shared" si="141"/>
        <v>1.0017174529038397</v>
      </c>
      <c r="BB108">
        <f t="shared" si="142"/>
        <v>5.8566175627202469E-2</v>
      </c>
      <c r="BC108" s="41" t="str">
        <f t="shared" si="143"/>
        <v>-0.558942974424611+9.82273852204082i</v>
      </c>
      <c r="BD108">
        <f t="shared" si="144"/>
        <v>19.858691179640189</v>
      </c>
      <c r="BE108" s="43">
        <f t="shared" si="145"/>
        <v>93.256787827239322</v>
      </c>
      <c r="BF108" s="41" t="str">
        <f t="shared" si="146"/>
        <v>82.8579251477457+56.4535791155555i</v>
      </c>
      <c r="BG108" s="20">
        <f t="shared" si="147"/>
        <v>40.022715913409641</v>
      </c>
      <c r="BH108" s="43">
        <f t="shared" si="148"/>
        <v>34.267773148225025</v>
      </c>
      <c r="BI108" s="41" t="str">
        <f t="shared" si="101"/>
        <v>1128.00438807148+1002.67122355181i</v>
      </c>
      <c r="BJ108" s="20">
        <f t="shared" si="149"/>
        <v>63.575048125419272</v>
      </c>
      <c r="BK108" s="43">
        <f t="shared" si="102"/>
        <v>41.633557960966137</v>
      </c>
      <c r="BL108">
        <f t="shared" si="150"/>
        <v>40.022715913409641</v>
      </c>
      <c r="BM108" s="43">
        <f t="shared" si="151"/>
        <v>34.267773148225025</v>
      </c>
    </row>
    <row r="109" spans="14:65" x14ac:dyDescent="0.25">
      <c r="N109" s="9">
        <v>91</v>
      </c>
      <c r="O109" s="34">
        <f t="shared" si="116"/>
        <v>81.283051616409963</v>
      </c>
      <c r="P109" s="33" t="str">
        <f t="shared" si="103"/>
        <v>16.5157725627975</v>
      </c>
      <c r="Q109" s="4" t="str">
        <f t="shared" si="104"/>
        <v>1+1.32146408773046i</v>
      </c>
      <c r="R109" s="4">
        <f t="shared" si="117"/>
        <v>1.6571865722245329</v>
      </c>
      <c r="S109" s="4">
        <f t="shared" si="118"/>
        <v>0.92299783266148994</v>
      </c>
      <c r="T109" s="4" t="str">
        <f t="shared" si="105"/>
        <v>1+0.00840128602426068i</v>
      </c>
      <c r="U109" s="4">
        <f t="shared" si="119"/>
        <v>1.0000352901807323</v>
      </c>
      <c r="V109" s="4">
        <f t="shared" si="120"/>
        <v>8.4010883738751367E-3</v>
      </c>
      <c r="W109" t="str">
        <f t="shared" si="106"/>
        <v>1-0.127679118909737i</v>
      </c>
      <c r="X109" s="4">
        <f t="shared" si="121"/>
        <v>1.0081180275173967</v>
      </c>
      <c r="Y109" s="4">
        <f t="shared" si="122"/>
        <v>-0.12699202060098827</v>
      </c>
      <c r="Z109" t="str">
        <f t="shared" si="107"/>
        <v>0.999999863493089+0.00178750766473631i</v>
      </c>
      <c r="AA109" s="4">
        <f t="shared" si="123"/>
        <v>1.0000014610838566</v>
      </c>
      <c r="AB109" s="4">
        <f t="shared" si="124"/>
        <v>1.7875060049412741E-3</v>
      </c>
      <c r="AC109" s="47" t="str">
        <f t="shared" si="125"/>
        <v>5.05691182457646-8.68204055633458i</v>
      </c>
      <c r="AD109" s="20">
        <f t="shared" si="126"/>
        <v>20.041071209842315</v>
      </c>
      <c r="AE109" s="43">
        <f t="shared" si="127"/>
        <v>-59.781056766298661</v>
      </c>
      <c r="AF109" t="str">
        <f t="shared" si="108"/>
        <v>247.084651286898</v>
      </c>
      <c r="AG109" t="str">
        <f t="shared" si="109"/>
        <v>1+1.2922940374415i</v>
      </c>
      <c r="AH109">
        <f t="shared" si="128"/>
        <v>1.6340207707391154</v>
      </c>
      <c r="AI109">
        <f t="shared" si="129"/>
        <v>0.9122253302686133</v>
      </c>
      <c r="AJ109" t="str">
        <f t="shared" si="110"/>
        <v>1+0.00840128602426068i</v>
      </c>
      <c r="AK109">
        <f t="shared" si="130"/>
        <v>1.0000352901807323</v>
      </c>
      <c r="AL109">
        <f t="shared" si="131"/>
        <v>8.4010883738751367E-3</v>
      </c>
      <c r="AM109" t="str">
        <f t="shared" si="111"/>
        <v>1-0.00834588629239598i</v>
      </c>
      <c r="AN109">
        <f t="shared" si="132"/>
        <v>1.0000348263025671</v>
      </c>
      <c r="AO109">
        <f t="shared" si="133"/>
        <v>-8.3456925262122127E-3</v>
      </c>
      <c r="AP109" s="41" t="str">
        <f t="shared" si="134"/>
        <v>92.5533540395316-119.59245914707i</v>
      </c>
      <c r="AQ109">
        <f t="shared" si="135"/>
        <v>43.59237292251408</v>
      </c>
      <c r="AR109" s="43">
        <f t="shared" si="136"/>
        <v>-52.263487441045612</v>
      </c>
      <c r="AS109" t="str">
        <f t="shared" si="112"/>
        <v>-0.0000166666666666667</v>
      </c>
      <c r="AT109" t="str">
        <f t="shared" si="113"/>
        <v>1.73643601717242E-06i</v>
      </c>
      <c r="AU109">
        <f t="shared" si="137"/>
        <v>1.73643601717242E-6</v>
      </c>
      <c r="AV109">
        <f t="shared" si="138"/>
        <v>1.5707963267948966</v>
      </c>
      <c r="AW109" t="str">
        <f t="shared" si="114"/>
        <v>1+0.00176467563406069i</v>
      </c>
      <c r="AX109">
        <f t="shared" si="139"/>
        <v>1.0000015570388345</v>
      </c>
      <c r="AY109">
        <f t="shared" si="140"/>
        <v>1.7646738022836915E-3</v>
      </c>
      <c r="AZ109" t="str">
        <f t="shared" si="115"/>
        <v>1+0.0599989715580635i</v>
      </c>
      <c r="BA109">
        <f t="shared" si="141"/>
        <v>1.0017983213142381</v>
      </c>
      <c r="BB109">
        <f t="shared" si="142"/>
        <v>5.9927130368318558E-2</v>
      </c>
      <c r="BC109" s="41" t="str">
        <f t="shared" si="143"/>
        <v>-0.558942896085256+9.59919008851645i</v>
      </c>
      <c r="BD109">
        <f t="shared" si="144"/>
        <v>19.659391752439653</v>
      </c>
      <c r="BE109" s="43">
        <f t="shared" si="145"/>
        <v>93.332463287346755</v>
      </c>
      <c r="BF109" s="41" t="str">
        <f t="shared" si="146"/>
        <v>80.5140327159882+53.3950227574633i</v>
      </c>
      <c r="BG109" s="20">
        <f t="shared" si="147"/>
        <v>39.700462962281968</v>
      </c>
      <c r="BH109" s="43">
        <f t="shared" si="148"/>
        <v>33.551406521048122</v>
      </c>
      <c r="BI109" s="41" t="str">
        <f t="shared" si="101"/>
        <v>1096.2587087566+955.282594220847i</v>
      </c>
      <c r="BJ109" s="20">
        <f t="shared" si="149"/>
        <v>63.251764674953719</v>
      </c>
      <c r="BK109" s="43">
        <f t="shared" si="102"/>
        <v>41.068975846301242</v>
      </c>
      <c r="BL109">
        <f t="shared" si="150"/>
        <v>39.700462962281968</v>
      </c>
      <c r="BM109" s="43">
        <f t="shared" si="151"/>
        <v>33.551406521048122</v>
      </c>
    </row>
    <row r="110" spans="14:65" x14ac:dyDescent="0.25">
      <c r="N110" s="9">
        <v>92</v>
      </c>
      <c r="O110" s="34">
        <f t="shared" si="116"/>
        <v>83.176377110267126</v>
      </c>
      <c r="P110" s="33" t="str">
        <f t="shared" si="103"/>
        <v>16.5157725627975</v>
      </c>
      <c r="Q110" s="4" t="str">
        <f t="shared" si="104"/>
        <v>1+1.35224494052526i</v>
      </c>
      <c r="R110" s="4">
        <f t="shared" si="117"/>
        <v>1.6818342305875937</v>
      </c>
      <c r="S110" s="4">
        <f t="shared" si="118"/>
        <v>0.93404204845276628</v>
      </c>
      <c r="T110" s="4" t="str">
        <f t="shared" si="105"/>
        <v>1+0.00859697711477219i</v>
      </c>
      <c r="U110" s="4">
        <f t="shared" si="119"/>
        <v>1.0000369533249818</v>
      </c>
      <c r="V110" s="4">
        <f t="shared" si="120"/>
        <v>8.5967653289910594E-3</v>
      </c>
      <c r="W110" t="str">
        <f t="shared" si="106"/>
        <v>1-0.130653147640915i</v>
      </c>
      <c r="X110" s="4">
        <f t="shared" si="121"/>
        <v>1.0084990059432279</v>
      </c>
      <c r="Y110" s="4">
        <f t="shared" si="122"/>
        <v>-0.1299172432251546</v>
      </c>
      <c r="Z110" t="str">
        <f t="shared" si="107"/>
        <v>0.999999857059717+0.0018291440669728i</v>
      </c>
      <c r="AA110" s="4">
        <f t="shared" si="123"/>
        <v>1.0000015299425657</v>
      </c>
      <c r="AB110" s="4">
        <f t="shared" si="124"/>
        <v>1.829142288470522E-3</v>
      </c>
      <c r="AC110" s="47" t="str">
        <f t="shared" si="125"/>
        <v>4.86598784923149-8.62609651275652i</v>
      </c>
      <c r="AD110" s="20">
        <f t="shared" si="126"/>
        <v>19.916131289724689</v>
      </c>
      <c r="AE110" s="43">
        <f t="shared" si="127"/>
        <v>-60.572620749316144</v>
      </c>
      <c r="AF110" t="str">
        <f t="shared" si="108"/>
        <v>247.084651286898</v>
      </c>
      <c r="AG110" t="str">
        <f t="shared" si="109"/>
        <v>1+1.32239543248009i</v>
      </c>
      <c r="AH110">
        <f t="shared" si="128"/>
        <v>1.657929334997184</v>
      </c>
      <c r="AI110">
        <f t="shared" si="129"/>
        <v>0.92333681186691252</v>
      </c>
      <c r="AJ110" t="str">
        <f t="shared" si="110"/>
        <v>1+0.00859697711477219i</v>
      </c>
      <c r="AK110">
        <f t="shared" si="130"/>
        <v>1.0000369533249818</v>
      </c>
      <c r="AL110">
        <f t="shared" si="131"/>
        <v>8.5967653289910594E-3</v>
      </c>
      <c r="AM110" t="str">
        <f t="shared" si="111"/>
        <v>1-0.00854028695738081i</v>
      </c>
      <c r="AN110">
        <f t="shared" si="132"/>
        <v>1.0000364675857147</v>
      </c>
      <c r="AO110">
        <f t="shared" si="133"/>
        <v>-8.540079333583115E-3</v>
      </c>
      <c r="AP110" s="41" t="str">
        <f t="shared" si="134"/>
        <v>89.9038262518073-118.874401930103i</v>
      </c>
      <c r="AQ110">
        <f t="shared" si="135"/>
        <v>43.466232759759095</v>
      </c>
      <c r="AR110" s="43">
        <f t="shared" si="136"/>
        <v>-52.90005452074459</v>
      </c>
      <c r="AS110" t="str">
        <f t="shared" si="112"/>
        <v>-0.0000166666666666667</v>
      </c>
      <c r="AT110" t="str">
        <f t="shared" si="113"/>
        <v>1.77688280791644E-06i</v>
      </c>
      <c r="AU110">
        <f t="shared" si="137"/>
        <v>1.77688280791644E-6</v>
      </c>
      <c r="AV110">
        <f t="shared" si="138"/>
        <v>1.5707963267948966</v>
      </c>
      <c r="AW110" t="str">
        <f t="shared" si="114"/>
        <v>1+0.0018057802099829i</v>
      </c>
      <c r="AX110">
        <f t="shared" si="139"/>
        <v>1.0000016304197543</v>
      </c>
      <c r="AY110">
        <f t="shared" si="140"/>
        <v>1.8057782471986561E-3</v>
      </c>
      <c r="AZ110" t="str">
        <f t="shared" si="115"/>
        <v>1+0.0613965271394186i</v>
      </c>
      <c r="BA110">
        <f t="shared" si="141"/>
        <v>1.001882993939303</v>
      </c>
      <c r="BB110">
        <f t="shared" si="142"/>
        <v>6.1319555729490383E-2</v>
      </c>
      <c r="BC110" s="41" t="str">
        <f t="shared" si="143"/>
        <v>-0.558942814053904+9.3807312726243i</v>
      </c>
      <c r="BD110">
        <f t="shared" si="144"/>
        <v>19.460125220901709</v>
      </c>
      <c r="BE110" s="43">
        <f t="shared" si="145"/>
        <v>93.409888272616016</v>
      </c>
      <c r="BF110" s="41" t="str">
        <f t="shared" si="146"/>
        <v>78.199284376289+50.4680190486364i</v>
      </c>
      <c r="BG110" s="20">
        <f t="shared" si="147"/>
        <v>39.376256510626398</v>
      </c>
      <c r="BH110" s="43">
        <f t="shared" si="148"/>
        <v>32.837267523299872</v>
      </c>
      <c r="BI110" s="41" t="str">
        <f t="shared" si="101"/>
        <v>1064.87772206083+909.807627182697i</v>
      </c>
      <c r="BJ110" s="20">
        <f t="shared" si="149"/>
        <v>62.926357980660811</v>
      </c>
      <c r="BK110" s="43">
        <f t="shared" si="102"/>
        <v>40.509833751871426</v>
      </c>
      <c r="BL110">
        <f t="shared" si="150"/>
        <v>39.376256510626398</v>
      </c>
      <c r="BM110" s="43">
        <f t="shared" si="151"/>
        <v>32.837267523299872</v>
      </c>
    </row>
    <row r="111" spans="14:65" x14ac:dyDescent="0.25">
      <c r="N111" s="9">
        <v>93</v>
      </c>
      <c r="O111" s="34">
        <f t="shared" si="116"/>
        <v>85.113803820237734</v>
      </c>
      <c r="P111" s="33" t="str">
        <f t="shared" si="103"/>
        <v>16.5157725627975</v>
      </c>
      <c r="Q111" s="4" t="str">
        <f t="shared" si="104"/>
        <v>1+1.38374277148661i</v>
      </c>
      <c r="R111" s="4">
        <f t="shared" si="117"/>
        <v>1.7072621525827381</v>
      </c>
      <c r="S111" s="4">
        <f t="shared" si="118"/>
        <v>0.9450120315461713</v>
      </c>
      <c r="T111" s="4" t="str">
        <f t="shared" si="105"/>
        <v>1+0.00879722643634441i</v>
      </c>
      <c r="U111" s="4">
        <f t="shared" si="119"/>
        <v>1.0000386948478406</v>
      </c>
      <c r="V111" s="4">
        <f t="shared" si="120"/>
        <v>8.7969995042655909E-3</v>
      </c>
      <c r="W111" t="str">
        <f t="shared" si="106"/>
        <v>1-0.133696450400371i</v>
      </c>
      <c r="X111" s="4">
        <f t="shared" si="121"/>
        <v>1.0088977851346781</v>
      </c>
      <c r="Y111" s="4">
        <f t="shared" si="122"/>
        <v>-0.13290828972145996</v>
      </c>
      <c r="Z111" t="str">
        <f t="shared" si="107"/>
        <v>0.999999850323149+0.00187175030560519i</v>
      </c>
      <c r="AA111" s="4">
        <f t="shared" si="123"/>
        <v>1.0000016020464801</v>
      </c>
      <c r="AB111" s="4">
        <f t="shared" si="124"/>
        <v>1.8717483999058293E-3</v>
      </c>
      <c r="AC111" s="47" t="str">
        <f t="shared" si="125"/>
        <v>4.67762164708019-8.5663750622126i</v>
      </c>
      <c r="AD111" s="20">
        <f t="shared" si="126"/>
        <v>19.78923916639523</v>
      </c>
      <c r="AE111" s="43">
        <f t="shared" si="127"/>
        <v>-61.363497399672852</v>
      </c>
      <c r="AF111" t="str">
        <f t="shared" si="108"/>
        <v>247.084651286898</v>
      </c>
      <c r="AG111" t="str">
        <f t="shared" si="109"/>
        <v>1+1.35319797908096i</v>
      </c>
      <c r="AH111">
        <f t="shared" si="128"/>
        <v>1.682600597464768</v>
      </c>
      <c r="AI111">
        <f t="shared" si="129"/>
        <v>0.93437882842170661</v>
      </c>
      <c r="AJ111" t="str">
        <f t="shared" si="110"/>
        <v>1+0.00879722643634441i</v>
      </c>
      <c r="AK111">
        <f t="shared" si="130"/>
        <v>1.0000386948478406</v>
      </c>
      <c r="AL111">
        <f t="shared" si="131"/>
        <v>8.7969995042655909E-3</v>
      </c>
      <c r="AM111" t="str">
        <f t="shared" si="111"/>
        <v>1-0.00873921579555452i</v>
      </c>
      <c r="AN111">
        <f t="shared" si="132"/>
        <v>1.0000381862172669</v>
      </c>
      <c r="AO111">
        <f t="shared" si="133"/>
        <v>-8.7389933231058706E-3</v>
      </c>
      <c r="AP111" s="41" t="str">
        <f t="shared" si="134"/>
        <v>87.2873213869542-118.102693361266i</v>
      </c>
      <c r="AQ111">
        <f t="shared" si="135"/>
        <v>43.33796235565152</v>
      </c>
      <c r="AR111" s="43">
        <f t="shared" si="136"/>
        <v>-53.532639825576112</v>
      </c>
      <c r="AS111" t="str">
        <f t="shared" si="112"/>
        <v>-0.0000166666666666667</v>
      </c>
      <c r="AT111" t="str">
        <f t="shared" si="113"/>
        <v>1.81827172544504E-06i</v>
      </c>
      <c r="AU111">
        <f t="shared" si="137"/>
        <v>1.8182717254450401E-6</v>
      </c>
      <c r="AV111">
        <f t="shared" si="138"/>
        <v>1.5707963267948966</v>
      </c>
      <c r="AW111" t="str">
        <f t="shared" si="114"/>
        <v>1+0.00184784223447477i</v>
      </c>
      <c r="AX111">
        <f t="shared" si="139"/>
        <v>1.0000017072590044</v>
      </c>
      <c r="AY111">
        <f t="shared" si="140"/>
        <v>1.8478401313137545E-3</v>
      </c>
      <c r="AZ111" t="str">
        <f t="shared" si="115"/>
        <v>1+0.0628266359721423i</v>
      </c>
      <c r="BA111">
        <f t="shared" si="141"/>
        <v>1.0019716493931234</v>
      </c>
      <c r="BB111">
        <f t="shared" si="142"/>
        <v>6.2744168383263979E-2</v>
      </c>
      <c r="BC111" s="41" t="str">
        <f t="shared" si="143"/>
        <v>-0.558942728156563+9.1672462446076i</v>
      </c>
      <c r="BD111">
        <f t="shared" si="144"/>
        <v>19.260893123691783</v>
      </c>
      <c r="BE111" s="43">
        <f t="shared" si="145"/>
        <v>93.489102596680013</v>
      </c>
      <c r="BF111" s="41" t="str">
        <f t="shared" si="146"/>
        <v>75.9155470142655+47.6690225255765i</v>
      </c>
      <c r="BG111" s="20">
        <f t="shared" si="147"/>
        <v>39.050132290087006</v>
      </c>
      <c r="BH111" s="43">
        <f t="shared" si="148"/>
        <v>32.125605197007154</v>
      </c>
      <c r="BI111" s="41" t="str">
        <f t="shared" si="101"/>
        <v>1033.88785864461+866.197010816397i</v>
      </c>
      <c r="BJ111" s="20">
        <f t="shared" si="149"/>
        <v>62.598855479343321</v>
      </c>
      <c r="BK111" s="43">
        <f t="shared" si="102"/>
        <v>39.956462771103809</v>
      </c>
      <c r="BL111">
        <f t="shared" si="150"/>
        <v>39.050132290087006</v>
      </c>
      <c r="BM111" s="43">
        <f t="shared" si="151"/>
        <v>32.125605197007154</v>
      </c>
    </row>
    <row r="112" spans="14:65" x14ac:dyDescent="0.25">
      <c r="N112" s="9">
        <v>94</v>
      </c>
      <c r="O112" s="34">
        <f t="shared" si="116"/>
        <v>87.096358995608071</v>
      </c>
      <c r="P112" s="33" t="str">
        <f t="shared" si="103"/>
        <v>16.5157725627975</v>
      </c>
      <c r="Q112" s="4" t="str">
        <f t="shared" si="104"/>
        <v>1+1.41597428118139i</v>
      </c>
      <c r="R112" s="4">
        <f t="shared" si="117"/>
        <v>1.7334887265186221</v>
      </c>
      <c r="S112" s="4">
        <f t="shared" si="118"/>
        <v>0.95590303759216921</v>
      </c>
      <c r="T112" s="4" t="str">
        <f t="shared" si="105"/>
        <v>1+0.00900214016381821i</v>
      </c>
      <c r="U112" s="4">
        <f t="shared" si="119"/>
        <v>1.0000405184428924</v>
      </c>
      <c r="V112" s="4">
        <f t="shared" si="120"/>
        <v>9.0018970022468781E-3</v>
      </c>
      <c r="W112" t="str">
        <f t="shared" si="106"/>
        <v>1-0.136810640787511i</v>
      </c>
      <c r="X112" s="4">
        <f t="shared" si="121"/>
        <v>1.0093151893401235</v>
      </c>
      <c r="Y112" s="4">
        <f t="shared" si="122"/>
        <v>-0.13596653179713816</v>
      </c>
      <c r="Z112" t="str">
        <f t="shared" si="107"/>
        <v>0.999999843269096+0.00191534897102515i</v>
      </c>
      <c r="AA112" s="4">
        <f t="shared" si="123"/>
        <v>1.0000016775485416</v>
      </c>
      <c r="AB112" s="4">
        <f t="shared" si="124"/>
        <v>1.9153469290316802E-3</v>
      </c>
      <c r="AC112" s="47" t="str">
        <f t="shared" si="125"/>
        <v>4.49195775484189-8.50301768909527i</v>
      </c>
      <c r="AD112" s="20">
        <f t="shared" si="126"/>
        <v>19.66043098156285</v>
      </c>
      <c r="AE112" s="43">
        <f t="shared" si="127"/>
        <v>-62.153488694270649</v>
      </c>
      <c r="AF112" t="str">
        <f t="shared" si="108"/>
        <v>247.084651286898</v>
      </c>
      <c r="AG112" t="str">
        <f t="shared" si="109"/>
        <v>1+1.38471800916202i</v>
      </c>
      <c r="AH112">
        <f t="shared" si="128"/>
        <v>1.7080526821200883</v>
      </c>
      <c r="AI112">
        <f t="shared" si="129"/>
        <v>0.94534646445345072</v>
      </c>
      <c r="AJ112" t="str">
        <f t="shared" si="110"/>
        <v>1+0.00900214016381821i</v>
      </c>
      <c r="AK112">
        <f t="shared" si="130"/>
        <v>1.0000405184428924</v>
      </c>
      <c r="AL112">
        <f t="shared" si="131"/>
        <v>9.0018970022468781E-3</v>
      </c>
      <c r="AM112" t="str">
        <f t="shared" si="111"/>
        <v>1-0.0089427782816202i</v>
      </c>
      <c r="AN112">
        <f t="shared" si="132"/>
        <v>1.0000399858422633</v>
      </c>
      <c r="AO112">
        <f t="shared" si="133"/>
        <v>-8.9425398986113756E-3</v>
      </c>
      <c r="AP112" s="41" t="str">
        <f t="shared" si="134"/>
        <v>84.7059466523559-117.279182402672i</v>
      </c>
      <c r="AQ112">
        <f t="shared" si="135"/>
        <v>43.207589367719692</v>
      </c>
      <c r="AR112" s="43">
        <f t="shared" si="136"/>
        <v>-54.160961679274422</v>
      </c>
      <c r="AS112" t="str">
        <f t="shared" si="112"/>
        <v>-0.0000166666666666667</v>
      </c>
      <c r="AT112" t="str">
        <f t="shared" si="113"/>
        <v>1.86062471471015E-06i</v>
      </c>
      <c r="AU112">
        <f t="shared" si="137"/>
        <v>1.86062471471015E-6</v>
      </c>
      <c r="AV112">
        <f t="shared" si="138"/>
        <v>1.5707963267948966</v>
      </c>
      <c r="AW112" t="str">
        <f t="shared" si="114"/>
        <v>1+0.00189088400937844i</v>
      </c>
      <c r="AX112">
        <f t="shared" si="139"/>
        <v>1.0000017877195704</v>
      </c>
      <c r="AY112">
        <f t="shared" si="140"/>
        <v>1.8908817558010275E-3</v>
      </c>
      <c r="AZ112" t="str">
        <f t="shared" si="115"/>
        <v>1+0.064290056318867i</v>
      </c>
      <c r="BA112">
        <f t="shared" si="141"/>
        <v>1.0020644746429659</v>
      </c>
      <c r="BB112">
        <f t="shared" si="142"/>
        <v>6.420170053481862E-2</v>
      </c>
      <c r="BC112" s="41" t="str">
        <f t="shared" si="143"/>
        <v>-0.558942638211028+8.95862181187763i</v>
      </c>
      <c r="BD112">
        <f t="shared" si="144"/>
        <v>19.061697070872082</v>
      </c>
      <c r="BE112" s="43">
        <f t="shared" si="145"/>
        <v>93.570146934042214</v>
      </c>
      <c r="BF112" s="41" t="str">
        <f t="shared" si="146"/>
        <v>73.6645730180864+44.9944498604574i</v>
      </c>
      <c r="BG112" s="20">
        <f t="shared" si="147"/>
        <v>38.722128052434932</v>
      </c>
      <c r="BH112" s="43">
        <f t="shared" si="148"/>
        <v>31.416658239771593</v>
      </c>
      <c r="BI112" s="41" t="str">
        <f t="shared" si="101"/>
        <v>1003.31407625772+824.400876894921i</v>
      </c>
      <c r="BJ112" s="20">
        <f t="shared" si="149"/>
        <v>62.269286438591763</v>
      </c>
      <c r="BK112" s="43">
        <f t="shared" si="102"/>
        <v>39.409185254767891</v>
      </c>
      <c r="BL112">
        <f t="shared" si="150"/>
        <v>38.722128052434932</v>
      </c>
      <c r="BM112" s="43">
        <f t="shared" si="151"/>
        <v>31.416658239771593</v>
      </c>
    </row>
    <row r="113" spans="14:65" x14ac:dyDescent="0.25">
      <c r="N113" s="9">
        <v>95</v>
      </c>
      <c r="O113" s="34">
        <f t="shared" si="116"/>
        <v>89.125093813374562</v>
      </c>
      <c r="P113" s="33" t="str">
        <f t="shared" si="103"/>
        <v>16.5157725627975</v>
      </c>
      <c r="Q113" s="4" t="str">
        <f t="shared" si="104"/>
        <v>1+1.44895655918269i</v>
      </c>
      <c r="R113" s="4">
        <f t="shared" si="117"/>
        <v>1.7605326212253327</v>
      </c>
      <c r="S113" s="4">
        <f t="shared" si="118"/>
        <v>0.96671050673231451</v>
      </c>
      <c r="T113" s="4" t="str">
        <f t="shared" si="105"/>
        <v>1+0.00921182694516429i</v>
      </c>
      <c r="U113" s="4">
        <f t="shared" si="119"/>
        <v>1.0000424279777671</v>
      </c>
      <c r="V113" s="4">
        <f t="shared" si="120"/>
        <v>9.2115663934433396E-3</v>
      </c>
      <c r="W113" t="str">
        <f t="shared" si="106"/>
        <v>1-0.139997369987299i</v>
      </c>
      <c r="X113" s="4">
        <f t="shared" si="121"/>
        <v>1.0097520802669142</v>
      </c>
      <c r="Y113" s="4">
        <f t="shared" si="122"/>
        <v>-0.13909336202576419</v>
      </c>
      <c r="Z113" t="str">
        <f t="shared" si="107"/>
        <v>0.999999835882596+0.00195996317982219i</v>
      </c>
      <c r="AA113" s="4">
        <f t="shared" si="123"/>
        <v>1.0000017566088999</v>
      </c>
      <c r="AB113" s="4">
        <f t="shared" si="124"/>
        <v>1.9599609917869735E-3</v>
      </c>
      <c r="AC113" s="47" t="str">
        <f t="shared" si="125"/>
        <v>4.30913094915386-8.43617183143435i</v>
      </c>
      <c r="AD113" s="20">
        <f t="shared" si="126"/>
        <v>19.529744730791808</v>
      </c>
      <c r="AE113" s="43">
        <f t="shared" si="127"/>
        <v>-62.942408264867062</v>
      </c>
      <c r="AF113" t="str">
        <f t="shared" si="108"/>
        <v>247.084651286898</v>
      </c>
      <c r="AG113" t="str">
        <f t="shared" si="109"/>
        <v>1+1.41697223506045i</v>
      </c>
      <c r="AH113">
        <f t="shared" si="128"/>
        <v>1.7343039857338178</v>
      </c>
      <c r="AI113">
        <f t="shared" si="129"/>
        <v>0.95623498114254579</v>
      </c>
      <c r="AJ113" t="str">
        <f t="shared" si="110"/>
        <v>1+0.00921182694516429i</v>
      </c>
      <c r="AK113">
        <f t="shared" si="130"/>
        <v>1.0000424279777671</v>
      </c>
      <c r="AL113">
        <f t="shared" si="131"/>
        <v>9.2115663934433396E-3</v>
      </c>
      <c r="AM113" t="str">
        <f t="shared" si="111"/>
        <v>1-0.00915108234710247i</v>
      </c>
      <c r="AN113">
        <f t="shared" si="132"/>
        <v>1.0000418702775016</v>
      </c>
      <c r="AO113">
        <f t="shared" si="133"/>
        <v>-9.1508269156840728E-3</v>
      </c>
      <c r="AP113" s="41" t="str">
        <f t="shared" si="134"/>
        <v>82.1616796333156-116.40580976851i</v>
      </c>
      <c r="AQ113">
        <f t="shared" si="135"/>
        <v>43.075143110152965</v>
      </c>
      <c r="AR113" s="43">
        <f t="shared" si="136"/>
        <v>-54.784748526514264</v>
      </c>
      <c r="AS113" t="str">
        <f t="shared" si="112"/>
        <v>-0.0000166666666666667</v>
      </c>
      <c r="AT113" t="str">
        <f t="shared" si="113"/>
        <v>1.90396423182727E-06i</v>
      </c>
      <c r="AU113">
        <f t="shared" si="137"/>
        <v>1.90396423182727E-6</v>
      </c>
      <c r="AV113">
        <f t="shared" si="138"/>
        <v>1.5707963267948966</v>
      </c>
      <c r="AW113" t="str">
        <f t="shared" si="114"/>
        <v>1+0.0019349283560127i</v>
      </c>
      <c r="AX113">
        <f t="shared" si="139"/>
        <v>1.0000018719721193</v>
      </c>
      <c r="AY113">
        <f t="shared" si="140"/>
        <v>1.9349259412612407E-3</v>
      </c>
      <c r="AZ113" t="str">
        <f t="shared" si="115"/>
        <v>1+0.0657875641044316i</v>
      </c>
      <c r="BA113">
        <f t="shared" si="141"/>
        <v>1.0021616653967536</v>
      </c>
      <c r="BB113">
        <f t="shared" si="142"/>
        <v>6.5692900201976406E-2</v>
      </c>
      <c r="BC113" s="41" t="str">
        <f t="shared" si="143"/>
        <v>-0.558942544026524+8.75474735899772i</v>
      </c>
      <c r="BD113">
        <f t="shared" si="144"/>
        <v>18.862538747159721</v>
      </c>
      <c r="BE113" s="43">
        <f t="shared" si="145"/>
        <v>93.653062835442697</v>
      </c>
      <c r="BF113" s="41" t="str">
        <f t="shared" si="146"/>
        <v>71.4479964460374+42.4406881419869i</v>
      </c>
      <c r="BG113" s="20">
        <f t="shared" si="147"/>
        <v>38.392283477951537</v>
      </c>
      <c r="BH113" s="43">
        <f t="shared" si="148"/>
        <v>30.710654570575628</v>
      </c>
      <c r="BI113" s="41" t="str">
        <f t="shared" si="101"/>
        <v>973.179797407116+784.368907232065i</v>
      </c>
      <c r="BJ113" s="20">
        <f t="shared" si="149"/>
        <v>61.93768185731269</v>
      </c>
      <c r="BK113" s="43">
        <f t="shared" si="102"/>
        <v>38.868314308928454</v>
      </c>
      <c r="BL113">
        <f t="shared" si="150"/>
        <v>38.392283477951537</v>
      </c>
      <c r="BM113" s="43">
        <f t="shared" si="151"/>
        <v>30.710654570575628</v>
      </c>
    </row>
    <row r="114" spans="14:65" x14ac:dyDescent="0.25">
      <c r="N114" s="9">
        <v>96</v>
      </c>
      <c r="O114" s="34">
        <f t="shared" si="116"/>
        <v>91.201083935590972</v>
      </c>
      <c r="P114" s="33" t="str">
        <f t="shared" si="103"/>
        <v>16.5157725627975</v>
      </c>
      <c r="Q114" s="4" t="str">
        <f t="shared" si="104"/>
        <v>1+1.48270709313088i</v>
      </c>
      <c r="R114" s="4">
        <f t="shared" si="117"/>
        <v>1.7884127946368042</v>
      </c>
      <c r="S114" s="4">
        <f t="shared" si="118"/>
        <v>0.97743007070804167</v>
      </c>
      <c r="T114" s="4" t="str">
        <f t="shared" si="105"/>
        <v>1+0.00942639795908964i</v>
      </c>
      <c r="U114" s="4">
        <f t="shared" si="119"/>
        <v>1.0000444275023401</v>
      </c>
      <c r="V114" s="4">
        <f t="shared" si="120"/>
        <v>9.4261187735604976E-3</v>
      </c>
      <c r="W114" t="str">
        <f t="shared" si="106"/>
        <v>1-0.143258327645739i</v>
      </c>
      <c r="X114" s="4">
        <f t="shared" si="121"/>
        <v>1.0102093587172185</v>
      </c>
      <c r="Y114" s="4">
        <f t="shared" si="122"/>
        <v>-0.14229019359573908</v>
      </c>
      <c r="Z114" t="str">
        <f t="shared" si="107"/>
        <v>0.999999828147981+0.00200561658704035i</v>
      </c>
      <c r="AA114" s="4">
        <f t="shared" si="123"/>
        <v>1.0000018393952512</v>
      </c>
      <c r="AB114" s="4">
        <f t="shared" si="124"/>
        <v>2.0056142425186069E-3</v>
      </c>
      <c r="AC114" s="47" t="str">
        <f t="shared" si="125"/>
        <v>4.12926600033726-8.36599010604702i</v>
      </c>
      <c r="AD114" s="20">
        <f t="shared" si="126"/>
        <v>19.397220165878821</v>
      </c>
      <c r="AE114" s="43">
        <f t="shared" si="127"/>
        <v>-63.730081788393278</v>
      </c>
      <c r="AF114" t="str">
        <f t="shared" si="108"/>
        <v>247.084651286898</v>
      </c>
      <c r="AG114" t="str">
        <f t="shared" si="109"/>
        <v>1+1.44997775839376i</v>
      </c>
      <c r="AH114">
        <f t="shared" si="128"/>
        <v>1.7613731858514805</v>
      </c>
      <c r="AI114">
        <f t="shared" si="129"/>
        <v>0.96703982439264402</v>
      </c>
      <c r="AJ114" t="str">
        <f t="shared" si="110"/>
        <v>1+0.00942639795908964i</v>
      </c>
      <c r="AK114">
        <f t="shared" si="130"/>
        <v>1.0000444275023401</v>
      </c>
      <c r="AL114">
        <f t="shared" si="131"/>
        <v>9.4261187735604976E-3</v>
      </c>
      <c r="AM114" t="str">
        <f t="shared" si="111"/>
        <v>1-0.00936423843757407i</v>
      </c>
      <c r="AN114">
        <f t="shared" si="132"/>
        <v>1.0000438435196308</v>
      </c>
      <c r="AO114">
        <f t="shared" si="133"/>
        <v>-9.3639647385261645E-3</v>
      </c>
      <c r="AP114" s="41" t="str">
        <f t="shared" si="134"/>
        <v>79.6563639886605-115.484597434378i</v>
      </c>
      <c r="AQ114">
        <f t="shared" si="135"/>
        <v>42.94065444720669</v>
      </c>
      <c r="AR114" s="43">
        <f t="shared" si="136"/>
        <v>-55.403739394883708</v>
      </c>
      <c r="AS114" t="str">
        <f t="shared" si="112"/>
        <v>-0.0000166666666666667</v>
      </c>
      <c r="AT114" t="str">
        <f t="shared" si="113"/>
        <v>1.94831325598206E-06i</v>
      </c>
      <c r="AU114">
        <f t="shared" si="137"/>
        <v>1.9483132559820601E-6</v>
      </c>
      <c r="AV114">
        <f t="shared" si="138"/>
        <v>1.5707963267948966</v>
      </c>
      <c r="AW114" t="str">
        <f t="shared" si="114"/>
        <v>1+0.00197999862727311i</v>
      </c>
      <c r="AX114">
        <f t="shared" si="139"/>
        <v>1.0000019601953609</v>
      </c>
      <c r="AY114">
        <f t="shared" si="140"/>
        <v>1.9799960398205778E-3</v>
      </c>
      <c r="AZ114" t="str">
        <f t="shared" si="115"/>
        <v>1+0.0673199533272858i</v>
      </c>
      <c r="BA114">
        <f t="shared" si="141"/>
        <v>1.0022634265082149</v>
      </c>
      <c r="BB114">
        <f t="shared" si="142"/>
        <v>6.7218531496029618E-2</v>
      </c>
      <c r="BC114" s="41" t="str">
        <f t="shared" si="143"/>
        <v>-0.558942445403276+8.55551478903308i</v>
      </c>
      <c r="BD114">
        <f t="shared" si="144"/>
        <v>18.663419915327644</v>
      </c>
      <c r="BE114" s="43">
        <f t="shared" si="145"/>
        <v>93.737892743255358</v>
      </c>
      <c r="BF114" s="41" t="str">
        <f t="shared" si="146"/>
        <v>69.2673300412406+40.0041033018304i</v>
      </c>
      <c r="BG114" s="20">
        <f t="shared" si="147"/>
        <v>38.060640081206458</v>
      </c>
      <c r="BH114" s="43">
        <f t="shared" si="148"/>
        <v>30.007810954862055</v>
      </c>
      <c r="BI114" s="41" t="str">
        <f t="shared" ref="BI114:BI177" si="152">IMPRODUCT(AP114,BC114)</f>
        <v>943.506858375597+746.050443441971i</v>
      </c>
      <c r="BJ114" s="20">
        <f t="shared" si="149"/>
        <v>61.604074362534327</v>
      </c>
      <c r="BK114" s="43">
        <f t="shared" ref="BK114:BK177" si="153">(180/PI())*IMARGUMENT(BI114)</f>
        <v>38.334153348371657</v>
      </c>
      <c r="BL114">
        <f t="shared" si="150"/>
        <v>38.060640081206458</v>
      </c>
      <c r="BM114" s="43">
        <f t="shared" si="151"/>
        <v>30.007810954862055</v>
      </c>
    </row>
    <row r="115" spans="14:65" x14ac:dyDescent="0.25">
      <c r="N115" s="9">
        <v>97</v>
      </c>
      <c r="O115" s="34">
        <f t="shared" si="116"/>
        <v>93.325430079699174</v>
      </c>
      <c r="P115" s="33" t="str">
        <f t="shared" si="103"/>
        <v>16.5157725627975</v>
      </c>
      <c r="Q115" s="4" t="str">
        <f t="shared" si="104"/>
        <v>1+1.5172437780058i</v>
      </c>
      <c r="R115" s="4">
        <f t="shared" si="117"/>
        <v>1.8171485029840881</v>
      </c>
      <c r="S115" s="4">
        <f t="shared" si="118"/>
        <v>0.98805755897656089</v>
      </c>
      <c r="T115" s="4" t="str">
        <f t="shared" si="105"/>
        <v>1+0.00964596697398605i</v>
      </c>
      <c r="U115" s="4">
        <f t="shared" si="119"/>
        <v>1.000046521257318</v>
      </c>
      <c r="V115" s="4">
        <f t="shared" si="120"/>
        <v>9.6456678220534307E-3</v>
      </c>
      <c r="W115" t="str">
        <f t="shared" si="106"/>
        <v>1-0.146595242765746i</v>
      </c>
      <c r="X115" s="4">
        <f t="shared" si="121"/>
        <v>1.0106879662890758</v>
      </c>
      <c r="Y115" s="4">
        <f t="shared" si="122"/>
        <v>-0.14555846000659126</v>
      </c>
      <c r="Z115" t="str">
        <f t="shared" si="107"/>
        <v>0.999999820048845+0.00205233339872044i</v>
      </c>
      <c r="AA115" s="4">
        <f t="shared" si="123"/>
        <v>1.000001926083196</v>
      </c>
      <c r="AB115" s="4">
        <f t="shared" si="124"/>
        <v>2.0523308865203912E-3</v>
      </c>
      <c r="AC115" s="47" t="str">
        <f t="shared" si="125"/>
        <v>3.95247749523848-8.29262953049932i</v>
      </c>
      <c r="AD115" s="20">
        <f t="shared" si="126"/>
        <v>19.262898695257867</v>
      </c>
      <c r="AE115" s="43">
        <f t="shared" si="127"/>
        <v>-64.516347317330016</v>
      </c>
      <c r="AF115" t="str">
        <f t="shared" si="108"/>
        <v>247.084651286898</v>
      </c>
      <c r="AG115" t="str">
        <f t="shared" si="109"/>
        <v>1+1.48375207912729i</v>
      </c>
      <c r="AH115">
        <f t="shared" si="128"/>
        <v>1.7892792493947263</v>
      </c>
      <c r="AI115">
        <f t="shared" si="129"/>
        <v>0.97775663190915507</v>
      </c>
      <c r="AJ115" t="str">
        <f t="shared" si="110"/>
        <v>1+0.00964596697398605i</v>
      </c>
      <c r="AK115">
        <f t="shared" si="130"/>
        <v>1.000046521257318</v>
      </c>
      <c r="AL115">
        <f t="shared" si="131"/>
        <v>9.6456678220534307E-3</v>
      </c>
      <c r="AM115" t="str">
        <f t="shared" si="111"/>
        <v>1-0.00958235957121565i</v>
      </c>
      <c r="AN115">
        <f t="shared" si="132"/>
        <v>1.0000459097536234</v>
      </c>
      <c r="AO115">
        <f t="shared" si="133"/>
        <v>-9.5820662981291379E-3</v>
      </c>
      <c r="AP115" s="41" t="str">
        <f t="shared" si="134"/>
        <v>77.1917061041435-114.517638010473i</v>
      </c>
      <c r="AQ115">
        <f t="shared" si="135"/>
        <v>42.804155683516413</v>
      </c>
      <c r="AR115" s="43">
        <f t="shared" si="136"/>
        <v>-56.017684300429508</v>
      </c>
      <c r="AS115" t="str">
        <f t="shared" si="112"/>
        <v>-0.0000166666666666667</v>
      </c>
      <c r="AT115" t="str">
        <f t="shared" si="113"/>
        <v>1.99369530161414E-06i</v>
      </c>
      <c r="AU115">
        <f t="shared" si="137"/>
        <v>1.9936953016141398E-6</v>
      </c>
      <c r="AV115">
        <f t="shared" si="138"/>
        <v>1.5707963267948966</v>
      </c>
      <c r="AW115" t="str">
        <f t="shared" si="114"/>
        <v>1+0.00202611872001409i</v>
      </c>
      <c r="AX115">
        <f t="shared" si="139"/>
        <v>1.0000020525764273</v>
      </c>
      <c r="AY115">
        <f t="shared" si="140"/>
        <v>2.026115947509058E-3</v>
      </c>
      <c r="AZ115" t="str">
        <f t="shared" si="115"/>
        <v>1+0.0688880364804791i</v>
      </c>
      <c r="BA115">
        <f t="shared" si="141"/>
        <v>1.0023699724004784</v>
      </c>
      <c r="BB115">
        <f t="shared" si="142"/>
        <v>6.8779374903019649E-2</v>
      </c>
      <c r="BC115" s="41" t="str">
        <f t="shared" si="143"/>
        <v>-0.558942342132094+8.36081846623685i</v>
      </c>
      <c r="BD115">
        <f t="shared" si="144"/>
        <v>18.464342419755532</v>
      </c>
      <c r="BE115" s="43">
        <f t="shared" si="145"/>
        <v>93.82468000689461</v>
      </c>
      <c r="BF115" s="41" t="str">
        <f t="shared" si="146"/>
        <v>67.1239630838467+37.6810486017865i</v>
      </c>
      <c r="BG115" s="20">
        <f t="shared" si="147"/>
        <v>37.727241115013392</v>
      </c>
      <c r="BH115" s="43">
        <f t="shared" si="148"/>
        <v>29.308332689564615</v>
      </c>
      <c r="BI115" s="41" t="str">
        <f t="shared" si="152"/>
        <v>914.315469584767+709.39459864086i</v>
      </c>
      <c r="BJ115" s="20">
        <f t="shared" si="149"/>
        <v>61.268498103271938</v>
      </c>
      <c r="BK115" s="43">
        <f t="shared" si="153"/>
        <v>37.806995706465123</v>
      </c>
      <c r="BL115">
        <f t="shared" si="150"/>
        <v>37.727241115013392</v>
      </c>
      <c r="BM115" s="43">
        <f t="shared" si="151"/>
        <v>29.308332689564615</v>
      </c>
    </row>
    <row r="116" spans="14:65" x14ac:dyDescent="0.25">
      <c r="N116" s="9">
        <v>98</v>
      </c>
      <c r="O116" s="34">
        <f t="shared" si="116"/>
        <v>95.499258602143655</v>
      </c>
      <c r="P116" s="33" t="str">
        <f t="shared" si="103"/>
        <v>16.5157725627975</v>
      </c>
      <c r="Q116" s="4" t="str">
        <f t="shared" si="104"/>
        <v>1+1.55258492561491i</v>
      </c>
      <c r="R116" s="4">
        <f t="shared" si="117"/>
        <v>1.8467593105888638</v>
      </c>
      <c r="S116" s="4">
        <f t="shared" si="118"/>
        <v>0.99858900383404159</v>
      </c>
      <c r="T116" s="4" t="str">
        <f t="shared" si="105"/>
        <v>1+0.00987065040825152i</v>
      </c>
      <c r="U116" s="4">
        <f t="shared" si="119"/>
        <v>1.0000487136832295</v>
      </c>
      <c r="V116" s="4">
        <f t="shared" si="120"/>
        <v>9.870329862023821E-3</v>
      </c>
      <c r="W116" t="str">
        <f t="shared" si="106"/>
        <v>1-0.150009884623883i</v>
      </c>
      <c r="X116" s="4">
        <f t="shared" si="121"/>
        <v>1.0111888871446673</v>
      </c>
      <c r="Y116" s="4">
        <f t="shared" si="122"/>
        <v>-0.14889961470930102</v>
      </c>
      <c r="Z116" t="str">
        <f t="shared" si="107"/>
        <v>0.999999811568008+0.00210013838473436i</v>
      </c>
      <c r="AA116" s="4">
        <f t="shared" si="123"/>
        <v>1.0000020168566095</v>
      </c>
      <c r="AB116" s="4">
        <f t="shared" si="124"/>
        <v>2.1001356928638023E-3</v>
      </c>
      <c r="AC116" s="47" t="str">
        <f t="shared" si="125"/>
        <v>3.77886972761152-8.21625074853393i</v>
      </c>
      <c r="AD116" s="20">
        <f t="shared" si="126"/>
        <v>19.126823283190515</v>
      </c>
      <c r="AE116" s="43">
        <f t="shared" si="127"/>
        <v>-65.301055549940685</v>
      </c>
      <c r="AF116" t="str">
        <f t="shared" si="108"/>
        <v>247.084651286898</v>
      </c>
      <c r="AG116" t="str">
        <f t="shared" si="109"/>
        <v>1+1.51831310485296i</v>
      </c>
      <c r="AH116">
        <f t="shared" si="128"/>
        <v>1.818041441873159</v>
      </c>
      <c r="AI116">
        <f t="shared" si="129"/>
        <v>0.9883812392847281</v>
      </c>
      <c r="AJ116" t="str">
        <f t="shared" si="110"/>
        <v>1+0.00987065040825152i</v>
      </c>
      <c r="AK116">
        <f t="shared" si="130"/>
        <v>1.0000487136832295</v>
      </c>
      <c r="AL116">
        <f t="shared" si="131"/>
        <v>9.870329862023821E-3</v>
      </c>
      <c r="AM116" t="str">
        <f t="shared" si="111"/>
        <v>1-0.00980556139873938i</v>
      </c>
      <c r="AN116">
        <f t="shared" si="132"/>
        <v>1.0000480733616481</v>
      </c>
      <c r="AO116">
        <f t="shared" si="133"/>
        <v>-9.8052471517813405E-3</v>
      </c>
      <c r="AP116" s="41" t="str">
        <f t="shared" si="134"/>
        <v>74.7692726923541-113.507084073908i</v>
      </c>
      <c r="AQ116">
        <f t="shared" si="135"/>
        <v>42.665680452094854</v>
      </c>
      <c r="AR116" s="43">
        <f t="shared" si="136"/>
        <v>-56.626344596308712</v>
      </c>
      <c r="AS116" t="str">
        <f t="shared" si="112"/>
        <v>-0.0000166666666666667</v>
      </c>
      <c r="AT116" t="str">
        <f t="shared" si="113"/>
        <v>2.04013443088481E-06i</v>
      </c>
      <c r="AU116">
        <f t="shared" si="137"/>
        <v>2.0401344308848101E-6</v>
      </c>
      <c r="AV116">
        <f t="shared" si="138"/>
        <v>1.5707963267948966</v>
      </c>
      <c r="AW116" t="str">
        <f t="shared" si="114"/>
        <v>1+0.00207331308771927i</v>
      </c>
      <c r="AX116">
        <f t="shared" si="139"/>
        <v>1.0000021493112701</v>
      </c>
      <c r="AY116">
        <f t="shared" si="140"/>
        <v>2.0733101169269491E-3</v>
      </c>
      <c r="AZ116" t="str">
        <f t="shared" si="115"/>
        <v>1+0.0704926449824552i</v>
      </c>
      <c r="BA116">
        <f t="shared" si="141"/>
        <v>1.0024815275089225</v>
      </c>
      <c r="BB116">
        <f t="shared" si="142"/>
        <v>7.0376227565060109E-2</v>
      </c>
      <c r="BC116" s="41" t="str">
        <f t="shared" si="143"/>
        <v>-0.558942233993935+8.1705551600402i</v>
      </c>
      <c r="BD116">
        <f t="shared" si="144"/>
        <v>18.265308190135009</v>
      </c>
      <c r="BE116" s="43">
        <f t="shared" si="145"/>
        <v>93.913468898208507</v>
      </c>
      <c r="BF116" s="41" t="str">
        <f t="shared" si="146"/>
        <v>65.0191600620948+35.4678731004959i</v>
      </c>
      <c r="BG116" s="20">
        <f t="shared" si="147"/>
        <v>37.39213147332552</v>
      </c>
      <c r="BH116" s="43">
        <f t="shared" si="148"/>
        <v>28.612413348267832</v>
      </c>
      <c r="BI116" s="41" t="str">
        <f t="shared" si="152"/>
        <v>885.62418716842+674.350369955374i</v>
      </c>
      <c r="BJ116" s="20">
        <f t="shared" si="149"/>
        <v>60.93098864222987</v>
      </c>
      <c r="BK116" s="43">
        <f t="shared" si="153"/>
        <v>37.287124301899794</v>
      </c>
      <c r="BL116">
        <f t="shared" si="150"/>
        <v>37.39213147332552</v>
      </c>
      <c r="BM116" s="43">
        <f t="shared" si="151"/>
        <v>28.612413348267832</v>
      </c>
    </row>
    <row r="117" spans="14:65" x14ac:dyDescent="0.25">
      <c r="N117" s="9">
        <v>99</v>
      </c>
      <c r="O117" s="34">
        <f t="shared" si="116"/>
        <v>97.723722095581124</v>
      </c>
      <c r="P117" s="33" t="str">
        <f t="shared" si="103"/>
        <v>16.5157725627975</v>
      </c>
      <c r="Q117" s="4" t="str">
        <f t="shared" si="104"/>
        <v>1+1.58874927430248i</v>
      </c>
      <c r="R117" s="4">
        <f t="shared" si="117"/>
        <v>1.877265100244677</v>
      </c>
      <c r="S117" s="4">
        <f t="shared" si="118"/>
        <v>1.0090206445545853</v>
      </c>
      <c r="T117" s="4" t="str">
        <f t="shared" si="105"/>
        <v>1+0.0101005673920169i</v>
      </c>
      <c r="U117" s="4">
        <f t="shared" si="119"/>
        <v>1.0000510094298394</v>
      </c>
      <c r="V117" s="4">
        <f t="shared" si="120"/>
        <v>1.0100223921491895E-2</v>
      </c>
      <c r="W117" t="str">
        <f t="shared" si="106"/>
        <v>1-0.153504063708464i</v>
      </c>
      <c r="X117" s="4">
        <f t="shared" si="121"/>
        <v>1.0117131498478271</v>
      </c>
      <c r="Y117" s="4">
        <f t="shared" si="122"/>
        <v>-0.15231513068667282</v>
      </c>
      <c r="Z117" t="str">
        <f t="shared" si="107"/>
        <v>0.999999802687482+0.00214905689191849i</v>
      </c>
      <c r="AA117" s="4">
        <f t="shared" si="123"/>
        <v>1.0000021119080336</v>
      </c>
      <c r="AB117" s="4">
        <f t="shared" si="124"/>
        <v>2.1490540075275481E-3</v>
      </c>
      <c r="AC117" s="47" t="str">
        <f t="shared" si="125"/>
        <v>3.60853665383986-8.13701726524275i</v>
      </c>
      <c r="AD117" s="20">
        <f t="shared" si="126"/>
        <v>18.989038348479173</v>
      </c>
      <c r="AE117" s="43">
        <f t="shared" si="127"/>
        <v>-66.084070040616169</v>
      </c>
      <c r="AF117" t="str">
        <f t="shared" si="108"/>
        <v>247.084651286898</v>
      </c>
      <c r="AG117" t="str">
        <f t="shared" si="109"/>
        <v>1+1.55367916028406i</v>
      </c>
      <c r="AH117">
        <f t="shared" si="128"/>
        <v>1.8476793371959814</v>
      </c>
      <c r="AI117">
        <f t="shared" si="129"/>
        <v>0.99890968509214018</v>
      </c>
      <c r="AJ117" t="str">
        <f t="shared" si="110"/>
        <v>1+0.0101005673920169i</v>
      </c>
      <c r="AK117">
        <f t="shared" si="130"/>
        <v>1.0000510094298394</v>
      </c>
      <c r="AL117">
        <f t="shared" si="131"/>
        <v>1.0100223921491895E-2</v>
      </c>
      <c r="AM117" t="str">
        <f t="shared" si="111"/>
        <v>1-0.0100339622647087i</v>
      </c>
      <c r="AN117">
        <f t="shared" si="132"/>
        <v>1.0000503389323607</v>
      </c>
      <c r="AO117">
        <f t="shared" si="133"/>
        <v>-1.0033625543941958E-2</v>
      </c>
      <c r="AP117" s="41" t="str">
        <f t="shared" si="134"/>
        <v>72.3904893178399-112.455137551239i</v>
      </c>
      <c r="AQ117">
        <f t="shared" si="135"/>
        <v>42.525263600769179</v>
      </c>
      <c r="AR117" s="43">
        <f t="shared" si="136"/>
        <v>-57.229493264565768</v>
      </c>
      <c r="AS117" t="str">
        <f t="shared" si="112"/>
        <v>-0.0000166666666666667</v>
      </c>
      <c r="AT117" t="str">
        <f t="shared" si="113"/>
        <v>2.08765526643511E-06i</v>
      </c>
      <c r="AU117">
        <f t="shared" si="137"/>
        <v>2.0876552664351099E-6</v>
      </c>
      <c r="AV117">
        <f t="shared" si="138"/>
        <v>1.5707963267948966</v>
      </c>
      <c r="AW117" t="str">
        <f t="shared" si="114"/>
        <v>1+0.0021216067534671i</v>
      </c>
      <c r="AX117">
        <f t="shared" si="139"/>
        <v>1.0000022506050756</v>
      </c>
      <c r="AY117">
        <f t="shared" si="140"/>
        <v>2.1216035702061632E-3</v>
      </c>
      <c r="AZ117" t="str">
        <f t="shared" si="115"/>
        <v>1+0.0721346296178814i</v>
      </c>
      <c r="BA117">
        <f t="shared" si="141"/>
        <v>1.0025983267441199</v>
      </c>
      <c r="BB117">
        <f t="shared" si="142"/>
        <v>7.2009903561262925E-2</v>
      </c>
      <c r="BC117" s="41" t="str">
        <f t="shared" si="143"/>
        <v>-0.558942120759423+7.98462399031835i</v>
      </c>
      <c r="BD117">
        <f t="shared" si="144"/>
        <v>18.066319245336796</v>
      </c>
      <c r="BE117" s="43">
        <f t="shared" si="145"/>
        <v>94.004304626831725</v>
      </c>
      <c r="BF117" s="41" t="str">
        <f t="shared" si="146"/>
        <v>62.9540601355565+33.3609300230837i</v>
      </c>
      <c r="BG117" s="20">
        <f t="shared" si="147"/>
        <v>37.05535759381597</v>
      </c>
      <c r="BH117" s="43">
        <f t="shared" si="148"/>
        <v>27.920234586215599</v>
      </c>
      <c r="BI117" s="41" t="str">
        <f t="shared" si="152"/>
        <v>857.449895504047+640.866750751291i</v>
      </c>
      <c r="BJ117" s="20">
        <f t="shared" si="149"/>
        <v>60.591582846105979</v>
      </c>
      <c r="BK117" s="43">
        <f t="shared" si="153"/>
        <v>36.774811362265986</v>
      </c>
      <c r="BL117">
        <f t="shared" si="150"/>
        <v>37.05535759381597</v>
      </c>
      <c r="BM117" s="43">
        <f t="shared" si="151"/>
        <v>27.920234586215599</v>
      </c>
    </row>
    <row r="118" spans="14:65" x14ac:dyDescent="0.25">
      <c r="N118" s="9">
        <v>100</v>
      </c>
      <c r="O118" s="34">
        <f t="shared" si="116"/>
        <v>100</v>
      </c>
      <c r="P118" s="33" t="str">
        <f t="shared" si="103"/>
        <v>16.5157725627975</v>
      </c>
      <c r="Q118" s="4" t="str">
        <f t="shared" si="104"/>
        <v>1+1.62575599888486i</v>
      </c>
      <c r="R118" s="4">
        <f t="shared" si="117"/>
        <v>1.9086860841715456</v>
      </c>
      <c r="S118" s="4">
        <f t="shared" si="118"/>
        <v>1.0193489305611794</v>
      </c>
      <c r="T118" s="4" t="str">
        <f t="shared" si="105"/>
        <v>1+0.0103358398303104i</v>
      </c>
      <c r="U118" s="4">
        <f t="shared" si="119"/>
        <v>1.0000534133660051</v>
      </c>
      <c r="V118" s="4">
        <f t="shared" si="120"/>
        <v>1.033547179607372E-2</v>
      </c>
      <c r="W118" t="str">
        <f t="shared" si="106"/>
        <v>1-0.15707963267949i</v>
      </c>
      <c r="X118" s="4">
        <f t="shared" si="121"/>
        <v>1.0122618292728041</v>
      </c>
      <c r="Y118" s="4">
        <f t="shared" si="122"/>
        <v>-0.15580649996954207</v>
      </c>
      <c r="Z118" t="str">
        <f t="shared" si="107"/>
        <v>0.99999979338843+0.00219911485751285i</v>
      </c>
      <c r="AA118" s="4">
        <f t="shared" si="123"/>
        <v>1.0000022114390845</v>
      </c>
      <c r="AB118" s="4">
        <f t="shared" si="124"/>
        <v>2.1991117668326396E-3</v>
      </c>
      <c r="AC118" s="47" t="str">
        <f t="shared" si="125"/>
        <v>3.44156191119782-8.05509469781998i</v>
      </c>
      <c r="AD118" s="20">
        <f t="shared" si="126"/>
        <v>18.849589663412541</v>
      </c>
      <c r="AE118" s="43">
        <f t="shared" si="127"/>
        <v>-66.865267351015007</v>
      </c>
      <c r="AF118" t="str">
        <f t="shared" si="108"/>
        <v>247.084651286898</v>
      </c>
      <c r="AG118" t="str">
        <f t="shared" si="109"/>
        <v>1+1.58986899697133i</v>
      </c>
      <c r="AH118">
        <f t="shared" si="128"/>
        <v>1.8782128280710424</v>
      </c>
      <c r="AI118">
        <f t="shared" si="129"/>
        <v>1.0093382149933849</v>
      </c>
      <c r="AJ118" t="str">
        <f t="shared" si="110"/>
        <v>1+0.0103358398303104i</v>
      </c>
      <c r="AK118">
        <f t="shared" si="130"/>
        <v>1.0000534133660051</v>
      </c>
      <c r="AL118">
        <f t="shared" si="131"/>
        <v>1.033547179607372E-2</v>
      </c>
      <c r="AM118" t="str">
        <f t="shared" si="111"/>
        <v>1-0.0102676832702859i</v>
      </c>
      <c r="AN118">
        <f t="shared" si="132"/>
        <v>1.0000527112706306</v>
      </c>
      <c r="AO118">
        <f t="shared" si="133"/>
        <v>-1.026732246851096E-2</v>
      </c>
      <c r="AP118" s="41" t="str">
        <f t="shared" si="134"/>
        <v>70.0566398169692-111.36403923712i</v>
      </c>
      <c r="AQ118">
        <f t="shared" si="135"/>
        <v>42.382941077796339</v>
      </c>
      <c r="AR118" s="43">
        <f t="shared" si="136"/>
        <v>-57.826915151543069</v>
      </c>
      <c r="AS118" t="str">
        <f t="shared" si="112"/>
        <v>-0.0000166666666666667</v>
      </c>
      <c r="AT118" t="str">
        <f t="shared" si="113"/>
        <v>2.13628300444106E-06i</v>
      </c>
      <c r="AU118">
        <f t="shared" si="137"/>
        <v>2.1362830044410602E-6</v>
      </c>
      <c r="AV118">
        <f t="shared" si="138"/>
        <v>1.5707963267948966</v>
      </c>
      <c r="AW118" t="str">
        <f t="shared" si="114"/>
        <v>1+0.00217102532319841i</v>
      </c>
      <c r="AX118">
        <f t="shared" si="139"/>
        <v>1.0000023566727001</v>
      </c>
      <c r="AY118">
        <f t="shared" si="140"/>
        <v>2.1710219122732968E-3</v>
      </c>
      <c r="AZ118" t="str">
        <f t="shared" si="115"/>
        <v>1+0.0738148609887458i</v>
      </c>
      <c r="BA118">
        <f t="shared" si="141"/>
        <v>1.0027206159757502</v>
      </c>
      <c r="BB118">
        <f t="shared" si="142"/>
        <v>7.3681234187785244E-2</v>
      </c>
      <c r="BC118" s="41" t="str">
        <f t="shared" si="143"/>
        <v>-0.558942002188383+7.8029263739025i</v>
      </c>
      <c r="BD118">
        <f t="shared" si="144"/>
        <v>17.867377697445207</v>
      </c>
      <c r="BE118" s="43">
        <f t="shared" si="145"/>
        <v>94.097233355471445</v>
      </c>
      <c r="BF118" s="41" t="str">
        <f t="shared" si="146"/>
        <v>60.9296773566015+31.3565849625203i</v>
      </c>
      <c r="BG118" s="20">
        <f t="shared" si="147"/>
        <v>36.716967360857744</v>
      </c>
      <c r="BH118" s="43">
        <f t="shared" si="148"/>
        <v>27.231966004456456</v>
      </c>
      <c r="BI118" s="41" t="str">
        <f t="shared" si="152"/>
        <v>829.807800341749+608.892841557798i</v>
      </c>
      <c r="BJ118" s="20">
        <f t="shared" si="149"/>
        <v>60.250318775241539</v>
      </c>
      <c r="BK118" s="43">
        <f t="shared" si="153"/>
        <v>36.270318203928369</v>
      </c>
      <c r="BL118">
        <f t="shared" si="150"/>
        <v>36.716967360857744</v>
      </c>
      <c r="BM118" s="43">
        <f t="shared" si="151"/>
        <v>27.231966004456456</v>
      </c>
    </row>
    <row r="119" spans="14:65" x14ac:dyDescent="0.25">
      <c r="N119" s="9">
        <v>1</v>
      </c>
      <c r="O119" s="34">
        <f>10^(2+(N119/100))</f>
        <v>102.32929922807544</v>
      </c>
      <c r="P119" s="33" t="str">
        <f t="shared" si="103"/>
        <v>16.5157725627975</v>
      </c>
      <c r="Q119" s="4" t="str">
        <f t="shared" si="104"/>
        <v>1+1.66362472081727i</v>
      </c>
      <c r="R119" s="4">
        <f t="shared" si="117"/>
        <v>1.9410428155283799</v>
      </c>
      <c r="S119" s="4">
        <f t="shared" si="118"/>
        <v>1.0295705236520545</v>
      </c>
      <c r="T119" s="4" t="str">
        <f t="shared" si="105"/>
        <v>1+0.010576592467693i</v>
      </c>
      <c r="U119" s="4">
        <f t="shared" si="119"/>
        <v>1.0000559305899983</v>
      </c>
      <c r="V119" s="4">
        <f t="shared" si="120"/>
        <v>1.0576198113094583E-2</v>
      </c>
      <c r="W119" t="str">
        <f t="shared" si="106"/>
        <v>1-0.160738487350957i</v>
      </c>
      <c r="X119" s="4">
        <f t="shared" si="121"/>
        <v>1.0128360485862822</v>
      </c>
      <c r="Y119" s="4">
        <f t="shared" si="122"/>
        <v>-0.1593752330844635</v>
      </c>
      <c r="Z119" t="str">
        <f t="shared" si="107"/>
        <v>0.999999783651126+0.00225033882291339i</v>
      </c>
      <c r="AA119" s="4">
        <f t="shared" si="123"/>
        <v>1.0000023156608771</v>
      </c>
      <c r="AB119" s="4">
        <f t="shared" si="124"/>
        <v>2.2503355111902924E-3</v>
      </c>
      <c r="AC119" s="47" t="str">
        <f t="shared" si="125"/>
        <v>3.27801889532504-7.97065004723121i</v>
      </c>
      <c r="AD119" s="20">
        <f t="shared" si="126"/>
        <v>18.708524253613398</v>
      </c>
      <c r="AE119" s="43">
        <f t="shared" si="127"/>
        <v>-67.644537143095434</v>
      </c>
      <c r="AF119" t="str">
        <f t="shared" si="108"/>
        <v>247.084651286898</v>
      </c>
      <c r="AG119" t="str">
        <f t="shared" si="109"/>
        <v>1+1.62690180324519i</v>
      </c>
      <c r="AH119">
        <f t="shared" si="128"/>
        <v>1.9096621369767093</v>
      </c>
      <c r="AI119">
        <f t="shared" si="129"/>
        <v>1.0196632848813307</v>
      </c>
      <c r="AJ119" t="str">
        <f t="shared" si="110"/>
        <v>1+0.010576592467693i</v>
      </c>
      <c r="AK119">
        <f t="shared" si="130"/>
        <v>1.0000559305899983</v>
      </c>
      <c r="AL119">
        <f t="shared" si="131"/>
        <v>1.0576198113094583E-2</v>
      </c>
      <c r="AM119" t="str">
        <f t="shared" si="111"/>
        <v>1-0.0105068483374419i</v>
      </c>
      <c r="AN119">
        <f t="shared" si="132"/>
        <v>1.0000551954077264</v>
      </c>
      <c r="AO119">
        <f t="shared" si="133"/>
        <v>-1.0506461732527105E-2</v>
      </c>
      <c r="AP119" s="41" t="str">
        <f t="shared" si="134"/>
        <v>67.7688665739157-110.236058528884i</v>
      </c>
      <c r="AQ119">
        <f t="shared" si="135"/>
        <v>42.238749817366909</v>
      </c>
      <c r="AR119" s="43">
        <f t="shared" si="136"/>
        <v>-58.418407147860989</v>
      </c>
      <c r="AS119" t="str">
        <f t="shared" si="112"/>
        <v>-0.0000166666666666667</v>
      </c>
      <c r="AT119" t="str">
        <f t="shared" si="113"/>
        <v>2.18604342797301E-06i</v>
      </c>
      <c r="AU119">
        <f t="shared" si="137"/>
        <v>2.18604342797301E-6</v>
      </c>
      <c r="AV119">
        <f t="shared" si="138"/>
        <v>1.5707963267948966</v>
      </c>
      <c r="AW119" t="str">
        <f t="shared" si="114"/>
        <v>1+0.00222159499929299i</v>
      </c>
      <c r="AX119">
        <f t="shared" si="139"/>
        <v>1.0000024677391255</v>
      </c>
      <c r="AY119">
        <f t="shared" si="140"/>
        <v>2.2215913444213692E-3</v>
      </c>
      <c r="AZ119" t="str">
        <f t="shared" si="115"/>
        <v>1+0.0755342299759616i</v>
      </c>
      <c r="BA119">
        <f t="shared" si="141"/>
        <v>1.0028486525383886</v>
      </c>
      <c r="BB119">
        <f t="shared" si="142"/>
        <v>7.5391068236474318E-2</v>
      </c>
      <c r="BC119" s="41" t="str">
        <f t="shared" si="143"/>
        <v>-0.558941878029316+7.62536597230977i</v>
      </c>
      <c r="BD119">
        <f t="shared" si="144"/>
        <v>17.668485755966966</v>
      </c>
      <c r="BE119" s="43">
        <f t="shared" si="145"/>
        <v>94.192302215094642</v>
      </c>
      <c r="BF119" s="41" t="str">
        <f t="shared" si="146"/>
        <v>58.9469016097776+29.4512238475139i</v>
      </c>
      <c r="BG119" s="20">
        <f t="shared" si="147"/>
        <v>36.377010009580374</v>
      </c>
      <c r="BH119" s="43">
        <f t="shared" si="148"/>
        <v>26.547765071999198</v>
      </c>
      <c r="BI119" s="41" t="str">
        <f t="shared" si="152"/>
        <v>802.711432072958+578.377958735422i</v>
      </c>
      <c r="BJ119" s="20">
        <f t="shared" si="149"/>
        <v>59.907235573333878</v>
      </c>
      <c r="BK119" s="43">
        <f t="shared" si="153"/>
        <v>35.773895067233646</v>
      </c>
      <c r="BL119">
        <f t="shared" si="150"/>
        <v>36.377010009580374</v>
      </c>
      <c r="BM119" s="43">
        <f t="shared" si="151"/>
        <v>26.547765071999198</v>
      </c>
    </row>
    <row r="120" spans="14:65" x14ac:dyDescent="0.25">
      <c r="N120" s="9">
        <v>2</v>
      </c>
      <c r="O120" s="34">
        <f t="shared" ref="O120:O183" si="154">10^(2+(N120/100))</f>
        <v>104.71285480508998</v>
      </c>
      <c r="P120" s="33" t="str">
        <f t="shared" si="103"/>
        <v>16.5157725627975</v>
      </c>
      <c r="Q120" s="4" t="str">
        <f t="shared" si="104"/>
        <v>1+1.70237551859734i</v>
      </c>
      <c r="R120" s="4">
        <f t="shared" si="117"/>
        <v>1.9743562004662589</v>
      </c>
      <c r="S120" s="4">
        <f t="shared" si="118"/>
        <v>1.0396822993122457</v>
      </c>
      <c r="T120" s="4" t="str">
        <f t="shared" si="105"/>
        <v>1+0.0108229529543996i</v>
      </c>
      <c r="U120" s="4">
        <f t="shared" si="119"/>
        <v>1.0000585664403125</v>
      </c>
      <c r="V120" s="4">
        <f t="shared" si="120"/>
        <v>1.0822530397170795E-2</v>
      </c>
      <c r="W120" t="str">
        <f t="shared" si="106"/>
        <v>1-0.164482567696043i</v>
      </c>
      <c r="X120" s="4">
        <f t="shared" si="121"/>
        <v>1.0134369813046509</v>
      </c>
      <c r="Y120" s="4">
        <f t="shared" si="122"/>
        <v>-0.16302285842828446</v>
      </c>
      <c r="Z120" t="str">
        <f t="shared" si="107"/>
        <v>0.999999773454918+0.0023027559477446i</v>
      </c>
      <c r="AA120" s="4">
        <f t="shared" si="123"/>
        <v>1.0000024247944812</v>
      </c>
      <c r="AB120" s="4">
        <f t="shared" si="124"/>
        <v>2.3027523991698308E-3</v>
      </c>
      <c r="AC120" s="47" t="str">
        <f t="shared" si="125"/>
        <v>3.11797089314926-7.88385099559645i</v>
      </c>
      <c r="AD120" s="20">
        <f t="shared" si="126"/>
        <v>18.565890299421785</v>
      </c>
      <c r="AE120" s="43">
        <f t="shared" si="127"/>
        <v>-68.421782215474408</v>
      </c>
      <c r="AF120" t="str">
        <f t="shared" si="108"/>
        <v>247.084651286898</v>
      </c>
      <c r="AG120" t="str">
        <f t="shared" si="109"/>
        <v>1+1.66479721438973i</v>
      </c>
      <c r="AH120">
        <f t="shared" si="128"/>
        <v>1.9420478276911217</v>
      </c>
      <c r="AI120">
        <f t="shared" si="129"/>
        <v>1.0298815630776228</v>
      </c>
      <c r="AJ120" t="str">
        <f t="shared" si="110"/>
        <v>1+0.0108229529543996i</v>
      </c>
      <c r="AK120">
        <f t="shared" si="130"/>
        <v>1.0000585664403125</v>
      </c>
      <c r="AL120">
        <f t="shared" si="131"/>
        <v>1.0822530397170795E-2</v>
      </c>
      <c r="AM120" t="str">
        <f t="shared" si="111"/>
        <v>1-0.010751584274661i</v>
      </c>
      <c r="AN120">
        <f t="shared" si="132"/>
        <v>1.0000577966119835</v>
      </c>
      <c r="AO120">
        <f t="shared" si="133"/>
        <v>-1.0751170021324322E-2</v>
      </c>
      <c r="AP120" s="41" t="str">
        <f t="shared" si="134"/>
        <v>65.5281716069643-109.07348344998i</v>
      </c>
      <c r="AQ120">
        <f t="shared" si="135"/>
        <v>42.092727625670861</v>
      </c>
      <c r="AR120" s="43">
        <f t="shared" si="136"/>
        <v>-59.003778314323505</v>
      </c>
      <c r="AS120" t="str">
        <f t="shared" si="112"/>
        <v>-0.0000166666666666667</v>
      </c>
      <c r="AT120" t="str">
        <f t="shared" si="113"/>
        <v>2.23696292066618E-06i</v>
      </c>
      <c r="AU120">
        <f t="shared" si="137"/>
        <v>2.2369629206661801E-6</v>
      </c>
      <c r="AV120">
        <f t="shared" si="138"/>
        <v>1.5707963267948966</v>
      </c>
      <c r="AW120" t="str">
        <f t="shared" si="114"/>
        <v>1+0.00227334259446248i</v>
      </c>
      <c r="AX120">
        <f t="shared" si="139"/>
        <v>1.0000025840399374</v>
      </c>
      <c r="AY120">
        <f t="shared" si="140"/>
        <v>2.273338678197527E-3</v>
      </c>
      <c r="AZ120" t="str">
        <f t="shared" si="115"/>
        <v>1+0.0772936482117244i</v>
      </c>
      <c r="BA120">
        <f t="shared" si="141"/>
        <v>1.0029827057601133</v>
      </c>
      <c r="BB120">
        <f t="shared" si="142"/>
        <v>7.7140272271542909E-2</v>
      </c>
      <c r="BC120" s="41" t="str">
        <f t="shared" si="143"/>
        <v>-0.558941748018871+7.4518486406632i</v>
      </c>
      <c r="BD120">
        <f t="shared" si="144"/>
        <v>17.469645732220847</v>
      </c>
      <c r="BE120" s="43">
        <f t="shared" si="145"/>
        <v>94.289559319984889</v>
      </c>
      <c r="BF120" s="41" t="str">
        <f t="shared" si="146"/>
        <v>57.0065002234378+27.6412606183407i</v>
      </c>
      <c r="BG120" s="20">
        <f t="shared" si="147"/>
        <v>36.035536031642621</v>
      </c>
      <c r="BH120" s="43">
        <f t="shared" si="148"/>
        <v>25.867777104510466</v>
      </c>
      <c r="BI120" s="41" t="str">
        <f t="shared" si="152"/>
        <v>776.172658596656+549.271740016541i</v>
      </c>
      <c r="BJ120" s="20">
        <f t="shared" si="149"/>
        <v>59.562373357891701</v>
      </c>
      <c r="BK120" s="43">
        <f t="shared" si="153"/>
        <v>35.285781005661399</v>
      </c>
      <c r="BL120">
        <f t="shared" si="150"/>
        <v>36.035536031642621</v>
      </c>
      <c r="BM120" s="43">
        <f t="shared" si="151"/>
        <v>25.867777104510466</v>
      </c>
    </row>
    <row r="121" spans="14:65" x14ac:dyDescent="0.25">
      <c r="N121" s="9">
        <v>3</v>
      </c>
      <c r="O121" s="34">
        <f t="shared" si="154"/>
        <v>107.15193052376065</v>
      </c>
      <c r="P121" s="33" t="str">
        <f t="shared" si="103"/>
        <v>16.5157725627975</v>
      </c>
      <c r="Q121" s="4" t="str">
        <f t="shared" si="104"/>
        <v>1+1.74202893841097i</v>
      </c>
      <c r="R121" s="4">
        <f t="shared" si="117"/>
        <v>2.0086475107049648</v>
      </c>
      <c r="S121" s="4">
        <f t="shared" si="118"/>
        <v>1.0496813471459883</v>
      </c>
      <c r="T121" s="4" t="str">
        <f t="shared" si="105"/>
        <v>1+0.0110750519140214i</v>
      </c>
      <c r="U121" s="4">
        <f t="shared" si="119"/>
        <v>1.0000613265069789</v>
      </c>
      <c r="V121" s="4">
        <f t="shared" si="120"/>
        <v>1.1074599137292744E-2</v>
      </c>
      <c r="W121" t="str">
        <f t="shared" si="106"/>
        <v>1-0.168313858875705i</v>
      </c>
      <c r="X121" s="4">
        <f t="shared" si="121"/>
        <v>1.0140658534284797</v>
      </c>
      <c r="Y121" s="4">
        <f t="shared" si="122"/>
        <v>-0.16675092156481852</v>
      </c>
      <c r="Z121" t="str">
        <f t="shared" si="107"/>
        <v>0.999999762778177+0.00235639402425987i</v>
      </c>
      <c r="AA121" s="4">
        <f t="shared" si="123"/>
        <v>1.0000025390713805</v>
      </c>
      <c r="AB121" s="4">
        <f t="shared" si="124"/>
        <v>2.3563902218940191E-3</v>
      </c>
      <c r="AC121" s="47" t="str">
        <f t="shared" si="125"/>
        <v>2.96147126712695-7.79486523351323i</v>
      </c>
      <c r="AD121" s="20">
        <f t="shared" si="126"/>
        <v>18.421737039396863</v>
      </c>
      <c r="AE121" s="43">
        <f t="shared" si="127"/>
        <v>-69.19691848488722</v>
      </c>
      <c r="AF121" t="str">
        <f t="shared" si="108"/>
        <v>247.084651286898</v>
      </c>
      <c r="AG121" t="str">
        <f t="shared" si="109"/>
        <v>1+1.70357532305353i</v>
      </c>
      <c r="AH121">
        <f t="shared" si="128"/>
        <v>1.9753908173617036</v>
      </c>
      <c r="AI121">
        <f t="shared" si="129"/>
        <v>1.0399899316167756</v>
      </c>
      <c r="AJ121" t="str">
        <f t="shared" si="110"/>
        <v>1+0.0110750519140214i</v>
      </c>
      <c r="AK121">
        <f t="shared" si="130"/>
        <v>1.0000613265069789</v>
      </c>
      <c r="AL121">
        <f t="shared" si="131"/>
        <v>1.1074599137292744E-2</v>
      </c>
      <c r="AM121" t="str">
        <f t="shared" si="111"/>
        <v>1-0.0110020208441766i</v>
      </c>
      <c r="AN121">
        <f t="shared" si="132"/>
        <v>1.0000605203999684</v>
      </c>
      <c r="AO121">
        <f t="shared" si="133"/>
        <v>-1.1001576965179874E-2</v>
      </c>
      <c r="AP121" s="41" t="str">
        <f t="shared" si="134"/>
        <v>63.3354184133456-107.87861102782i</v>
      </c>
      <c r="AQ121">
        <f t="shared" si="135"/>
        <v>41.944913068163395</v>
      </c>
      <c r="AR121" s="43">
        <f t="shared" si="136"/>
        <v>-59.582849955467395</v>
      </c>
      <c r="AS121" t="str">
        <f t="shared" si="112"/>
        <v>-0.0000166666666666667</v>
      </c>
      <c r="AT121" t="str">
        <f t="shared" si="113"/>
        <v>2.28906848070959E-06i</v>
      </c>
      <c r="AU121">
        <f t="shared" si="137"/>
        <v>2.2890684807095898E-6</v>
      </c>
      <c r="AV121">
        <f t="shared" si="138"/>
        <v>1.5707963267948966</v>
      </c>
      <c r="AW121" t="str">
        <f t="shared" si="114"/>
        <v>1+0.00232629554596681i</v>
      </c>
      <c r="AX121">
        <f t="shared" si="139"/>
        <v>1.0000027058218228</v>
      </c>
      <c r="AY121">
        <f t="shared" si="140"/>
        <v>2.3262913496139214E-3</v>
      </c>
      <c r="AZ121" t="str">
        <f t="shared" si="115"/>
        <v>1+0.0790940485628714i</v>
      </c>
      <c r="BA121">
        <f t="shared" si="141"/>
        <v>1.0031230575149122</v>
      </c>
      <c r="BB121">
        <f t="shared" si="142"/>
        <v>7.8929730903658041E-2</v>
      </c>
      <c r="BC121" s="41" t="str">
        <f t="shared" si="143"/>
        <v>-0.558941611881288+7.28228237777491i</v>
      </c>
      <c r="BD121">
        <f t="shared" si="144"/>
        <v>17.270860043915143</v>
      </c>
      <c r="BE121" s="43">
        <f t="shared" si="145"/>
        <v>94.389053782632246</v>
      </c>
      <c r="BF121" s="41" t="str">
        <f t="shared" si="146"/>
        <v>55.1091202035556+25.9231445589026i</v>
      </c>
      <c r="BG121" s="20">
        <f t="shared" si="147"/>
        <v>35.692597083311995</v>
      </c>
      <c r="BH121" s="43">
        <f t="shared" si="148"/>
        <v>25.192135297745033</v>
      </c>
      <c r="BI121" s="41" t="str">
        <f t="shared" si="152"/>
        <v>750.201707169596+521.524246135911i</v>
      </c>
      <c r="BJ121" s="20">
        <f t="shared" si="149"/>
        <v>59.215773112078537</v>
      </c>
      <c r="BK121" s="43">
        <f t="shared" si="153"/>
        <v>34.806203827164865</v>
      </c>
      <c r="BL121">
        <f t="shared" si="150"/>
        <v>35.692597083311995</v>
      </c>
      <c r="BM121" s="43">
        <f t="shared" si="151"/>
        <v>25.192135297745033</v>
      </c>
    </row>
    <row r="122" spans="14:65" x14ac:dyDescent="0.25">
      <c r="N122" s="9">
        <v>4</v>
      </c>
      <c r="O122" s="34">
        <f t="shared" si="154"/>
        <v>109.64781961431861</v>
      </c>
      <c r="P122" s="33" t="str">
        <f t="shared" si="103"/>
        <v>16.5157725627975</v>
      </c>
      <c r="Q122" s="4" t="str">
        <f t="shared" si="104"/>
        <v>1+1.78260600502623i</v>
      </c>
      <c r="R122" s="4">
        <f t="shared" si="117"/>
        <v>2.0439383966146281</v>
      </c>
      <c r="S122" s="4">
        <f t="shared" si="118"/>
        <v>1.05956497047061</v>
      </c>
      <c r="T122" s="4" t="str">
        <f t="shared" si="105"/>
        <v>1+0.0113330230127637i</v>
      </c>
      <c r="U122" s="4">
        <f t="shared" si="119"/>
        <v>1.0000642166434153</v>
      </c>
      <c r="V122" s="4">
        <f t="shared" si="120"/>
        <v>1.1332537855440521E-2</v>
      </c>
      <c r="W122" t="str">
        <f t="shared" si="106"/>
        <v>1-0.172234392291241i</v>
      </c>
      <c r="X122" s="4">
        <f t="shared" si="121"/>
        <v>1.0147239456561243</v>
      </c>
      <c r="Y122" s="4">
        <f t="shared" si="122"/>
        <v>-0.17056098443864523</v>
      </c>
      <c r="Z122" t="str">
        <f t="shared" si="107"/>
        <v>0.999999751598257+0.00241128149207737i</v>
      </c>
      <c r="AA122" s="4">
        <f t="shared" si="123"/>
        <v>1.0000026587339705</v>
      </c>
      <c r="AB122" s="4">
        <f t="shared" si="124"/>
        <v>2.4112774177695384E-3</v>
      </c>
      <c r="AC122" s="47" t="str">
        <f t="shared" si="125"/>
        <v>2.80856368639445-7.70385982096029i</v>
      </c>
      <c r="AD122" s="20">
        <f t="shared" si="126"/>
        <v>18.276114676473771</v>
      </c>
      <c r="AE122" s="43">
        <f t="shared" si="127"/>
        <v>-69.969874914784995</v>
      </c>
      <c r="AF122" t="str">
        <f t="shared" si="108"/>
        <v>247.084651286898</v>
      </c>
      <c r="AG122" t="str">
        <f t="shared" si="109"/>
        <v>1+1.7432566899031i</v>
      </c>
      <c r="AH122">
        <f t="shared" si="128"/>
        <v>2.0097123890974831</v>
      </c>
      <c r="AI122">
        <f t="shared" si="129"/>
        <v>1.0499854866523053</v>
      </c>
      <c r="AJ122" t="str">
        <f t="shared" si="110"/>
        <v>1+0.0113330230127637i</v>
      </c>
      <c r="AK122">
        <f t="shared" si="130"/>
        <v>1.0000642166434153</v>
      </c>
      <c r="AL122">
        <f t="shared" si="131"/>
        <v>1.1332537855440521E-2</v>
      </c>
      <c r="AM122" t="str">
        <f t="shared" si="111"/>
        <v>1-0.0112582908307727i</v>
      </c>
      <c r="AN122">
        <f t="shared" si="132"/>
        <v>1.0000633725481751</v>
      </c>
      <c r="AO122">
        <f t="shared" si="133"/>
        <v>-1.1257815207486312E-2</v>
      </c>
      <c r="AP122" s="41" t="str">
        <f t="shared" si="134"/>
        <v>61.1913345158441-106.653738083717i</v>
      </c>
      <c r="AQ122">
        <f t="shared" si="135"/>
        <v>41.795345358620217</v>
      </c>
      <c r="AR122" s="43">
        <f t="shared" si="136"/>
        <v>-60.155455642805222</v>
      </c>
      <c r="AS122" t="str">
        <f t="shared" si="112"/>
        <v>-0.0000166666666666667</v>
      </c>
      <c r="AT122" t="str">
        <f t="shared" si="113"/>
        <v>2.34238773516088E-06i</v>
      </c>
      <c r="AU122">
        <f t="shared" si="137"/>
        <v>2.3423877351608798E-6</v>
      </c>
      <c r="AV122">
        <f t="shared" si="138"/>
        <v>1.5707963267948966</v>
      </c>
      <c r="AW122" t="str">
        <f t="shared" si="114"/>
        <v>1+0.00238048193016176i</v>
      </c>
      <c r="AX122">
        <f t="shared" si="139"/>
        <v>1.0000028333430959</v>
      </c>
      <c r="AY122">
        <f t="shared" si="140"/>
        <v>2.3804774336893169E-3</v>
      </c>
      <c r="AZ122" t="str">
        <f t="shared" si="115"/>
        <v>1+0.0809363856254999i</v>
      </c>
      <c r="BA122">
        <f t="shared" si="141"/>
        <v>1.0032700027999042</v>
      </c>
      <c r="BB122">
        <f t="shared" si="142"/>
        <v>8.0760347060777282E-2</v>
      </c>
      <c r="BC122" s="41" t="str">
        <f t="shared" si="143"/>
        <v>-0.558941469327808+7.11657727736586i</v>
      </c>
      <c r="BD122">
        <f t="shared" si="144"/>
        <v>17.072131219920028</v>
      </c>
      <c r="BE122" s="43">
        <f t="shared" si="145"/>
        <v>94.490835728417778</v>
      </c>
      <c r="BF122" s="41" t="str">
        <f t="shared" si="146"/>
        <v>53.2552910362838+24.2933672404526i</v>
      </c>
      <c r="BG122" s="20">
        <f t="shared" si="147"/>
        <v>35.348245896393792</v>
      </c>
      <c r="BH122" s="43">
        <f t="shared" si="148"/>
        <v>24.52096081363274</v>
      </c>
      <c r="BI122" s="41" t="str">
        <f t="shared" si="152"/>
        <v>724.807194568295+495.086057860965i</v>
      </c>
      <c r="BJ122" s="20">
        <f t="shared" si="149"/>
        <v>58.867476578540241</v>
      </c>
      <c r="BK122" s="43">
        <f t="shared" si="153"/>
        <v>34.335380085612542</v>
      </c>
      <c r="BL122">
        <f t="shared" si="150"/>
        <v>35.348245896393792</v>
      </c>
      <c r="BM122" s="43">
        <f t="shared" si="151"/>
        <v>24.52096081363274</v>
      </c>
    </row>
    <row r="123" spans="14:65" x14ac:dyDescent="0.25">
      <c r="N123" s="9">
        <v>5</v>
      </c>
      <c r="O123" s="34">
        <f t="shared" si="154"/>
        <v>112.20184543019634</v>
      </c>
      <c r="P123" s="33" t="str">
        <f t="shared" si="103"/>
        <v>16.5157725627975</v>
      </c>
      <c r="Q123" s="4" t="str">
        <f t="shared" si="104"/>
        <v>1+1.82412823294093i</v>
      </c>
      <c r="R123" s="4">
        <f t="shared" si="117"/>
        <v>2.0802509007838936</v>
      </c>
      <c r="S123" s="4">
        <f t="shared" si="118"/>
        <v>1.0693306851167963</v>
      </c>
      <c r="T123" s="4" t="str">
        <f t="shared" si="105"/>
        <v>1+0.0115970030303176i</v>
      </c>
      <c r="U123" s="4">
        <f t="shared" si="119"/>
        <v>1.0000672429788335</v>
      </c>
      <c r="V123" s="4">
        <f t="shared" si="120"/>
        <v>1.1596483176767562E-2</v>
      </c>
      <c r="W123" t="str">
        <f t="shared" si="106"/>
        <v>1-0.176246246661361i</v>
      </c>
      <c r="X123" s="4">
        <f t="shared" si="121"/>
        <v>1.0154125956783366</v>
      </c>
      <c r="Y123" s="4">
        <f t="shared" si="122"/>
        <v>-0.1744546245008404</v>
      </c>
      <c r="Z123" t="str">
        <f t="shared" si="107"/>
        <v>0.999999739891444+0.00246744745325906i</v>
      </c>
      <c r="AA123" s="4">
        <f t="shared" si="123"/>
        <v>1.0000027840360697</v>
      </c>
      <c r="AB123" s="4">
        <f t="shared" si="124"/>
        <v>2.467443087560217E-3</v>
      </c>
      <c r="AC123" s="47" t="str">
        <f t="shared" si="125"/>
        <v>2.65928240022114-7.61100058482786i</v>
      </c>
      <c r="AD123" s="20">
        <f t="shared" si="126"/>
        <v>18.129074287257652</v>
      </c>
      <c r="AE123" s="43">
        <f t="shared" si="127"/>
        <v>-70.740593393345634</v>
      </c>
      <c r="AF123" t="str">
        <f t="shared" si="108"/>
        <v>247.084651286898</v>
      </c>
      <c r="AG123" t="str">
        <f t="shared" si="109"/>
        <v>1+1.78386235452438i</v>
      </c>
      <c r="AH123">
        <f t="shared" si="128"/>
        <v>2.0450342050658383</v>
      </c>
      <c r="AI123">
        <f t="shared" si="129"/>
        <v>1.0598655380256341</v>
      </c>
      <c r="AJ123" t="str">
        <f t="shared" si="110"/>
        <v>1+0.0115970030303176i</v>
      </c>
      <c r="AK123">
        <f t="shared" si="130"/>
        <v>1.0000672429788335</v>
      </c>
      <c r="AL123">
        <f t="shared" si="131"/>
        <v>1.1596483176767562E-2</v>
      </c>
      <c r="AM123" t="str">
        <f t="shared" si="111"/>
        <v>1-0.0115205301121883i</v>
      </c>
      <c r="AN123">
        <f t="shared" si="132"/>
        <v>1.0000663591052676</v>
      </c>
      <c r="AO123">
        <f t="shared" si="133"/>
        <v>-1.1520020474481316E-2</v>
      </c>
      <c r="AP123" s="41" t="str">
        <f t="shared" si="134"/>
        <v>59.0965146506549-105.401152484593i</v>
      </c>
      <c r="AQ123">
        <f t="shared" si="135"/>
        <v>41.644064250528494</v>
      </c>
      <c r="AR123" s="43">
        <f t="shared" si="136"/>
        <v>-60.721441190099959</v>
      </c>
      <c r="AS123" t="str">
        <f t="shared" si="112"/>
        <v>-0.0000166666666666667</v>
      </c>
      <c r="AT123" t="str">
        <f t="shared" si="113"/>
        <v>2.39694895459451E-06i</v>
      </c>
      <c r="AU123">
        <f t="shared" si="137"/>
        <v>2.3969489545945102E-6</v>
      </c>
      <c r="AV123">
        <f t="shared" si="138"/>
        <v>1.5707963267948966</v>
      </c>
      <c r="AW123" t="str">
        <f t="shared" si="114"/>
        <v>1+0.0024359304773855i</v>
      </c>
      <c r="AX123">
        <f t="shared" si="139"/>
        <v>1.0000029668742441</v>
      </c>
      <c r="AY123">
        <f t="shared" si="140"/>
        <v>2.4359256593292434E-3</v>
      </c>
      <c r="AZ123" t="str">
        <f t="shared" si="115"/>
        <v>1+0.0828216362311069i</v>
      </c>
      <c r="BA123">
        <f t="shared" si="141"/>
        <v>1.003423850338429</v>
      </c>
      <c r="BB123">
        <f t="shared" si="142"/>
        <v>8.2633042255010905E-2</v>
      </c>
      <c r="BC123" s="41" t="str">
        <f t="shared" si="143"/>
        <v>-0.558941320056069+6.95464548039635i</v>
      </c>
      <c r="BD123">
        <f t="shared" si="144"/>
        <v>16.873461905242003</v>
      </c>
      <c r="BE123" s="43">
        <f t="shared" si="145"/>
        <v>94.594956310051117</v>
      </c>
      <c r="BF123" s="41" t="str">
        <f t="shared" si="146"/>
        <v>51.4454280033856+22.7484690396267i</v>
      </c>
      <c r="BG123" s="20">
        <f t="shared" si="147"/>
        <v>35.002536192499662</v>
      </c>
      <c r="BH123" s="43">
        <f t="shared" si="148"/>
        <v>23.85436291670548</v>
      </c>
      <c r="BI123" s="41" t="str">
        <f t="shared" si="152"/>
        <v>699.996164845991+469.908367827523i</v>
      </c>
      <c r="BJ123" s="20">
        <f t="shared" si="149"/>
        <v>58.51752615577049</v>
      </c>
      <c r="BK123" s="43">
        <f t="shared" si="153"/>
        <v>33.873515119951172</v>
      </c>
      <c r="BL123">
        <f t="shared" si="150"/>
        <v>35.002536192499662</v>
      </c>
      <c r="BM123" s="43">
        <f t="shared" si="151"/>
        <v>23.85436291670548</v>
      </c>
    </row>
    <row r="124" spans="14:65" x14ac:dyDescent="0.25">
      <c r="N124" s="9">
        <v>6</v>
      </c>
      <c r="O124" s="34">
        <f t="shared" si="154"/>
        <v>114.81536214968835</v>
      </c>
      <c r="P124" s="33" t="str">
        <f t="shared" si="103"/>
        <v>16.5157725627975</v>
      </c>
      <c r="Q124" s="4" t="str">
        <f t="shared" si="104"/>
        <v>1+1.86661763778993i</v>
      </c>
      <c r="R124" s="4">
        <f t="shared" si="117"/>
        <v>2.1176074720562488</v>
      </c>
      <c r="S124" s="4">
        <f t="shared" si="118"/>
        <v>1.078976217483695</v>
      </c>
      <c r="T124" s="4" t="str">
        <f t="shared" si="105"/>
        <v>1+0.0118671319323826i</v>
      </c>
      <c r="U124" s="4">
        <f t="shared" si="119"/>
        <v>1.0000704119312303</v>
      </c>
      <c r="V124" s="4">
        <f t="shared" si="120"/>
        <v>1.186657490138599E-2</v>
      </c>
      <c r="W124" t="str">
        <f t="shared" si="106"/>
        <v>1-0.180351549124356i</v>
      </c>
      <c r="X124" s="4">
        <f t="shared" si="121"/>
        <v>1.0161332005556925</v>
      </c>
      <c r="Y124" s="4">
        <f t="shared" si="122"/>
        <v>-0.17843343374127932</v>
      </c>
      <c r="Z124" t="str">
        <f t="shared" si="107"/>
        <v>0.999999727632905+0.00252492168774099i</v>
      </c>
      <c r="AA124" s="4">
        <f t="shared" si="123"/>
        <v>1.0000029152434573</v>
      </c>
      <c r="AB124" s="4">
        <f t="shared" si="124"/>
        <v>2.5249170098111348E-3</v>
      </c>
      <c r="AC124" s="47" t="str">
        <f t="shared" si="125"/>
        <v>2.51365254903301-7.5164515555316i</v>
      </c>
      <c r="AD124" s="20">
        <f t="shared" si="126"/>
        <v>17.980667734883106</v>
      </c>
      <c r="AE124" s="43">
        <f t="shared" si="127"/>
        <v>-71.509028563365604</v>
      </c>
      <c r="AF124" t="str">
        <f t="shared" si="108"/>
        <v>247.084651286898</v>
      </c>
      <c r="AG124" t="str">
        <f t="shared" si="109"/>
        <v>1+1.82541384657825i</v>
      </c>
      <c r="AH124">
        <f t="shared" si="128"/>
        <v>2.0813783200753297</v>
      </c>
      <c r="AI124">
        <f t="shared" si="129"/>
        <v>1.0696276080428402</v>
      </c>
      <c r="AJ124" t="str">
        <f t="shared" si="110"/>
        <v>1+0.0118671319323826i</v>
      </c>
      <c r="AK124">
        <f t="shared" si="130"/>
        <v>1.0000704119312303</v>
      </c>
      <c r="AL124">
        <f t="shared" si="131"/>
        <v>1.186657490138599E-2</v>
      </c>
      <c r="AM124" t="str">
        <f t="shared" si="111"/>
        <v>1-0.0117888777311617i</v>
      </c>
      <c r="AN124">
        <f t="shared" si="132"/>
        <v>1.0000694864048998</v>
      </c>
      <c r="AO124">
        <f t="shared" si="133"/>
        <v>-1.1788331646569226E-2</v>
      </c>
      <c r="AP124" s="41" t="str">
        <f t="shared" si="134"/>
        <v>57.0514245332347-104.12312489796i</v>
      </c>
      <c r="AQ124">
        <f t="shared" si="135"/>
        <v>41.491109931306525</v>
      </c>
      <c r="AR124" s="43">
        <f t="shared" si="136"/>
        <v>-61.280664583251784</v>
      </c>
      <c r="AS124" t="str">
        <f t="shared" si="112"/>
        <v>-0.0000166666666666667</v>
      </c>
      <c r="AT124" t="str">
        <f t="shared" si="113"/>
        <v>2.45278106809125E-06i</v>
      </c>
      <c r="AU124">
        <f t="shared" si="137"/>
        <v>2.45278106809125E-6</v>
      </c>
      <c r="AV124">
        <f t="shared" si="138"/>
        <v>1.5707963267948966</v>
      </c>
      <c r="AW124" t="str">
        <f t="shared" si="114"/>
        <v>1+0.00249267058719169i</v>
      </c>
      <c r="AX124">
        <f t="shared" si="139"/>
        <v>1.0000031066985025</v>
      </c>
      <c r="AY124">
        <f t="shared" si="140"/>
        <v>2.4926654245522638E-3</v>
      </c>
      <c r="AZ124" t="str">
        <f t="shared" si="115"/>
        <v>1+0.0847507999645175i</v>
      </c>
      <c r="BA124">
        <f t="shared" si="141"/>
        <v>1.0035849232101017</v>
      </c>
      <c r="BB124">
        <f t="shared" si="142"/>
        <v>8.4548756844730399E-2</v>
      </c>
      <c r="BC124" s="41" t="str">
        <f t="shared" si="143"/>
        <v>-0.558941163749453+6.79640112848183i</v>
      </c>
      <c r="BD124">
        <f t="shared" si="144"/>
        <v>16.674854866207586</v>
      </c>
      <c r="BE124" s="43">
        <f t="shared" si="145"/>
        <v>94.701467721715844</v>
      </c>
      <c r="BF124" s="41" t="str">
        <f t="shared" si="146"/>
        <v>49.6798359531757+21.2850452005744i</v>
      </c>
      <c r="BG124" s="20">
        <f t="shared" si="147"/>
        <v>34.655522601090688</v>
      </c>
      <c r="BH124" s="43">
        <f t="shared" si="148"/>
        <v>23.192439158350254</v>
      </c>
      <c r="BI124" s="41" t="str">
        <f t="shared" si="152"/>
        <v>675.77413393538+445.943066682868i</v>
      </c>
      <c r="BJ124" s="20">
        <f t="shared" si="149"/>
        <v>58.165964797514114</v>
      </c>
      <c r="BK124" s="43">
        <f t="shared" si="153"/>
        <v>33.420803138464073</v>
      </c>
      <c r="BL124">
        <f t="shared" si="150"/>
        <v>34.655522601090688</v>
      </c>
      <c r="BM124" s="43">
        <f t="shared" si="151"/>
        <v>23.192439158350254</v>
      </c>
    </row>
    <row r="125" spans="14:65" x14ac:dyDescent="0.25">
      <c r="N125" s="9">
        <v>7</v>
      </c>
      <c r="O125" s="34">
        <f t="shared" si="154"/>
        <v>117.48975549395293</v>
      </c>
      <c r="P125" s="33" t="str">
        <f t="shared" si="103"/>
        <v>16.5157725627975</v>
      </c>
      <c r="Q125" s="4" t="str">
        <f t="shared" si="104"/>
        <v>1+1.91009674801809i</v>
      </c>
      <c r="R125" s="4">
        <f t="shared" si="117"/>
        <v>2.1560309800161228</v>
      </c>
      <c r="S125" s="4">
        <f t="shared" si="118"/>
        <v>1.0884995019000268</v>
      </c>
      <c r="T125" s="4" t="str">
        <f t="shared" si="105"/>
        <v>1+0.0121435529448783i</v>
      </c>
      <c r="U125" s="4">
        <f t="shared" si="119"/>
        <v>1.0000737302209899</v>
      </c>
      <c r="V125" s="4">
        <f t="shared" si="120"/>
        <v>1.2142956077788404E-2</v>
      </c>
      <c r="W125" t="str">
        <f t="shared" si="106"/>
        <v>1-0.184552476365932i</v>
      </c>
      <c r="X125" s="4">
        <f t="shared" si="121"/>
        <v>1.0168872191805727</v>
      </c>
      <c r="Y125" s="4">
        <f t="shared" si="122"/>
        <v>-0.1824990176219316</v>
      </c>
      <c r="Z125" t="str">
        <f t="shared" si="107"/>
        <v>0.99999971479664+0.00258373466912304i</v>
      </c>
      <c r="AA125" s="4">
        <f t="shared" si="123"/>
        <v>1.0000030526344417</v>
      </c>
      <c r="AB125" s="4">
        <f t="shared" si="124"/>
        <v>2.5837296566317142E-3</v>
      </c>
      <c r="AC125" s="47" t="str">
        <f t="shared" si="125"/>
        <v>2.37169050822476-7.42037444459101i</v>
      </c>
      <c r="AD125" s="20">
        <f t="shared" si="126"/>
        <v>17.830947585811213</v>
      </c>
      <c r="AE125" s="43">
        <f t="shared" si="127"/>
        <v>-72.275147606641895</v>
      </c>
      <c r="AF125" t="str">
        <f t="shared" si="108"/>
        <v>247.084651286898</v>
      </c>
      <c r="AG125" t="str">
        <f t="shared" si="109"/>
        <v>1+1.86793319721578i</v>
      </c>
      <c r="AH125">
        <f t="shared" si="128"/>
        <v>2.1187671956259768</v>
      </c>
      <c r="AI125">
        <f t="shared" si="129"/>
        <v>1.0792694295077343</v>
      </c>
      <c r="AJ125" t="str">
        <f t="shared" si="110"/>
        <v>1+0.0121435529448783i</v>
      </c>
      <c r="AK125">
        <f t="shared" si="130"/>
        <v>1.0000737302209899</v>
      </c>
      <c r="AL125">
        <f t="shared" si="131"/>
        <v>1.2142956077788404E-2</v>
      </c>
      <c r="AM125" t="str">
        <f t="shared" si="111"/>
        <v>1-0.0120634759691524i</v>
      </c>
      <c r="AN125">
        <f t="shared" si="132"/>
        <v>1.0000727610791418</v>
      </c>
      <c r="AO125">
        <f t="shared" si="133"/>
        <v>-1.2062890831268531E-2</v>
      </c>
      <c r="AP125" s="41" t="str">
        <f t="shared" si="134"/>
        <v>55.0564051372513-102.82190108361i</v>
      </c>
      <c r="AQ125">
        <f t="shared" si="135"/>
        <v>41.336522919794383</v>
      </c>
      <c r="AR125" s="43">
        <f t="shared" si="136"/>
        <v>-61.832995867574077</v>
      </c>
      <c r="AS125" t="str">
        <f t="shared" si="112"/>
        <v>-0.0000166666666666667</v>
      </c>
      <c r="AT125" t="str">
        <f t="shared" si="113"/>
        <v>2.50991367857667E-06i</v>
      </c>
      <c r="AU125">
        <f t="shared" si="137"/>
        <v>2.5099136785766699E-6</v>
      </c>
      <c r="AV125">
        <f t="shared" si="138"/>
        <v>1.5707963267948966</v>
      </c>
      <c r="AW125" t="str">
        <f t="shared" si="114"/>
        <v>1+0.00255073234393761i</v>
      </c>
      <c r="AX125">
        <f t="shared" si="139"/>
        <v>1.0000032531124539</v>
      </c>
      <c r="AY125">
        <f t="shared" si="140"/>
        <v>2.550726812070771E-3</v>
      </c>
      <c r="AZ125" t="str">
        <f t="shared" si="115"/>
        <v>1+0.0867248996938786i</v>
      </c>
      <c r="BA125">
        <f t="shared" si="141"/>
        <v>1.0037535595089631</v>
      </c>
      <c r="BB125">
        <f t="shared" si="142"/>
        <v>8.6508450291085004E-2</v>
      </c>
      <c r="BC125" s="41" t="str">
        <f t="shared" si="143"/>
        <v>-0.55894100007643+6.64176031836995i</v>
      </c>
      <c r="BD125">
        <f t="shared" si="144"/>
        <v>16.476312995864628</v>
      </c>
      <c r="BE125" s="43">
        <f t="shared" si="145"/>
        <v>94.810423212873928</v>
      </c>
      <c r="BF125" s="41" t="str">
        <f t="shared" si="146"/>
        <v>47.9587134689921+19.8997514179832i</v>
      </c>
      <c r="BG125" s="20">
        <f t="shared" si="147"/>
        <v>34.307260581675848</v>
      </c>
      <c r="BH125" s="43">
        <f t="shared" si="148"/>
        <v>22.535275606232094</v>
      </c>
      <c r="BI125" s="41" t="str">
        <f t="shared" si="152"/>
        <v>652.145140328453+423.142823134128i</v>
      </c>
      <c r="BJ125" s="20">
        <f t="shared" si="149"/>
        <v>57.812835915659015</v>
      </c>
      <c r="BK125" s="43">
        <f t="shared" si="153"/>
        <v>32.977427345299851</v>
      </c>
      <c r="BL125">
        <f t="shared" si="150"/>
        <v>34.307260581675848</v>
      </c>
      <c r="BM125" s="43">
        <f t="shared" si="151"/>
        <v>22.535275606232094</v>
      </c>
    </row>
    <row r="126" spans="14:65" x14ac:dyDescent="0.25">
      <c r="N126" s="9">
        <v>8</v>
      </c>
      <c r="O126" s="34">
        <f t="shared" si="154"/>
        <v>120.22644346174135</v>
      </c>
      <c r="P126" s="33" t="str">
        <f t="shared" si="103"/>
        <v>16.5157725627975</v>
      </c>
      <c r="Q126" s="4" t="str">
        <f t="shared" si="104"/>
        <v>1+1.95458861682517i</v>
      </c>
      <c r="R126" s="4">
        <f t="shared" si="117"/>
        <v>2.1955447299070299</v>
      </c>
      <c r="S126" s="4">
        <f t="shared" si="118"/>
        <v>1.0978986773444697</v>
      </c>
      <c r="T126" s="4" t="str">
        <f t="shared" si="105"/>
        <v>1+0.0124264126298843i</v>
      </c>
      <c r="U126" s="4">
        <f t="shared" si="119"/>
        <v>1.000077204885127</v>
      </c>
      <c r="V126" s="4">
        <f t="shared" si="120"/>
        <v>1.2425773077941361E-2</v>
      </c>
      <c r="W126" t="str">
        <f t="shared" si="106"/>
        <v>1-0.188851255773318i</v>
      </c>
      <c r="X126" s="4">
        <f t="shared" si="121"/>
        <v>1.0176761748253513</v>
      </c>
      <c r="Y126" s="4">
        <f t="shared" si="122"/>
        <v>-0.18665299390541384</v>
      </c>
      <c r="Z126" t="str">
        <f t="shared" si="107"/>
        <v>0.999999701355419+0.00264391758082645i</v>
      </c>
      <c r="AA126" s="4">
        <f t="shared" si="123"/>
        <v>1.0000031965004419</v>
      </c>
      <c r="AB126" s="4">
        <f t="shared" si="124"/>
        <v>2.6439122098461539E-3</v>
      </c>
      <c r="AC126" s="47" t="str">
        <f t="shared" si="125"/>
        <v>2.23340425999307-7.322928164499i</v>
      </c>
      <c r="AD126" s="20">
        <f t="shared" si="126"/>
        <v>17.679967030879954</v>
      </c>
      <c r="AE126" s="43">
        <f t="shared" si="127"/>
        <v>-73.038929985568672</v>
      </c>
      <c r="AF126" t="str">
        <f t="shared" si="108"/>
        <v>247.084651286898</v>
      </c>
      <c r="AG126" t="str">
        <f t="shared" si="109"/>
        <v>1+1.91144295075949i</v>
      </c>
      <c r="AH126">
        <f t="shared" si="128"/>
        <v>2.1572237144089033</v>
      </c>
      <c r="AI126">
        <f t="shared" si="129"/>
        <v>1.0887889430625857</v>
      </c>
      <c r="AJ126" t="str">
        <f t="shared" si="110"/>
        <v>1+0.0124264126298843i</v>
      </c>
      <c r="AK126">
        <f t="shared" si="130"/>
        <v>1.000077204885127</v>
      </c>
      <c r="AL126">
        <f t="shared" si="131"/>
        <v>1.2425773077941361E-2</v>
      </c>
      <c r="AM126" t="str">
        <f t="shared" si="111"/>
        <v>1-0.012344470421781i</v>
      </c>
      <c r="AN126">
        <f t="shared" si="132"/>
        <v>1.0000761900725335</v>
      </c>
      <c r="AO126">
        <f t="shared" si="133"/>
        <v>-1.2343843437821998E-2</v>
      </c>
      <c r="AP126" s="41" t="str">
        <f t="shared" si="134"/>
        <v>53.1116774210529-101.499694747569i</v>
      </c>
      <c r="AQ126">
        <f t="shared" si="135"/>
        <v>41.180343967404923</v>
      </c>
      <c r="AR126" s="43">
        <f t="shared" si="136"/>
        <v>-62.378316995400063</v>
      </c>
      <c r="AS126" t="str">
        <f t="shared" si="112"/>
        <v>-0.0000166666666666667</v>
      </c>
      <c r="AT126" t="str">
        <f t="shared" si="113"/>
        <v>2.56837707851712E-06i</v>
      </c>
      <c r="AU126">
        <f t="shared" si="137"/>
        <v>2.5683770785171199E-6</v>
      </c>
      <c r="AV126">
        <f t="shared" si="138"/>
        <v>1.5707963267948966</v>
      </c>
      <c r="AW126" t="str">
        <f t="shared" si="114"/>
        <v>1+0.00261014653273522i</v>
      </c>
      <c r="AX126">
        <f t="shared" si="139"/>
        <v>1.0000034064266594</v>
      </c>
      <c r="AY126">
        <f t="shared" si="140"/>
        <v>2.6101406052341982E-3</v>
      </c>
      <c r="AZ126" t="str">
        <f t="shared" si="115"/>
        <v>1+0.0887449821129974i</v>
      </c>
      <c r="BA126">
        <f t="shared" si="141"/>
        <v>1.0039301130309002</v>
      </c>
      <c r="BB126">
        <f t="shared" si="142"/>
        <v>8.8513101408018754E-2</v>
      </c>
      <c r="BC126" s="41" t="str">
        <f t="shared" si="143"/>
        <v>-0.558940828689836+6.49064105745356i</v>
      </c>
      <c r="BD126">
        <f t="shared" si="144"/>
        <v>16.277839319607533</v>
      </c>
      <c r="BE126" s="43">
        <f t="shared" si="145"/>
        <v>94.921877101677282</v>
      </c>
      <c r="BF126" s="41" t="str">
        <f t="shared" si="146"/>
        <v>46.2821573774003+18.5893089245039i</v>
      </c>
      <c r="BG126" s="20">
        <f t="shared" si="147"/>
        <v>33.957806350487488</v>
      </c>
      <c r="BH126" s="43">
        <f t="shared" si="148"/>
        <v>21.882947116108621</v>
      </c>
      <c r="BI126" s="41" t="str">
        <f t="shared" si="152"/>
        <v>629.111801056744+401.461157593287i</v>
      </c>
      <c r="BJ126" s="20">
        <f t="shared" si="149"/>
        <v>57.458183287012467</v>
      </c>
      <c r="BK126" s="43">
        <f t="shared" si="153"/>
        <v>32.543560106277262</v>
      </c>
      <c r="BL126">
        <f t="shared" si="150"/>
        <v>33.957806350487488</v>
      </c>
      <c r="BM126" s="43">
        <f t="shared" si="151"/>
        <v>21.882947116108621</v>
      </c>
    </row>
    <row r="127" spans="14:65" x14ac:dyDescent="0.25">
      <c r="N127" s="9">
        <v>9</v>
      </c>
      <c r="O127" s="34">
        <f t="shared" si="154"/>
        <v>123.02687708123821</v>
      </c>
      <c r="P127" s="33" t="str">
        <f t="shared" si="103"/>
        <v>16.5157725627975</v>
      </c>
      <c r="Q127" s="4" t="str">
        <f t="shared" si="104"/>
        <v>1+2.00011683438893i</v>
      </c>
      <c r="R127" s="4">
        <f t="shared" si="117"/>
        <v>2.2361724779645229</v>
      </c>
      <c r="S127" s="4">
        <f t="shared" si="118"/>
        <v>1.1071720835799013</v>
      </c>
      <c r="T127" s="4" t="str">
        <f t="shared" si="105"/>
        <v>1+0.0127158609633497i</v>
      </c>
      <c r="U127" s="4">
        <f t="shared" si="119"/>
        <v>1.0000808432922006</v>
      </c>
      <c r="V127" s="4">
        <f t="shared" si="120"/>
        <v>1.2715175674088024E-2</v>
      </c>
      <c r="W127" t="str">
        <f t="shared" si="106"/>
        <v>1-0.193250166616256i</v>
      </c>
      <c r="X127" s="4">
        <f t="shared" si="121"/>
        <v>1.0185016577783321</v>
      </c>
      <c r="Y127" s="4">
        <f t="shared" si="122"/>
        <v>-0.19089699137288083</v>
      </c>
      <c r="Z127" t="str">
        <f t="shared" si="107"/>
        <v>0.999999687280734+0.00270550233262759i</v>
      </c>
      <c r="AA127" s="4">
        <f t="shared" si="123"/>
        <v>1.0000033471466172</v>
      </c>
      <c r="AB127" s="4">
        <f t="shared" si="124"/>
        <v>2.7054965775195517E-3</v>
      </c>
      <c r="AC127" s="47" t="str">
        <f t="shared" si="125"/>
        <v>2.09879378850139-7.22426839168445i</v>
      </c>
      <c r="AD127" s="20">
        <f t="shared" si="126"/>
        <v>17.527779810868623</v>
      </c>
      <c r="AE127" s="43">
        <f t="shared" si="127"/>
        <v>-73.800367144731595</v>
      </c>
      <c r="AF127" t="str">
        <f t="shared" si="108"/>
        <v>247.084651286898</v>
      </c>
      <c r="AG127" t="str">
        <f t="shared" si="109"/>
        <v>1+1.95596617665663i</v>
      </c>
      <c r="AH127">
        <f t="shared" si="128"/>
        <v>2.1967711952374001</v>
      </c>
      <c r="AI127">
        <f t="shared" si="129"/>
        <v>1.0981842938897486</v>
      </c>
      <c r="AJ127" t="str">
        <f t="shared" si="110"/>
        <v>1+0.0127158609633497i</v>
      </c>
      <c r="AK127">
        <f t="shared" si="130"/>
        <v>1.0000808432922006</v>
      </c>
      <c r="AL127">
        <f t="shared" si="131"/>
        <v>1.2715175674088024E-2</v>
      </c>
      <c r="AM127" t="str">
        <f t="shared" si="111"/>
        <v>1-0.0126320100760255i</v>
      </c>
      <c r="AN127">
        <f t="shared" si="132"/>
        <v>1.0000797806568038</v>
      </c>
      <c r="AO127">
        <f t="shared" si="133"/>
        <v>-1.2631338253503894E-2</v>
      </c>
      <c r="AP127" s="41" t="str">
        <f t="shared" si="134"/>
        <v>51.2173474363303-100.158680976279i</v>
      </c>
      <c r="AQ127">
        <f t="shared" si="135"/>
        <v>41.022613963271851</v>
      </c>
      <c r="AR127" s="43">
        <f t="shared" si="136"/>
        <v>-62.916521637072378</v>
      </c>
      <c r="AS127" t="str">
        <f t="shared" si="112"/>
        <v>-0.0000166666666666667</v>
      </c>
      <c r="AT127" t="str">
        <f t="shared" si="113"/>
        <v>2.62820226598108E-06i</v>
      </c>
      <c r="AU127">
        <f t="shared" si="137"/>
        <v>2.6282022659810799E-6</v>
      </c>
      <c r="AV127">
        <f t="shared" si="138"/>
        <v>1.5707963267948966</v>
      </c>
      <c r="AW127" t="str">
        <f t="shared" si="114"/>
        <v>1+0.00267094465577386i</v>
      </c>
      <c r="AX127">
        <f t="shared" si="139"/>
        <v>1.0000035669663154</v>
      </c>
      <c r="AY127">
        <f t="shared" si="140"/>
        <v>2.6709383043433069E-3</v>
      </c>
      <c r="AZ127" t="str">
        <f t="shared" si="115"/>
        <v>1+0.0908121182963111i</v>
      </c>
      <c r="BA127">
        <f t="shared" si="141"/>
        <v>1.0041149539915553</v>
      </c>
      <c r="BB127">
        <f t="shared" si="142"/>
        <v>9.0563708604812623E-2</v>
      </c>
      <c r="BC127" s="41" t="str">
        <f t="shared" si="143"/>
        <v>-0.558940649226154+6.34296322029748i</v>
      </c>
      <c r="BD127">
        <f t="shared" si="144"/>
        <v>16.079437001035856</v>
      </c>
      <c r="BE127" s="43">
        <f t="shared" si="145"/>
        <v>95.03588478792966</v>
      </c>
      <c r="BF127" s="41" t="str">
        <f t="shared" si="146"/>
        <v>44.6501675392753+17.3505090724852i</v>
      </c>
      <c r="BG127" s="20">
        <f t="shared" si="147"/>
        <v>33.607216811904479</v>
      </c>
      <c r="BH127" s="43">
        <f t="shared" si="148"/>
        <v>21.235517643198051</v>
      </c>
      <c r="BI127" s="41" t="str">
        <f t="shared" si="152"/>
        <v>606.675372198343+380.852509200357i</v>
      </c>
      <c r="BJ127" s="20">
        <f t="shared" si="149"/>
        <v>57.102050964307708</v>
      </c>
      <c r="BK127" s="43">
        <f t="shared" si="153"/>
        <v>32.119363150857261</v>
      </c>
      <c r="BL127">
        <f t="shared" si="150"/>
        <v>33.607216811904479</v>
      </c>
      <c r="BM127" s="43">
        <f t="shared" si="151"/>
        <v>21.235517643198051</v>
      </c>
    </row>
    <row r="128" spans="14:65" x14ac:dyDescent="0.25">
      <c r="N128" s="9">
        <v>10</v>
      </c>
      <c r="O128" s="34">
        <f t="shared" si="154"/>
        <v>125.89254117941677</v>
      </c>
      <c r="P128" s="33" t="str">
        <f t="shared" si="103"/>
        <v>16.5157725627975</v>
      </c>
      <c r="Q128" s="4" t="str">
        <f t="shared" si="104"/>
        <v>1+2.04670554037296i</v>
      </c>
      <c r="R128" s="4">
        <f t="shared" si="117"/>
        <v>2.2779384471476329</v>
      </c>
      <c r="S128" s="4">
        <f t="shared" si="118"/>
        <v>1.1163182567568177</v>
      </c>
      <c r="T128" s="4" t="str">
        <f t="shared" si="105"/>
        <v>1+0.0130120514146121i</v>
      </c>
      <c r="U128" s="4">
        <f t="shared" si="119"/>
        <v>1.0000846531579297</v>
      </c>
      <c r="V128" s="4">
        <f t="shared" si="120"/>
        <v>1.3011317117295456E-2</v>
      </c>
      <c r="W128" t="str">
        <f t="shared" si="106"/>
        <v>1-0.197751541255503i</v>
      </c>
      <c r="X128" s="4">
        <f t="shared" si="121"/>
        <v>1.0193653280688562</v>
      </c>
      <c r="Y128" s="4">
        <f t="shared" si="122"/>
        <v>-0.19523264842518726</v>
      </c>
      <c r="Z128" t="str">
        <f t="shared" si="107"/>
        <v>0.999999672542729+0.00276852157757704i</v>
      </c>
      <c r="AA128" s="4">
        <f t="shared" si="123"/>
        <v>1.0000035048925033</v>
      </c>
      <c r="AB128" s="4">
        <f t="shared" si="124"/>
        <v>2.7685154108688381E-3</v>
      </c>
      <c r="AC128" s="47" t="str">
        <f t="shared" si="125"/>
        <v>1.96785149381436-7.12454717287676i</v>
      </c>
      <c r="AD128" s="20">
        <f t="shared" si="126"/>
        <v>17.374440146779317</v>
      </c>
      <c r="AE128" s="43">
        <f t="shared" si="127"/>
        <v>-74.559462175324128</v>
      </c>
      <c r="AF128" t="str">
        <f t="shared" si="108"/>
        <v>247.084651286898</v>
      </c>
      <c r="AG128" t="str">
        <f t="shared" si="109"/>
        <v>1+2.00152648171091i</v>
      </c>
      <c r="AH128">
        <f t="shared" si="128"/>
        <v>2.2374334083923153</v>
      </c>
      <c r="AI128">
        <f t="shared" si="129"/>
        <v>1.1074538278288437</v>
      </c>
      <c r="AJ128" t="str">
        <f t="shared" si="110"/>
        <v>1+0.0130120514146121i</v>
      </c>
      <c r="AK128">
        <f t="shared" si="130"/>
        <v>1.0000846531579297</v>
      </c>
      <c r="AL128">
        <f t="shared" si="131"/>
        <v>1.3011317117295456E-2</v>
      </c>
      <c r="AM128" t="str">
        <f t="shared" si="111"/>
        <v>1-0.0129262473892168i</v>
      </c>
      <c r="AN128">
        <f t="shared" si="132"/>
        <v>1.0000835404462805</v>
      </c>
      <c r="AO128">
        <f t="shared" si="133"/>
        <v>-1.29255275216629E-2</v>
      </c>
      <c r="AP128" s="41" t="str">
        <f t="shared" si="134"/>
        <v>49.3734117547091-98.8009902617733i</v>
      </c>
      <c r="AQ128">
        <f t="shared" si="135"/>
        <v>40.863373843678033</v>
      </c>
      <c r="AR128" s="43">
        <f t="shared" si="136"/>
        <v>-63.447514958444607</v>
      </c>
      <c r="AS128" t="str">
        <f t="shared" si="112"/>
        <v>-0.0000166666666666667</v>
      </c>
      <c r="AT128" t="str">
        <f t="shared" si="113"/>
        <v>2.68942096107484E-06i</v>
      </c>
      <c r="AU128">
        <f t="shared" si="137"/>
        <v>2.6894209610748402E-6</v>
      </c>
      <c r="AV128">
        <f t="shared" si="138"/>
        <v>1.5707963267948966</v>
      </c>
      <c r="AW128" t="str">
        <f t="shared" si="114"/>
        <v>1+0.00273315894902312i</v>
      </c>
      <c r="AX128">
        <f t="shared" si="139"/>
        <v>1.0000037350719448</v>
      </c>
      <c r="AY128">
        <f t="shared" si="140"/>
        <v>2.7331521433440393E-3</v>
      </c>
      <c r="AZ128" t="str">
        <f t="shared" si="115"/>
        <v>1+0.0929274042667859i</v>
      </c>
      <c r="BA128">
        <f t="shared" si="141"/>
        <v>1.0043084697759761</v>
      </c>
      <c r="BB128">
        <f t="shared" si="142"/>
        <v>9.2661290120106557E-2</v>
      </c>
      <c r="BC128" s="41" t="str">
        <f t="shared" si="143"/>
        <v>-0.558940461304733+6.19864850615461i</v>
      </c>
      <c r="BD128">
        <f t="shared" si="144"/>
        <v>15.881109348052615</v>
      </c>
      <c r="BE128" s="43">
        <f t="shared" si="145"/>
        <v>95.152502765538642</v>
      </c>
      <c r="BF128" s="41" t="str">
        <f t="shared" si="146"/>
        <v>43.0626518684488+16.1802174058616i</v>
      </c>
      <c r="BG128" s="20">
        <f t="shared" si="147"/>
        <v>33.255549494831939</v>
      </c>
      <c r="BH128" s="43">
        <f t="shared" si="148"/>
        <v>20.593040590214553</v>
      </c>
      <c r="BI128" s="41" t="str">
        <f t="shared" si="152"/>
        <v>584.835813150372+361.272296091364i</v>
      </c>
      <c r="BJ128" s="20">
        <f t="shared" si="149"/>
        <v>56.744483191730659</v>
      </c>
      <c r="BK128" s="43">
        <f t="shared" si="153"/>
        <v>31.704987807094017</v>
      </c>
      <c r="BL128">
        <f t="shared" si="150"/>
        <v>33.255549494831939</v>
      </c>
      <c r="BM128" s="43">
        <f t="shared" si="151"/>
        <v>20.593040590214553</v>
      </c>
    </row>
    <row r="129" spans="14:65" x14ac:dyDescent="0.25">
      <c r="N129" s="9">
        <v>11</v>
      </c>
      <c r="O129" s="34">
        <f t="shared" si="154"/>
        <v>128.82495516931343</v>
      </c>
      <c r="P129" s="33" t="str">
        <f t="shared" si="103"/>
        <v>16.5157725627975</v>
      </c>
      <c r="Q129" s="4" t="str">
        <f t="shared" si="104"/>
        <v>1+2.09437943672584i</v>
      </c>
      <c r="R129" s="4">
        <f t="shared" si="117"/>
        <v>2.3208673432533895</v>
      </c>
      <c r="S129" s="4">
        <f t="shared" si="118"/>
        <v>1.125335924541329</v>
      </c>
      <c r="T129" s="4" t="str">
        <f t="shared" si="105"/>
        <v>1+0.0133151410277694i</v>
      </c>
      <c r="U129" s="4">
        <f t="shared" si="119"/>
        <v>1.000088642561543</v>
      </c>
      <c r="V129" s="4">
        <f t="shared" si="120"/>
        <v>1.3314354217785309E-2</v>
      </c>
      <c r="W129" t="str">
        <f t="shared" si="106"/>
        <v>1-0.202357766379475i</v>
      </c>
      <c r="X129" s="4">
        <f t="shared" si="121"/>
        <v>1.0202689182828664</v>
      </c>
      <c r="Y129" s="4">
        <f t="shared" si="122"/>
        <v>-0.19966161156109546</v>
      </c>
      <c r="Z129" t="str">
        <f t="shared" si="107"/>
        <v>0.999999657110143+0.00283300872931264i</v>
      </c>
      <c r="AA129" s="4">
        <f t="shared" si="123"/>
        <v>1.0000036700726973</v>
      </c>
      <c r="AB129" s="4">
        <f t="shared" si="124"/>
        <v>2.8330021215670596E-3</v>
      </c>
      <c r="AC129" s="47" t="str">
        <f t="shared" si="125"/>
        <v>1.84056262021843-7.02391257473252i</v>
      </c>
      <c r="AD129" s="20">
        <f t="shared" si="126"/>
        <v>17.220002674988706</v>
      </c>
      <c r="AE129" s="43">
        <f t="shared" si="127"/>
        <v>-75.316229445197976</v>
      </c>
      <c r="AF129" t="str">
        <f t="shared" si="108"/>
        <v>247.084651286898</v>
      </c>
      <c r="AG129" t="str">
        <f t="shared" si="109"/>
        <v>1+2.04814802259913i</v>
      </c>
      <c r="AH129">
        <f t="shared" si="128"/>
        <v>2.2792345913654275</v>
      </c>
      <c r="AI129">
        <f t="shared" si="129"/>
        <v>1.1165960869648066</v>
      </c>
      <c r="AJ129" t="str">
        <f t="shared" si="110"/>
        <v>1+0.0133151410277694i</v>
      </c>
      <c r="AK129">
        <f t="shared" si="130"/>
        <v>1.000088642561543</v>
      </c>
      <c r="AL129">
        <f t="shared" si="131"/>
        <v>1.3314354217785309E-2</v>
      </c>
      <c r="AM129" t="str">
        <f t="shared" si="111"/>
        <v>1-0.0132273383698729i</v>
      </c>
      <c r="AN129">
        <f t="shared" si="132"/>
        <v>1.0000874774140265</v>
      </c>
      <c r="AO129">
        <f t="shared" si="133"/>
        <v>-1.3226567021535613E-2</v>
      </c>
      <c r="AP129" s="41" t="str">
        <f t="shared" si="134"/>
        <v>47.5797631498082-97.4287031219062i</v>
      </c>
      <c r="AQ129">
        <f t="shared" si="135"/>
        <v>40.702664505997248</v>
      </c>
      <c r="AR129" s="43">
        <f t="shared" si="136"/>
        <v>-63.971213368065662</v>
      </c>
      <c r="AS129" t="str">
        <f t="shared" si="112"/>
        <v>-0.0000166666666666667</v>
      </c>
      <c r="AT129" t="str">
        <f t="shared" si="113"/>
        <v>2.75206562276086E-06i</v>
      </c>
      <c r="AU129">
        <f t="shared" si="137"/>
        <v>2.7520656227608599E-6</v>
      </c>
      <c r="AV129">
        <f t="shared" si="138"/>
        <v>1.5707963267948966</v>
      </c>
      <c r="AW129" t="str">
        <f t="shared" si="114"/>
        <v>1+0.00279682239932479i</v>
      </c>
      <c r="AX129">
        <f t="shared" si="139"/>
        <v>1.0000039111001182</v>
      </c>
      <c r="AY129">
        <f t="shared" si="140"/>
        <v>2.7968151069098102E-3</v>
      </c>
      <c r="AZ129" t="str">
        <f t="shared" si="115"/>
        <v>1+0.0950919615770427i</v>
      </c>
      <c r="BA129">
        <f t="shared" si="141"/>
        <v>1.0045110657213139</v>
      </c>
      <c r="BB129">
        <f t="shared" si="142"/>
        <v>9.4806884246271553E-2</v>
      </c>
      <c r="BC129" s="41" t="str">
        <f t="shared" si="143"/>
        <v>-0.558940264526981+6.05762039745011i</v>
      </c>
      <c r="BD129">
        <f t="shared" si="144"/>
        <v>15.682859819211854</v>
      </c>
      <c r="BE129" s="43">
        <f t="shared" si="145"/>
        <v>95.271788634392323</v>
      </c>
      <c r="BF129" s="41" t="str">
        <f t="shared" si="146"/>
        <v>41.5194315247827+15.0753772235548i</v>
      </c>
      <c r="BG129" s="20">
        <f t="shared" si="147"/>
        <v>32.902862494200569</v>
      </c>
      <c r="BH129" s="43">
        <f t="shared" si="148"/>
        <v>19.955559189194386</v>
      </c>
      <c r="BI129" s="41" t="str">
        <f t="shared" si="152"/>
        <v>563.591853927285+342.676968857602i</v>
      </c>
      <c r="BJ129" s="20">
        <f t="shared" si="149"/>
        <v>56.385524325209104</v>
      </c>
      <c r="BK129" s="43">
        <f t="shared" si="153"/>
        <v>31.300575266326668</v>
      </c>
      <c r="BL129">
        <f t="shared" si="150"/>
        <v>32.902862494200569</v>
      </c>
      <c r="BM129" s="43">
        <f t="shared" si="151"/>
        <v>19.955559189194386</v>
      </c>
    </row>
    <row r="130" spans="14:65" x14ac:dyDescent="0.25">
      <c r="N130" s="9">
        <v>12</v>
      </c>
      <c r="O130" s="34">
        <f t="shared" si="154"/>
        <v>131.82567385564084</v>
      </c>
      <c r="P130" s="33" t="str">
        <f t="shared" si="103"/>
        <v>16.5157725627975</v>
      </c>
      <c r="Q130" s="4" t="str">
        <f t="shared" si="104"/>
        <v>1+2.14316380077847i</v>
      </c>
      <c r="R130" s="4">
        <f t="shared" si="117"/>
        <v>2.3649843714002041</v>
      </c>
      <c r="S130" s="4">
        <f t="shared" si="118"/>
        <v>1.134224000822708</v>
      </c>
      <c r="T130" s="4" t="str">
        <f t="shared" si="105"/>
        <v>1+0.0136252905049464i</v>
      </c>
      <c r="U130" s="4">
        <f t="shared" si="119"/>
        <v>1.0000928199628993</v>
      </c>
      <c r="V130" s="4">
        <f t="shared" si="120"/>
        <v>1.3624447427084902E-2</v>
      </c>
      <c r="W130" t="str">
        <f t="shared" si="106"/>
        <v>1-0.207071284269703i</v>
      </c>
      <c r="X130" s="4">
        <f t="shared" si="121"/>
        <v>1.0212142364700485</v>
      </c>
      <c r="Y130" s="4">
        <f t="shared" si="122"/>
        <v>-0.20418553372620782</v>
      </c>
      <c r="Z130" t="str">
        <f t="shared" si="107"/>
        <v>0.999999640950242+0.00289899797977584i</v>
      </c>
      <c r="AA130" s="4">
        <f t="shared" si="123"/>
        <v>1.0000038430375655</v>
      </c>
      <c r="AB130" s="4">
        <f t="shared" si="124"/>
        <v>2.8989908994503525E-3</v>
      </c>
      <c r="AC130" s="47" t="str">
        <f t="shared" si="125"/>
        <v>1.71690569475815-6.92250837617094i</v>
      </c>
      <c r="AD130" s="20">
        <f t="shared" si="126"/>
        <v>17.064522387366598</v>
      </c>
      <c r="AE130" s="43">
        <f t="shared" si="127"/>
        <v>-76.070694197337318</v>
      </c>
      <c r="AF130" t="str">
        <f t="shared" si="108"/>
        <v>247.084651286898</v>
      </c>
      <c r="AG130" t="str">
        <f t="shared" si="109"/>
        <v>1+2.09585551867937i</v>
      </c>
      <c r="AH130">
        <f t="shared" si="128"/>
        <v>2.3221994649854629</v>
      </c>
      <c r="AI130">
        <f t="shared" si="129"/>
        <v>1.1256098047422085</v>
      </c>
      <c r="AJ130" t="str">
        <f t="shared" si="110"/>
        <v>1+0.0136252905049464i</v>
      </c>
      <c r="AK130">
        <f t="shared" si="130"/>
        <v>1.0000928199628993</v>
      </c>
      <c r="AL130">
        <f t="shared" si="131"/>
        <v>1.3624447427084902E-2</v>
      </c>
      <c r="AM130" t="str">
        <f t="shared" si="111"/>
        <v>1-0.0135354426604173i</v>
      </c>
      <c r="AN130">
        <f t="shared" si="132"/>
        <v>1.0000915999087352</v>
      </c>
      <c r="AO130">
        <f t="shared" si="133"/>
        <v>-1.3534616149871347E-2</v>
      </c>
      <c r="AP130" s="41" t="str">
        <f t="shared" si="134"/>
        <v>45.8361964747325-96.0438453135056i</v>
      </c>
      <c r="AQ130">
        <f t="shared" si="135"/>
        <v>40.540526727331347</v>
      </c>
      <c r="AR130" s="43">
        <f t="shared" si="136"/>
        <v>-64.487544237220604</v>
      </c>
      <c r="AS130" t="str">
        <f t="shared" si="112"/>
        <v>-0.0000166666666666667</v>
      </c>
      <c r="AT130" t="str">
        <f t="shared" si="113"/>
        <v>2.81616946606796E-06i</v>
      </c>
      <c r="AU130">
        <f t="shared" si="137"/>
        <v>2.8161694660679598E-6</v>
      </c>
      <c r="AV130">
        <f t="shared" si="138"/>
        <v>1.5707963267948966</v>
      </c>
      <c r="AW130" t="str">
        <f t="shared" si="114"/>
        <v>1+0.0028619687618829i</v>
      </c>
      <c r="AX130">
        <f t="shared" si="139"/>
        <v>1.0000040954242109</v>
      </c>
      <c r="AY130">
        <f t="shared" si="140"/>
        <v>2.8619609479211957E-3</v>
      </c>
      <c r="AZ130" t="str">
        <f t="shared" si="115"/>
        <v>1+0.0973069379040187i</v>
      </c>
      <c r="BA130">
        <f t="shared" si="141"/>
        <v>1.0047231659339086</v>
      </c>
      <c r="BB130">
        <f t="shared" si="142"/>
        <v>9.7001549542924073E-2</v>
      </c>
      <c r="BC130" s="41" t="str">
        <f t="shared" si="143"/>
        <v>-0.558940058475531+5.91980411921055i</v>
      </c>
      <c r="BD130">
        <f t="shared" si="144"/>
        <v>15.484692030322229</v>
      </c>
      <c r="BE130" s="43">
        <f t="shared" si="145"/>
        <v>95.393801111591557</v>
      </c>
      <c r="BF130" s="41" t="str">
        <f t="shared" si="146"/>
        <v>40.0202462311012+14.0330126406997i</v>
      </c>
      <c r="BG130" s="20">
        <f t="shared" si="147"/>
        <v>32.54921441768883</v>
      </c>
      <c r="BH130" s="43">
        <f t="shared" si="148"/>
        <v>19.32310691425425</v>
      </c>
      <c r="BI130" s="41" t="str">
        <f t="shared" si="152"/>
        <v>542.941064773828+325.024057215811i</v>
      </c>
      <c r="BJ130" s="20">
        <f t="shared" si="149"/>
        <v>56.025218757653562</v>
      </c>
      <c r="BK130" s="43">
        <f t="shared" si="153"/>
        <v>30.906256874370953</v>
      </c>
      <c r="BL130">
        <f t="shared" si="150"/>
        <v>32.54921441768883</v>
      </c>
      <c r="BM130" s="43">
        <f t="shared" si="151"/>
        <v>19.32310691425425</v>
      </c>
    </row>
    <row r="131" spans="14:65" x14ac:dyDescent="0.25">
      <c r="N131" s="9">
        <v>13</v>
      </c>
      <c r="O131" s="34">
        <f t="shared" si="154"/>
        <v>134.89628825916537</v>
      </c>
      <c r="P131" s="33" t="str">
        <f t="shared" si="103"/>
        <v>16.5157725627975</v>
      </c>
      <c r="Q131" s="4" t="str">
        <f t="shared" si="104"/>
        <v>1+2.19308449864639i</v>
      </c>
      <c r="R131" s="4">
        <f t="shared" si="117"/>
        <v>2.4103152528669538</v>
      </c>
      <c r="S131" s="4">
        <f t="shared" si="118"/>
        <v>1.1429815800544847</v>
      </c>
      <c r="T131" s="4" t="str">
        <f t="shared" si="105"/>
        <v>1+0.0139426642915012i</v>
      </c>
      <c r="U131" s="4">
        <f t="shared" si="119"/>
        <v>1.0000971942204147</v>
      </c>
      <c r="V131" s="4">
        <f t="shared" si="120"/>
        <v>1.3941760922038388E-2</v>
      </c>
      <c r="W131" t="str">
        <f t="shared" si="106"/>
        <v>1-0.211894594095763i</v>
      </c>
      <c r="X131" s="4">
        <f t="shared" si="121"/>
        <v>1.0222031691434967</v>
      </c>
      <c r="Y131" s="4">
        <f t="shared" si="122"/>
        <v>-0.20880607252618014</v>
      </c>
      <c r="Z131" t="str">
        <f t="shared" si="107"/>
        <v>0.999999624028748+0.00296652431734067i</v>
      </c>
      <c r="AA131" s="4">
        <f t="shared" si="123"/>
        <v>1.0000040241539845</v>
      </c>
      <c r="AB131" s="4">
        <f t="shared" si="124"/>
        <v>2.9665167306368685E-3</v>
      </c>
      <c r="AC131" s="47" t="str">
        <f t="shared" si="125"/>
        <v>1.59685297206706-6.82047380250268i</v>
      </c>
      <c r="AD131" s="20">
        <f t="shared" si="126"/>
        <v>16.908054576412628</v>
      </c>
      <c r="AE131" s="43">
        <f t="shared" si="127"/>
        <v>-76.822892119476137</v>
      </c>
      <c r="AF131" t="str">
        <f t="shared" si="108"/>
        <v>247.084651286898</v>
      </c>
      <c r="AG131" t="str">
        <f t="shared" si="109"/>
        <v>1+2.14467426509754i</v>
      </c>
      <c r="AH131">
        <f t="shared" si="128"/>
        <v>2.3663532499125468</v>
      </c>
      <c r="AI131">
        <f t="shared" si="129"/>
        <v>1.1344939006607955</v>
      </c>
      <c r="AJ131" t="str">
        <f t="shared" si="110"/>
        <v>1+0.0139426642915012i</v>
      </c>
      <c r="AK131">
        <f t="shared" si="130"/>
        <v>1.0000971942204147</v>
      </c>
      <c r="AL131">
        <f t="shared" si="131"/>
        <v>1.3941760922038388E-2</v>
      </c>
      <c r="AM131" t="str">
        <f t="shared" si="111"/>
        <v>1-0.013850723621823i</v>
      </c>
      <c r="AN131">
        <f t="shared" si="132"/>
        <v>1.0000959166724201</v>
      </c>
      <c r="AO131">
        <f t="shared" si="133"/>
        <v>-1.3849838004404359E-2</v>
      </c>
      <c r="AP131" s="41" t="str">
        <f t="shared" si="134"/>
        <v>44.1424146779403-94.648383630736i</v>
      </c>
      <c r="AQ131">
        <f t="shared" si="135"/>
        <v>40.37700108797938</v>
      </c>
      <c r="AR131" s="43">
        <f t="shared" si="136"/>
        <v>-64.996445595976709</v>
      </c>
      <c r="AS131" t="str">
        <f t="shared" si="112"/>
        <v>-0.0000166666666666667</v>
      </c>
      <c r="AT131" t="str">
        <f t="shared" si="113"/>
        <v>2.88176647970237E-06i</v>
      </c>
      <c r="AU131">
        <f t="shared" si="137"/>
        <v>2.88176647970237E-6</v>
      </c>
      <c r="AV131">
        <f t="shared" si="138"/>
        <v>1.5707963267948966</v>
      </c>
      <c r="AW131" t="str">
        <f t="shared" si="114"/>
        <v>1+0.0029286325781612i</v>
      </c>
      <c r="AX131">
        <f t="shared" si="139"/>
        <v>1.0000042884351936</v>
      </c>
      <c r="AY131">
        <f t="shared" si="140"/>
        <v>2.9286242053523227E-3</v>
      </c>
      <c r="AZ131" t="str">
        <f t="shared" si="115"/>
        <v>1+0.0995735076574807i</v>
      </c>
      <c r="BA131">
        <f t="shared" si="141"/>
        <v>1.0049452141421513</v>
      </c>
      <c r="BB131">
        <f t="shared" si="142"/>
        <v>9.9246365038286641E-2</v>
      </c>
      <c r="BC131" s="41" t="str">
        <f t="shared" si="143"/>
        <v>-0.558939842713338+5.78512659941726i</v>
      </c>
      <c r="BD131">
        <f t="shared" si="144"/>
        <v>15.286609761315725</v>
      </c>
      <c r="BE131" s="43">
        <f t="shared" si="145"/>
        <v>95.518600041962017</v>
      </c>
      <c r="BF131" s="41" t="str">
        <f t="shared" si="146"/>
        <v>38.5647596664434+13.0502311584649i</v>
      </c>
      <c r="BG131" s="20">
        <f t="shared" si="147"/>
        <v>32.194664337728362</v>
      </c>
      <c r="BH131" s="43">
        <f t="shared" si="148"/>
        <v>18.695707922485798</v>
      </c>
      <c r="BI131" s="41" t="str">
        <f t="shared" si="152"/>
        <v>522.879927416945+308.272209975495i</v>
      </c>
      <c r="BJ131" s="20">
        <f t="shared" si="149"/>
        <v>55.663610849295104</v>
      </c>
      <c r="BK131" s="43">
        <f t="shared" si="153"/>
        <v>30.52215444598535</v>
      </c>
      <c r="BL131">
        <f t="shared" si="150"/>
        <v>32.194664337728362</v>
      </c>
      <c r="BM131" s="43">
        <f t="shared" si="151"/>
        <v>18.695707922485798</v>
      </c>
    </row>
    <row r="132" spans="14:65" x14ac:dyDescent="0.25">
      <c r="N132" s="9">
        <v>14</v>
      </c>
      <c r="O132" s="34">
        <f t="shared" si="154"/>
        <v>138.0384264602886</v>
      </c>
      <c r="P132" s="33" t="str">
        <f t="shared" si="103"/>
        <v>16.5157725627975</v>
      </c>
      <c r="Q132" s="4" t="str">
        <f t="shared" si="104"/>
        <v>1+2.2441679989444i</v>
      </c>
      <c r="R132" s="4">
        <f t="shared" si="117"/>
        <v>2.4568862422762097</v>
      </c>
      <c r="S132" s="4">
        <f t="shared" si="118"/>
        <v>1.1516079312817664</v>
      </c>
      <c r="T132" s="4" t="str">
        <f t="shared" si="105"/>
        <v>1+0.0142674306632163i</v>
      </c>
      <c r="U132" s="4">
        <f t="shared" si="119"/>
        <v>1.0001017746098293</v>
      </c>
      <c r="V132" s="4">
        <f t="shared" si="120"/>
        <v>1.4266462690717231E-2</v>
      </c>
      <c r="W132" t="str">
        <f t="shared" si="106"/>
        <v>1-0.216830253240369i</v>
      </c>
      <c r="X132" s="4">
        <f t="shared" si="121"/>
        <v>1.0232376843726401</v>
      </c>
      <c r="Y132" s="4">
        <f t="shared" si="122"/>
        <v>-0.21352488829771252</v>
      </c>
      <c r="Z132" t="str">
        <f t="shared" si="107"/>
        <v>0.999999606309769+0.00303562354536516i</v>
      </c>
      <c r="AA132" s="4">
        <f t="shared" si="123"/>
        <v>1.0000042138061229</v>
      </c>
      <c r="AB132" s="4">
        <f t="shared" si="124"/>
        <v>3.0356154160674186E-3</v>
      </c>
      <c r="AC132" s="47" t="str">
        <f t="shared" si="125"/>
        <v>1.48037088184228-6.71794330011457i</v>
      </c>
      <c r="AD132" s="20">
        <f t="shared" si="126"/>
        <v>16.750654785412276</v>
      </c>
      <c r="AE132" s="43">
        <f t="shared" si="127"/>
        <v>-77.572868887504853</v>
      </c>
      <c r="AF132" t="str">
        <f t="shared" si="108"/>
        <v>247.084651286898</v>
      </c>
      <c r="AG132" t="str">
        <f t="shared" si="109"/>
        <v>1+2.1946301461992i</v>
      </c>
      <c r="AH132">
        <f t="shared" si="128"/>
        <v>2.4117216834880266</v>
      </c>
      <c r="AI132">
        <f t="shared" si="129"/>
        <v>1.1432474746062196</v>
      </c>
      <c r="AJ132" t="str">
        <f t="shared" si="110"/>
        <v>1+0.0142674306632163i</v>
      </c>
      <c r="AK132">
        <f t="shared" si="130"/>
        <v>1.0001017746098293</v>
      </c>
      <c r="AL132">
        <f t="shared" si="131"/>
        <v>1.4266462690717231E-2</v>
      </c>
      <c r="AM132" t="str">
        <f t="shared" si="111"/>
        <v>1-0.014173348420229i</v>
      </c>
      <c r="AN132">
        <f t="shared" si="132"/>
        <v>1.0001004368589392</v>
      </c>
      <c r="AO132">
        <f t="shared" si="133"/>
        <v>-1.4172399469214876E-2</v>
      </c>
      <c r="AP132" s="41" t="str">
        <f t="shared" si="134"/>
        <v>42.4980349038199-93.2442222759483i</v>
      </c>
      <c r="AQ132">
        <f t="shared" si="135"/>
        <v>40.212127899828765</v>
      </c>
      <c r="AR132" s="43">
        <f t="shared" si="136"/>
        <v>-65.497865808326679</v>
      </c>
      <c r="AS132" t="str">
        <f t="shared" si="112"/>
        <v>-0.0000166666666666667</v>
      </c>
      <c r="AT132" t="str">
        <f t="shared" si="113"/>
        <v>2.94889144406902E-06i</v>
      </c>
      <c r="AU132">
        <f t="shared" si="137"/>
        <v>2.9488914440690202E-6</v>
      </c>
      <c r="AV132">
        <f t="shared" si="138"/>
        <v>1.5707963267948966</v>
      </c>
      <c r="AW132" t="str">
        <f t="shared" si="114"/>
        <v>1+0.00299684919419747i</v>
      </c>
      <c r="AX132">
        <f t="shared" si="139"/>
        <v>1.0000044905424639</v>
      </c>
      <c r="AY132">
        <f t="shared" si="140"/>
        <v>2.996840222573295E-3</v>
      </c>
      <c r="AZ132" t="str">
        <f t="shared" si="115"/>
        <v>1+0.101892872602714i</v>
      </c>
      <c r="BA132">
        <f t="shared" si="141"/>
        <v>1.0051776745865544</v>
      </c>
      <c r="BB132">
        <f t="shared" si="142"/>
        <v>0.10154243041700763</v>
      </c>
      <c r="BC132" s="41" t="str">
        <f t="shared" si="143"/>
        <v>-0.558939616782761+5.6535164302626i</v>
      </c>
      <c r="BD132">
        <f t="shared" si="144"/>
        <v>15.088616963389423</v>
      </c>
      <c r="BE132" s="43">
        <f t="shared" si="145"/>
        <v>95.646246407766867</v>
      </c>
      <c r="BF132" s="41" t="str">
        <f t="shared" si="146"/>
        <v>37.152564891377+12.124225757112i</v>
      </c>
      <c r="BG132" s="20">
        <f t="shared" si="147"/>
        <v>31.8392717488017</v>
      </c>
      <c r="BH132" s="43">
        <f t="shared" si="148"/>
        <v>18.073377520261978</v>
      </c>
      <c r="BI132" s="41" t="str">
        <f t="shared" si="152"/>
        <v>503.40390732097+292.381228448744i</v>
      </c>
      <c r="BJ132" s="20">
        <f t="shared" si="149"/>
        <v>55.300744863218185</v>
      </c>
      <c r="BK132" s="43">
        <f t="shared" si="153"/>
        <v>30.148380599440159</v>
      </c>
      <c r="BL132">
        <f t="shared" si="150"/>
        <v>31.8392717488017</v>
      </c>
      <c r="BM132" s="43">
        <f t="shared" si="151"/>
        <v>18.073377520261978</v>
      </c>
    </row>
    <row r="133" spans="14:65" x14ac:dyDescent="0.25">
      <c r="N133" s="9">
        <v>15</v>
      </c>
      <c r="O133" s="34">
        <f t="shared" si="154"/>
        <v>141.25375446227542</v>
      </c>
      <c r="P133" s="33" t="str">
        <f t="shared" si="103"/>
        <v>16.5157725627975</v>
      </c>
      <c r="Q133" s="4" t="str">
        <f t="shared" si="104"/>
        <v>1+2.29644138682053i</v>
      </c>
      <c r="R133" s="4">
        <f t="shared" si="117"/>
        <v>2.5047241451110338</v>
      </c>
      <c r="S133" s="4">
        <f t="shared" si="118"/>
        <v>1.1601024919056189</v>
      </c>
      <c r="T133" s="4" t="str">
        <f t="shared" si="105"/>
        <v>1+0.0145997618155207i</v>
      </c>
      <c r="U133" s="4">
        <f t="shared" si="119"/>
        <v>1.0001065708438626</v>
      </c>
      <c r="V133" s="4">
        <f t="shared" si="120"/>
        <v>1.4598724620270174E-2</v>
      </c>
      <c r="W133" t="str">
        <f t="shared" si="106"/>
        <v>1-0.22188087865533i</v>
      </c>
      <c r="X133" s="4">
        <f t="shared" si="121"/>
        <v>1.0243198349699478</v>
      </c>
      <c r="Y133" s="4">
        <f t="shared" si="122"/>
        <v>-0.21834364203076884</v>
      </c>
      <c r="Z133" t="str">
        <f t="shared" si="107"/>
        <v>0.99999958775572+0.00310633230117462i</v>
      </c>
      <c r="AA133" s="4">
        <f t="shared" si="123"/>
        <v>1.000004412396253</v>
      </c>
      <c r="AB133" s="4">
        <f t="shared" si="124"/>
        <v>3.1063235904772229E-3</v>
      </c>
      <c r="AC133" s="47" t="str">
        <f t="shared" si="125"/>
        <v>1.36742047560323-6.61504635019867i</v>
      </c>
      <c r="AD133" s="20">
        <f t="shared" si="126"/>
        <v>16.592378763569972</v>
      </c>
      <c r="AE133" s="43">
        <f t="shared" si="127"/>
        <v>-78.3206796852011</v>
      </c>
      <c r="AF133" t="str">
        <f t="shared" si="108"/>
        <v>247.084651286898</v>
      </c>
      <c r="AG133" t="str">
        <f t="shared" si="109"/>
        <v>1+2.24574964925372i</v>
      </c>
      <c r="AH133">
        <f t="shared" si="128"/>
        <v>2.4583310369279414</v>
      </c>
      <c r="AI133">
        <f t="shared" si="129"/>
        <v>1.1518698008685466</v>
      </c>
      <c r="AJ133" t="str">
        <f t="shared" si="110"/>
        <v>1+0.0145997618155207i</v>
      </c>
      <c r="AK133">
        <f t="shared" si="130"/>
        <v>1.0001065708438626</v>
      </c>
      <c r="AL133">
        <f t="shared" si="131"/>
        <v>1.4598724620270174E-2</v>
      </c>
      <c r="AM133" t="str">
        <f t="shared" si="111"/>
        <v>1-0.0145034881155738i</v>
      </c>
      <c r="AN133">
        <f t="shared" si="132"/>
        <v>1.0001051700533892</v>
      </c>
      <c r="AO133">
        <f t="shared" si="133"/>
        <v>-1.45024713020174E-2</v>
      </c>
      <c r="AP133" s="41" t="str">
        <f t="shared" si="134"/>
        <v>40.9025946280536-91.833199785939i</v>
      </c>
      <c r="AQ133">
        <f t="shared" si="135"/>
        <v>40.04594713971747</v>
      </c>
      <c r="AR133" s="43">
        <f t="shared" si="136"/>
        <v>-65.991763229442284</v>
      </c>
      <c r="AS133" t="str">
        <f t="shared" si="112"/>
        <v>-0.0000166666666666667</v>
      </c>
      <c r="AT133" t="str">
        <f t="shared" si="113"/>
        <v>3.01757994971249E-06i</v>
      </c>
      <c r="AU133">
        <f t="shared" si="137"/>
        <v>3.0175799497124899E-6</v>
      </c>
      <c r="AV133">
        <f t="shared" si="138"/>
        <v>1.5707963267948966</v>
      </c>
      <c r="AW133" t="str">
        <f t="shared" si="114"/>
        <v>1+0.0030666547793445i</v>
      </c>
      <c r="AX133">
        <f t="shared" si="139"/>
        <v>1.0000047021747127</v>
      </c>
      <c r="AY133">
        <f t="shared" si="140"/>
        <v>3.0666451660784385E-3</v>
      </c>
      <c r="AZ133" t="str">
        <f t="shared" si="115"/>
        <v>1+0.104266262497713i</v>
      </c>
      <c r="BA133">
        <f t="shared" si="141"/>
        <v>1.0054210329485067</v>
      </c>
      <c r="BB133">
        <f t="shared" si="142"/>
        <v>0.10389086619294992</v>
      </c>
      <c r="BC133" s="41" t="str">
        <f t="shared" si="143"/>
        <v>-0.558939380204606+5.52490383028858i</v>
      </c>
      <c r="BD133">
        <f t="shared" si="144"/>
        <v>14.890717766428466</v>
      </c>
      <c r="BE133" s="43">
        <f t="shared" si="145"/>
        <v>95.776802337533908</v>
      </c>
      <c r="BF133" s="41" t="str">
        <f t="shared" si="146"/>
        <v>35.7831897646364+11.2522765302801i</v>
      </c>
      <c r="BG133" s="20">
        <f t="shared" si="147"/>
        <v>31.483096529998448</v>
      </c>
      <c r="BH133" s="43">
        <f t="shared" si="148"/>
        <v>17.456122652332805</v>
      </c>
      <c r="BI133" s="41" t="str">
        <f t="shared" si="152"/>
        <v>484.507526354826+277.312093499833i</v>
      </c>
      <c r="BJ133" s="20">
        <f t="shared" si="149"/>
        <v>54.936664906145928</v>
      </c>
      <c r="BK133" s="43">
        <f t="shared" si="153"/>
        <v>29.785039108091659</v>
      </c>
      <c r="BL133">
        <f t="shared" si="150"/>
        <v>31.483096529998448</v>
      </c>
      <c r="BM133" s="43">
        <f t="shared" si="151"/>
        <v>17.456122652332805</v>
      </c>
    </row>
    <row r="134" spans="14:65" x14ac:dyDescent="0.25">
      <c r="N134" s="9">
        <v>16</v>
      </c>
      <c r="O134" s="34">
        <f t="shared" si="154"/>
        <v>144.54397707459285</v>
      </c>
      <c r="P134" s="33" t="str">
        <f t="shared" si="103"/>
        <v>16.5157725627975</v>
      </c>
      <c r="Q134" s="4" t="str">
        <f t="shared" si="104"/>
        <v>1+2.34993237831695i</v>
      </c>
      <c r="R134" s="4">
        <f t="shared" si="117"/>
        <v>2.5538563355565556</v>
      </c>
      <c r="S134" s="4">
        <f t="shared" si="118"/>
        <v>1.1684648612333308</v>
      </c>
      <c r="T134" s="4" t="str">
        <f t="shared" si="105"/>
        <v>1+0.0149398339547905i</v>
      </c>
      <c r="U134" s="4">
        <f t="shared" si="119"/>
        <v>1.0001115930927893</v>
      </c>
      <c r="V134" s="4">
        <f t="shared" si="120"/>
        <v>1.493872258675368E-2</v>
      </c>
      <c r="W134" t="str">
        <f t="shared" si="106"/>
        <v>1-0.227049148249096i</v>
      </c>
      <c r="X134" s="4">
        <f t="shared" si="121"/>
        <v>1.0254517617716787</v>
      </c>
      <c r="Y134" s="4">
        <f t="shared" si="122"/>
        <v>-0.22326399313547982</v>
      </c>
      <c r="Z134" t="str">
        <f t="shared" si="107"/>
        <v>0.999999568327246+0.00317868807548734i</v>
      </c>
      <c r="AA134" s="4">
        <f t="shared" si="123"/>
        <v>1.0000046203456059</v>
      </c>
      <c r="AB134" s="4">
        <f t="shared" si="124"/>
        <v>3.1786787418092402E-3</v>
      </c>
      <c r="AC134" s="47" t="str">
        <f t="shared" si="125"/>
        <v>1.25795786967632-6.51190731978504i</v>
      </c>
      <c r="AD134" s="20">
        <f t="shared" si="126"/>
        <v>16.433282426036318</v>
      </c>
      <c r="AE134" s="43">
        <f t="shared" si="127"/>
        <v>-79.066388702705936</v>
      </c>
      <c r="AF134" t="str">
        <f t="shared" si="108"/>
        <v>247.084651286898</v>
      </c>
      <c r="AG134" t="str">
        <f t="shared" si="109"/>
        <v>1+2.2980598784983i</v>
      </c>
      <c r="AH134">
        <f t="shared" si="128"/>
        <v>2.5062081328500274</v>
      </c>
      <c r="AI134">
        <f t="shared" si="129"/>
        <v>1.1603603218994007</v>
      </c>
      <c r="AJ134" t="str">
        <f t="shared" si="110"/>
        <v>1+0.0149398339547905i</v>
      </c>
      <c r="AK134">
        <f t="shared" si="130"/>
        <v>1.0001115930927893</v>
      </c>
      <c r="AL134">
        <f t="shared" si="131"/>
        <v>1.493872258675368E-2</v>
      </c>
      <c r="AM134" t="str">
        <f t="shared" si="111"/>
        <v>1-0.0148413177522939i</v>
      </c>
      <c r="AN134">
        <f t="shared" si="132"/>
        <v>1.0001101262924121</v>
      </c>
      <c r="AO134">
        <f t="shared" si="133"/>
        <v>-1.484022822341791E-2</v>
      </c>
      <c r="AP134" s="41" t="str">
        <f t="shared" si="134"/>
        <v>39.3555577818232-90.4170864927894i</v>
      </c>
      <c r="AQ134">
        <f t="shared" si="135"/>
        <v>39.878498387776979</v>
      </c>
      <c r="AR134" s="43">
        <f t="shared" si="136"/>
        <v>-66.478105847952307</v>
      </c>
      <c r="AS134" t="str">
        <f t="shared" si="112"/>
        <v>-0.0000166666666666667</v>
      </c>
      <c r="AT134" t="str">
        <f t="shared" si="113"/>
        <v>3.08786841618771E-06i</v>
      </c>
      <c r="AU134">
        <f t="shared" si="137"/>
        <v>3.08786841618771E-6</v>
      </c>
      <c r="AV134">
        <f t="shared" si="138"/>
        <v>1.5707963267948966</v>
      </c>
      <c r="AW134" t="str">
        <f t="shared" si="114"/>
        <v>1+0.00313808634544751i</v>
      </c>
      <c r="AX134">
        <f t="shared" si="139"/>
        <v>1.0000049237808339</v>
      </c>
      <c r="AY134">
        <f t="shared" si="140"/>
        <v>3.138076044650078E-3</v>
      </c>
      <c r="AZ134" t="str">
        <f t="shared" si="115"/>
        <v>1+0.106694935745215i</v>
      </c>
      <c r="BA134">
        <f t="shared" si="141"/>
        <v>1.0056757973192332</v>
      </c>
      <c r="BB134">
        <f t="shared" si="142"/>
        <v>0.10629281386536323</v>
      </c>
      <c r="BC134" s="41" t="str">
        <f t="shared" si="143"/>
        <v>-0.558939132477074+5.39922060738771i</v>
      </c>
      <c r="BD134">
        <f t="shared" si="144"/>
        <v>14.69291648671836</v>
      </c>
      <c r="BE134" s="43">
        <f t="shared" si="145"/>
        <v>95.9103311139054</v>
      </c>
      <c r="BF134" s="41" t="str">
        <f t="shared" si="146"/>
        <v>34.4561023140127+10.4317518812737i</v>
      </c>
      <c r="BG134" s="20">
        <f t="shared" si="147"/>
        <v>31.126198912754685</v>
      </c>
      <c r="BH134" s="43">
        <f t="shared" si="148"/>
        <v>16.843942411199457</v>
      </c>
      <c r="BI134" s="41" t="str">
        <f t="shared" si="152"/>
        <v>466.184435327102+263.026986476242i</v>
      </c>
      <c r="BJ134" s="20">
        <f t="shared" si="149"/>
        <v>54.571414874495339</v>
      </c>
      <c r="BK134" s="43">
        <f t="shared" si="153"/>
        <v>29.432225265953093</v>
      </c>
      <c r="BL134">
        <f t="shared" si="150"/>
        <v>31.126198912754685</v>
      </c>
      <c r="BM134" s="43">
        <f t="shared" si="151"/>
        <v>16.843942411199457</v>
      </c>
    </row>
    <row r="135" spans="14:65" x14ac:dyDescent="0.25">
      <c r="N135" s="9">
        <v>17</v>
      </c>
      <c r="O135" s="34">
        <f t="shared" si="154"/>
        <v>147.91083881682084</v>
      </c>
      <c r="P135" s="33" t="str">
        <f t="shared" si="103"/>
        <v>16.5157725627975</v>
      </c>
      <c r="Q135" s="4" t="str">
        <f t="shared" si="104"/>
        <v>1+2.40466933506538i</v>
      </c>
      <c r="R135" s="4">
        <f t="shared" si="117"/>
        <v>2.6043107746587726</v>
      </c>
      <c r="S135" s="4">
        <f t="shared" si="118"/>
        <v>1.1766947938609997</v>
      </c>
      <c r="T135" s="4" t="str">
        <f t="shared" si="105"/>
        <v>1+0.0152878273917752i</v>
      </c>
      <c r="U135" s="4">
        <f t="shared" si="119"/>
        <v>1.0001168520059847</v>
      </c>
      <c r="V135" s="4">
        <f t="shared" si="120"/>
        <v>1.5286636546983041E-2</v>
      </c>
      <c r="W135" t="str">
        <f t="shared" si="106"/>
        <v>1-0.232337802306614i</v>
      </c>
      <c r="X135" s="4">
        <f t="shared" si="121"/>
        <v>1.0266356970126584</v>
      </c>
      <c r="Y135" s="4">
        <f t="shared" si="122"/>
        <v>-0.22828759704720064</v>
      </c>
      <c r="Z135" t="str">
        <f t="shared" si="107"/>
        <v>0.999999547983136+0.0032527292322926i</v>
      </c>
      <c r="AA135" s="4">
        <f t="shared" si="123"/>
        <v>1.0000048380952637</v>
      </c>
      <c r="AB135" s="4">
        <f t="shared" si="124"/>
        <v>3.252719231078934E-3</v>
      </c>
      <c r="AC135" s="47" t="str">
        <f t="shared" si="125"/>
        <v>1.1519346816562-6.40864534815047i</v>
      </c>
      <c r="AD135" s="20">
        <f t="shared" si="126"/>
        <v>16.273421818707504</v>
      </c>
      <c r="AE135" s="43">
        <f t="shared" si="127"/>
        <v>-79.810068616028843</v>
      </c>
      <c r="AF135" t="str">
        <f t="shared" si="108"/>
        <v>247.084651286898</v>
      </c>
      <c r="AG135" t="str">
        <f t="shared" si="109"/>
        <v>1+2.35158856950887i</v>
      </c>
      <c r="AH135">
        <f t="shared" si="128"/>
        <v>2.5553803631249838</v>
      </c>
      <c r="AI135">
        <f t="shared" si="129"/>
        <v>1.1687186418564004</v>
      </c>
      <c r="AJ135" t="str">
        <f t="shared" si="110"/>
        <v>1+0.0152878273917752i</v>
      </c>
      <c r="AK135">
        <f t="shared" si="130"/>
        <v>1.0001168520059847</v>
      </c>
      <c r="AL135">
        <f t="shared" si="131"/>
        <v>1.5286636546983041E-2</v>
      </c>
      <c r="AM135" t="str">
        <f t="shared" si="111"/>
        <v>1-0.0151870164521343i</v>
      </c>
      <c r="AN135">
        <f t="shared" si="132"/>
        <v>1.0001153160854588</v>
      </c>
      <c r="AO135">
        <f t="shared" si="133"/>
        <v>-1.5185849008180097E-2</v>
      </c>
      <c r="AP135" s="41" t="str">
        <f t="shared" si="134"/>
        <v>37.8563208230713-88.9975824953279i</v>
      </c>
      <c r="AQ135">
        <f t="shared" si="135"/>
        <v>39.709820770731056</v>
      </c>
      <c r="AR135" s="43">
        <f t="shared" si="136"/>
        <v>-66.9568709160324</v>
      </c>
      <c r="AS135" t="str">
        <f t="shared" si="112"/>
        <v>-0.0000166666666666667</v>
      </c>
      <c r="AT135" t="str">
        <f t="shared" si="113"/>
        <v>3.15979411136995E-06i</v>
      </c>
      <c r="AU135">
        <f t="shared" si="137"/>
        <v>3.1597941113699498E-6</v>
      </c>
      <c r="AV135">
        <f t="shared" si="138"/>
        <v>1.5707963267948966</v>
      </c>
      <c r="AW135" t="str">
        <f t="shared" si="114"/>
        <v>1+0.00321118176646836i</v>
      </c>
      <c r="AX135">
        <f t="shared" si="139"/>
        <v>1.0000051558308773</v>
      </c>
      <c r="AY135">
        <f t="shared" si="140"/>
        <v>3.2111707289681256E-3</v>
      </c>
      <c r="AZ135" t="str">
        <f t="shared" si="115"/>
        <v>1+0.109180180059924i</v>
      </c>
      <c r="BA135">
        <f t="shared" si="141"/>
        <v>1.0059424992105253</v>
      </c>
      <c r="BB135">
        <f t="shared" si="142"/>
        <v>0.10874943605674371</v>
      </c>
      <c r="BC135" s="41" t="str">
        <f t="shared" si="143"/>
        <v>-0.558938873074743+5.27640012264673i</v>
      </c>
      <c r="BD135">
        <f t="shared" si="144"/>
        <v>14.495217634955132</v>
      </c>
      <c r="BE135" s="43">
        <f t="shared" si="145"/>
        <v>96.046897180413396</v>
      </c>
      <c r="BF135" s="41" t="str">
        <f t="shared" si="146"/>
        <v>33.1707160281599+9.66010930440271i</v>
      </c>
      <c r="BG135" s="20">
        <f t="shared" si="147"/>
        <v>30.768639453662633</v>
      </c>
      <c r="BH135" s="43">
        <f t="shared" si="148"/>
        <v>16.236828564384567</v>
      </c>
      <c r="BI135" s="41" t="str">
        <f t="shared" si="152"/>
        <v>448.427485894007+249.489304300122i</v>
      </c>
      <c r="BJ135" s="20">
        <f t="shared" si="149"/>
        <v>54.205038405686196</v>
      </c>
      <c r="BK135" s="43">
        <f t="shared" si="153"/>
        <v>29.090026264380985</v>
      </c>
      <c r="BL135">
        <f t="shared" si="150"/>
        <v>30.768639453662633</v>
      </c>
      <c r="BM135" s="43">
        <f t="shared" si="151"/>
        <v>16.236828564384567</v>
      </c>
    </row>
    <row r="136" spans="14:65" x14ac:dyDescent="0.25">
      <c r="N136" s="9">
        <v>18</v>
      </c>
      <c r="O136" s="34">
        <f t="shared" si="154"/>
        <v>151.3561248436209</v>
      </c>
      <c r="P136" s="33" t="str">
        <f t="shared" si="103"/>
        <v>16.5157725627975</v>
      </c>
      <c r="Q136" s="4" t="str">
        <f t="shared" si="104"/>
        <v>1+2.46068127932482i</v>
      </c>
      <c r="R136" s="4">
        <f t="shared" si="117"/>
        <v>2.6561160287946066</v>
      </c>
      <c r="S136" s="4">
        <f t="shared" si="118"/>
        <v>1.1847921929323306</v>
      </c>
      <c r="T136" s="4" t="str">
        <f t="shared" si="105"/>
        <v>1+0.0156439266372013i</v>
      </c>
      <c r="U136" s="4">
        <f t="shared" si="119"/>
        <v>1.0001223587344852</v>
      </c>
      <c r="V136" s="4">
        <f t="shared" si="120"/>
        <v>1.5642650632448261E-2</v>
      </c>
      <c r="W136" t="str">
        <f t="shared" si="106"/>
        <v>1-0.237749644942269i</v>
      </c>
      <c r="X136" s="4">
        <f t="shared" si="121"/>
        <v>1.0278739677947755</v>
      </c>
      <c r="Y136" s="4">
        <f t="shared" si="122"/>
        <v>-0.23341610266331489</v>
      </c>
      <c r="Z136" t="str">
        <f t="shared" si="107"/>
        <v>0.999999526680237+0.00332849502919177i</v>
      </c>
      <c r="AA136" s="4">
        <f t="shared" si="123"/>
        <v>1.0000050661070958</v>
      </c>
      <c r="AB136" s="4">
        <f t="shared" si="124"/>
        <v>3.3284843127011784E-3</v>
      </c>
      <c r="AC136" s="47" t="str">
        <f t="shared" si="125"/>
        <v>1.04929845790247-6.30537426652995i</v>
      </c>
      <c r="AD136" s="20">
        <f t="shared" si="126"/>
        <v>16.11285308763923</v>
      </c>
      <c r="AE136" s="43">
        <f t="shared" si="127"/>
        <v>-80.551800049728712</v>
      </c>
      <c r="AF136" t="str">
        <f t="shared" si="108"/>
        <v>247.084651286898</v>
      </c>
      <c r="AG136" t="str">
        <f t="shared" si="109"/>
        <v>1+2.40636410390595i</v>
      </c>
      <c r="AH136">
        <f t="shared" si="128"/>
        <v>2.6058757070449632</v>
      </c>
      <c r="AI136">
        <f t="shared" si="129"/>
        <v>1.1769445199813346</v>
      </c>
      <c r="AJ136" t="str">
        <f t="shared" si="110"/>
        <v>1+0.0156439266372013i</v>
      </c>
      <c r="AK136">
        <f t="shared" si="130"/>
        <v>1.0001223587344852</v>
      </c>
      <c r="AL136">
        <f t="shared" si="131"/>
        <v>1.5642650632448261E-2</v>
      </c>
      <c r="AM136" t="str">
        <f t="shared" si="111"/>
        <v>1-0.0155407675091215i</v>
      </c>
      <c r="AN136">
        <f t="shared" si="132"/>
        <v>1.0001207504370522</v>
      </c>
      <c r="AO136">
        <f t="shared" si="133"/>
        <v>-1.5539516578543779E-2</v>
      </c>
      <c r="AP136" s="41" t="str">
        <f t="shared" si="134"/>
        <v>36.4042187172404-87.5763161147197i</v>
      </c>
      <c r="AQ136">
        <f t="shared" si="135"/>
        <v>39.539952910092268</v>
      </c>
      <c r="AR136" s="43">
        <f t="shared" si="136"/>
        <v>-67.42804456996825</v>
      </c>
      <c r="AS136" t="str">
        <f t="shared" si="112"/>
        <v>-0.0000166666666666667</v>
      </c>
      <c r="AT136" t="str">
        <f t="shared" si="113"/>
        <v>3.23339517121487E-06i</v>
      </c>
      <c r="AU136">
        <f t="shared" si="137"/>
        <v>3.23339517121487E-6</v>
      </c>
      <c r="AV136">
        <f t="shared" si="138"/>
        <v>1.5707963267948966</v>
      </c>
      <c r="AW136" t="str">
        <f t="shared" si="114"/>
        <v>1+0.0032859797985668i</v>
      </c>
      <c r="AX136">
        <f t="shared" si="139"/>
        <v>1.0000053988170448</v>
      </c>
      <c r="AY136">
        <f t="shared" si="140"/>
        <v>3.285967971675666E-3</v>
      </c>
      <c r="AZ136" t="str">
        <f t="shared" si="115"/>
        <v>1+0.111723313151271i</v>
      </c>
      <c r="BA136">
        <f t="shared" si="141"/>
        <v>1.0062216946088456</v>
      </c>
      <c r="BB136">
        <f t="shared" si="142"/>
        <v>0.11126191663056292</v>
      </c>
      <c r="BC136" s="41" t="str">
        <f t="shared" si="143"/>
        <v>-0.558938601447411+5.15637725501363i</v>
      </c>
      <c r="BD136">
        <f t="shared" si="144"/>
        <v>14.297625924560762</v>
      </c>
      <c r="BE136" s="43">
        <f t="shared" si="145"/>
        <v>96.18656614707551</v>
      </c>
      <c r="BF136" s="41" t="str">
        <f t="shared" si="146"/>
        <v>31.9263950397223+8.93489577618592i</v>
      </c>
      <c r="BG136" s="20">
        <f t="shared" si="147"/>
        <v>30.410479012199978</v>
      </c>
      <c r="BH136" s="43">
        <f t="shared" si="148"/>
        <v>15.634766097346821</v>
      </c>
      <c r="BI136" s="41" t="str">
        <f t="shared" si="152"/>
        <v>431.228801395224+236.663669029198i</v>
      </c>
      <c r="BJ136" s="20">
        <f t="shared" si="149"/>
        <v>53.837578834653037</v>
      </c>
      <c r="BK136" s="43">
        <f t="shared" si="153"/>
        <v>28.758521577107306</v>
      </c>
      <c r="BL136">
        <f t="shared" si="150"/>
        <v>30.410479012199978</v>
      </c>
      <c r="BM136" s="43">
        <f t="shared" si="151"/>
        <v>15.634766097346821</v>
      </c>
    </row>
    <row r="137" spans="14:65" x14ac:dyDescent="0.25">
      <c r="N137" s="9">
        <v>19</v>
      </c>
      <c r="O137" s="34">
        <f t="shared" si="154"/>
        <v>154.8816618912482</v>
      </c>
      <c r="P137" s="33" t="str">
        <f t="shared" si="103"/>
        <v>16.5157725627975</v>
      </c>
      <c r="Q137" s="4" t="str">
        <f t="shared" si="104"/>
        <v>1+2.51799790936953i</v>
      </c>
      <c r="R137" s="4">
        <f t="shared" si="117"/>
        <v>2.7093012884486147</v>
      </c>
      <c r="S137" s="4">
        <f t="shared" si="118"/>
        <v>1.1927571033148061</v>
      </c>
      <c r="T137" s="4" t="str">
        <f t="shared" si="105"/>
        <v>1+0.0160083204996023i</v>
      </c>
      <c r="U137" s="4">
        <f t="shared" si="119"/>
        <v>1.000128124954607</v>
      </c>
      <c r="V137" s="4">
        <f t="shared" si="120"/>
        <v>1.6006953245335763E-2</v>
      </c>
      <c r="W137" t="str">
        <f t="shared" si="106"/>
        <v>1-0.243287545586662i</v>
      </c>
      <c r="X137" s="4">
        <f t="shared" si="121"/>
        <v>1.0291689996485427</v>
      </c>
      <c r="Y137" s="4">
        <f t="shared" si="122"/>
        <v>-0.23865114960547207</v>
      </c>
      <c r="Z137" t="str">
        <f t="shared" si="107"/>
        <v>0.999999504373364+0.00340602563821326i</v>
      </c>
      <c r="AA137" s="4">
        <f t="shared" si="123"/>
        <v>1.0000053048647404</v>
      </c>
      <c r="AB137" s="4">
        <f t="shared" si="124"/>
        <v>3.4060141552899876E-3</v>
      </c>
      <c r="AC137" s="47" t="str">
        <f t="shared" si="125"/>
        <v>0.949993089937161-6.20220254895202i</v>
      </c>
      <c r="AD137" s="20">
        <f t="shared" si="126"/>
        <v>15.951632452886814</v>
      </c>
      <c r="AE137" s="43">
        <f t="shared" si="127"/>
        <v>-81.291671024765591</v>
      </c>
      <c r="AF137" t="str">
        <f t="shared" si="108"/>
        <v>247.084651286898</v>
      </c>
      <c r="AG137" t="str">
        <f t="shared" si="109"/>
        <v>1+2.46241552440291i</v>
      </c>
      <c r="AH137">
        <f t="shared" si="128"/>
        <v>2.6577227498030069</v>
      </c>
      <c r="AI137">
        <f t="shared" si="129"/>
        <v>1.1850378638558259</v>
      </c>
      <c r="AJ137" t="str">
        <f t="shared" si="110"/>
        <v>1+0.0160083204996023i</v>
      </c>
      <c r="AK137">
        <f t="shared" si="130"/>
        <v>1.000128124954607</v>
      </c>
      <c r="AL137">
        <f t="shared" si="131"/>
        <v>1.6006953245335763E-2</v>
      </c>
      <c r="AM137" t="str">
        <f t="shared" si="111"/>
        <v>1-0.0159027584867485i</v>
      </c>
      <c r="AN137">
        <f t="shared" si="132"/>
        <v>1.0001264408700972</v>
      </c>
      <c r="AO137">
        <f t="shared" si="133"/>
        <v>-1.5901418099637105E-2</v>
      </c>
      <c r="AP137" s="41" t="str">
        <f t="shared" si="134"/>
        <v>34.9985307941637-86.154842805707i</v>
      </c>
      <c r="AQ137">
        <f t="shared" si="135"/>
        <v>39.368932875170117</v>
      </c>
      <c r="AR137" s="43">
        <f t="shared" si="136"/>
        <v>-67.891621443698668</v>
      </c>
      <c r="AS137" t="str">
        <f t="shared" si="112"/>
        <v>-0.0000166666666666667</v>
      </c>
      <c r="AT137" t="str">
        <f t="shared" si="113"/>
        <v>0.0000033087106199786i</v>
      </c>
      <c r="AU137">
        <f t="shared" si="137"/>
        <v>3.3087106199785999E-6</v>
      </c>
      <c r="AV137">
        <f t="shared" si="138"/>
        <v>1.5707963267948966</v>
      </c>
      <c r="AW137" t="str">
        <f t="shared" si="114"/>
        <v>1+0.00336252010064953i</v>
      </c>
      <c r="AX137">
        <f t="shared" si="139"/>
        <v>1.0000056532547341</v>
      </c>
      <c r="AY137">
        <f t="shared" si="140"/>
        <v>3.362507427911228E-3</v>
      </c>
      <c r="AZ137" t="str">
        <f t="shared" si="115"/>
        <v>1+0.114325683422084i</v>
      </c>
      <c r="BA137">
        <f t="shared" si="141"/>
        <v>1.0065139650744677</v>
      </c>
      <c r="BB137">
        <f t="shared" si="142"/>
        <v>0.11383146078694543</v>
      </c>
      <c r="BC137" s="41" t="str">
        <f t="shared" si="143"/>
        <v>-0.558938317018964+5.03908836676974i</v>
      </c>
      <c r="BD137">
        <f t="shared" si="144"/>
        <v>14.100146280312504</v>
      </c>
      <c r="BE137" s="43">
        <f t="shared" si="145"/>
        <v>96.329404794700181</v>
      </c>
      <c r="BF137" s="41" t="str">
        <f t="shared" si="146"/>
        <v>30.7224591739046+8.25374778253596i</v>
      </c>
      <c r="BG137" s="20">
        <f t="shared" si="147"/>
        <v>30.051778733199306</v>
      </c>
      <c r="BH137" s="43">
        <f t="shared" si="148"/>
        <v>15.037733769934619</v>
      </c>
      <c r="BI137" s="41" t="str">
        <f t="shared" si="152"/>
        <v>414.579846222888+224.515932219758i</v>
      </c>
      <c r="BJ137" s="20">
        <f t="shared" si="149"/>
        <v>53.469079155482632</v>
      </c>
      <c r="BK137" s="43">
        <f t="shared" si="153"/>
        <v>28.437783351001499</v>
      </c>
      <c r="BL137">
        <f t="shared" si="150"/>
        <v>30.051778733199306</v>
      </c>
      <c r="BM137" s="43">
        <f t="shared" si="151"/>
        <v>15.037733769934619</v>
      </c>
    </row>
    <row r="138" spans="14:65" x14ac:dyDescent="0.25">
      <c r="N138" s="9">
        <v>20</v>
      </c>
      <c r="O138" s="34">
        <f t="shared" si="154"/>
        <v>158.48931924611153</v>
      </c>
      <c r="P138" s="33" t="str">
        <f t="shared" si="103"/>
        <v>16.5157725627975</v>
      </c>
      <c r="Q138" s="4" t="str">
        <f t="shared" si="104"/>
        <v>1+2.57664961523543i</v>
      </c>
      <c r="R138" s="4">
        <f t="shared" si="117"/>
        <v>2.7638963872932876</v>
      </c>
      <c r="S138" s="4">
        <f t="shared" si="118"/>
        <v>1.2005897047315623</v>
      </c>
      <c r="T138" s="4" t="str">
        <f t="shared" si="105"/>
        <v>1+0.0163812021854274i</v>
      </c>
      <c r="U138" s="4">
        <f t="shared" si="119"/>
        <v>1.000134162892679</v>
      </c>
      <c r="V138" s="4">
        <f t="shared" si="120"/>
        <v>1.6379737156699666E-2</v>
      </c>
      <c r="W138" t="str">
        <f t="shared" si="106"/>
        <v>1-0.248954440508016i</v>
      </c>
      <c r="X138" s="4">
        <f t="shared" si="121"/>
        <v>1.0305233201867192</v>
      </c>
      <c r="Y138" s="4">
        <f t="shared" si="122"/>
        <v>-0.24399436530116353</v>
      </c>
      <c r="Z138" t="str">
        <f t="shared" si="107"/>
        <v>0.9999994810152+0.00348536216711222i</v>
      </c>
      <c r="AA138" s="4">
        <f t="shared" si="123"/>
        <v>1.0000055548746245</v>
      </c>
      <c r="AB138" s="4">
        <f t="shared" si="124"/>
        <v>3.4853498629419375E-3</v>
      </c>
      <c r="AC138" s="47" t="str">
        <f t="shared" si="125"/>
        <v>0.853959217906044-6.09923329194745i</v>
      </c>
      <c r="AD138" s="20">
        <f t="shared" si="126"/>
        <v>15.789816186552567</v>
      </c>
      <c r="AE138" s="43">
        <f t="shared" si="127"/>
        <v>-82.029776393366745</v>
      </c>
      <c r="AF138" t="str">
        <f t="shared" si="108"/>
        <v>247.084651286898</v>
      </c>
      <c r="AG138" t="str">
        <f t="shared" si="109"/>
        <v>1+2.51977255020484i</v>
      </c>
      <c r="AH138">
        <f t="shared" si="128"/>
        <v>2.710950701279129</v>
      </c>
      <c r="AI138">
        <f t="shared" si="129"/>
        <v>1.1929987225755974</v>
      </c>
      <c r="AJ138" t="str">
        <f t="shared" si="110"/>
        <v>1+0.0163812021854274i</v>
      </c>
      <c r="AK138">
        <f t="shared" si="130"/>
        <v>1.000134162892679</v>
      </c>
      <c r="AL138">
        <f t="shared" si="131"/>
        <v>1.6379737156699666E-2</v>
      </c>
      <c r="AM138" t="str">
        <f t="shared" si="111"/>
        <v>1-0.016273181317423i</v>
      </c>
      <c r="AN138">
        <f t="shared" si="132"/>
        <v>1.0001323994502875</v>
      </c>
      <c r="AO138">
        <f t="shared" si="133"/>
        <v>-1.6271745077025355E-2</v>
      </c>
      <c r="AP138" s="41" t="str">
        <f t="shared" si="134"/>
        <v>33.6384864519621-84.7346444935889i</v>
      </c>
      <c r="AQ138">
        <f t="shared" si="135"/>
        <v>39.196798140779549</v>
      </c>
      <c r="AR138" s="43">
        <f t="shared" si="136"/>
        <v>-68.347604277694103</v>
      </c>
      <c r="AS138" t="str">
        <f t="shared" si="112"/>
        <v>-0.0000166666666666667</v>
      </c>
      <c r="AT138" t="str">
        <f t="shared" si="113"/>
        <v>3.38578039090901E-06i</v>
      </c>
      <c r="AU138">
        <f t="shared" si="137"/>
        <v>3.38578039090901E-6</v>
      </c>
      <c r="AV138">
        <f t="shared" si="138"/>
        <v>1.5707963267948966</v>
      </c>
      <c r="AW138" t="str">
        <f t="shared" si="114"/>
        <v>1+0.00344084325539785i</v>
      </c>
      <c r="AX138">
        <f t="shared" si="139"/>
        <v>1.0000059196836328</v>
      </c>
      <c r="AY138">
        <f t="shared" si="140"/>
        <v>3.4408296763184507E-3</v>
      </c>
      <c r="AZ138" t="str">
        <f t="shared" si="115"/>
        <v>1+0.116988670683527i</v>
      </c>
      <c r="BA138">
        <f t="shared" si="141"/>
        <v>1.0068199188873346</v>
      </c>
      <c r="BB138">
        <f t="shared" si="142"/>
        <v>0.1164592951342279</v>
      </c>
      <c r="BC138" s="41" t="str">
        <f t="shared" si="143"/>
        <v>-0.55893801918613+4.92447126978794i</v>
      </c>
      <c r="BD138">
        <f t="shared" si="144"/>
        <v>13.902783847292838</v>
      </c>
      <c r="BE138" s="43">
        <f t="shared" si="145"/>
        <v>96.475481077783314</v>
      </c>
      <c r="BF138" s="41" t="str">
        <f t="shared" si="146"/>
        <v>29.5581888402072+7.6143910089041i</v>
      </c>
      <c r="BG138" s="20">
        <f t="shared" si="147"/>
        <v>29.692600033845409</v>
      </c>
      <c r="BH138" s="43">
        <f t="shared" si="148"/>
        <v>14.445704684416571</v>
      </c>
      <c r="BI138" s="41" t="str">
        <f t="shared" si="152"/>
        <v>398.471493378494+213.013174441526i</v>
      </c>
      <c r="BJ138" s="20">
        <f t="shared" si="149"/>
        <v>53.099581988072387</v>
      </c>
      <c r="BK138" s="43">
        <f t="shared" si="153"/>
        <v>28.127876800089254</v>
      </c>
      <c r="BL138">
        <f t="shared" si="150"/>
        <v>29.692600033845409</v>
      </c>
      <c r="BM138" s="43">
        <f t="shared" si="151"/>
        <v>14.445704684416571</v>
      </c>
    </row>
    <row r="139" spans="14:65" x14ac:dyDescent="0.25">
      <c r="N139" s="9">
        <v>21</v>
      </c>
      <c r="O139" s="34">
        <f t="shared" si="154"/>
        <v>162.18100973589304</v>
      </c>
      <c r="P139" s="33" t="str">
        <f t="shared" si="103"/>
        <v>16.5157725627975</v>
      </c>
      <c r="Q139" s="4" t="str">
        <f t="shared" si="104"/>
        <v>1+2.63666749483331i</v>
      </c>
      <c r="R139" s="4">
        <f t="shared" si="117"/>
        <v>2.8199318215713238</v>
      </c>
      <c r="S139" s="4">
        <f t="shared" si="118"/>
        <v>1.2082903048844076</v>
      </c>
      <c r="T139" s="4" t="str">
        <f t="shared" si="105"/>
        <v>1+0.016762769401482i</v>
      </c>
      <c r="U139" s="4">
        <f t="shared" si="119"/>
        <v>1.0001404853509368</v>
      </c>
      <c r="V139" s="4">
        <f t="shared" si="120"/>
        <v>1.676119960682643E-2</v>
      </c>
      <c r="W139" t="str">
        <f t="shared" si="106"/>
        <v>1-0.254753334369027i</v>
      </c>
      <c r="X139" s="4">
        <f t="shared" si="121"/>
        <v>1.0319395628485892</v>
      </c>
      <c r="Y139" s="4">
        <f t="shared" si="122"/>
        <v>-0.24944736187880839</v>
      </c>
      <c r="Z139" t="str">
        <f t="shared" si="107"/>
        <v>0.9999994565562+0.00356654668116638i</v>
      </c>
      <c r="AA139" s="4">
        <f t="shared" si="123"/>
        <v>1.0000058166670454</v>
      </c>
      <c r="AB139" s="4">
        <f t="shared" si="124"/>
        <v>3.5665334970145192E-3</v>
      </c>
      <c r="AC139" s="47" t="str">
        <f t="shared" si="125"/>
        <v>0.761134619553722-5.99656422084326i</v>
      </c>
      <c r="AD139" s="20">
        <f t="shared" si="126"/>
        <v>15.627460594796466</v>
      </c>
      <c r="AE139" s="43">
        <f t="shared" si="127"/>
        <v>-82.766217262603746</v>
      </c>
      <c r="AF139" t="str">
        <f t="shared" si="108"/>
        <v>247.084651286898</v>
      </c>
      <c r="AG139" t="str">
        <f t="shared" si="109"/>
        <v>1+2.57846559276601i</v>
      </c>
      <c r="AH139">
        <f t="shared" si="128"/>
        <v>2.765589415129833</v>
      </c>
      <c r="AI139">
        <f t="shared" si="129"/>
        <v>1.2008272798815636</v>
      </c>
      <c r="AJ139" t="str">
        <f t="shared" si="110"/>
        <v>1+0.016762769401482i</v>
      </c>
      <c r="AK139">
        <f t="shared" si="130"/>
        <v>1.0001404853509368</v>
      </c>
      <c r="AL139">
        <f t="shared" si="131"/>
        <v>1.676119960682643E-2</v>
      </c>
      <c r="AM139" t="str">
        <f t="shared" si="111"/>
        <v>1-0.016652232404233i</v>
      </c>
      <c r="AN139">
        <f t="shared" si="132"/>
        <v>1.0001386388116622</v>
      </c>
      <c r="AO139">
        <f t="shared" si="133"/>
        <v>-1.6650693456441445E-2</v>
      </c>
      <c r="AP139" s="41" t="str">
        <f t="shared" si="134"/>
        <v>32.3232706828857-83.3171293060635i</v>
      </c>
      <c r="AQ139">
        <f t="shared" si="135"/>
        <v>39.023585549516241</v>
      </c>
      <c r="AR139" s="43">
        <f t="shared" si="136"/>
        <v>-68.796003525361158</v>
      </c>
      <c r="AS139" t="str">
        <f t="shared" si="112"/>
        <v>-0.0000166666666666667</v>
      </c>
      <c r="AT139" t="str">
        <f t="shared" si="113"/>
        <v>3.46464534741878E-06i</v>
      </c>
      <c r="AU139">
        <f t="shared" si="137"/>
        <v>3.46464534741878E-6</v>
      </c>
      <c r="AV139">
        <f t="shared" si="138"/>
        <v>1.5707963267948966</v>
      </c>
      <c r="AW139" t="str">
        <f t="shared" si="114"/>
        <v>1+0.0035209907907851i</v>
      </c>
      <c r="AX139">
        <f t="shared" si="139"/>
        <v>1.0000061986688626</v>
      </c>
      <c r="AY139">
        <f t="shared" si="140"/>
        <v>3.5209762405442476E-3</v>
      </c>
      <c r="AZ139" t="str">
        <f t="shared" si="115"/>
        <v>1+0.119713686886693i</v>
      </c>
      <c r="BA139">
        <f t="shared" si="141"/>
        <v>1.0071401922413807</v>
      </c>
      <c r="BB139">
        <f t="shared" si="142"/>
        <v>0.11914666773421653</v>
      </c>
      <c r="BC139" s="41" t="str">
        <f t="shared" si="143"/>
        <v>-0.558937707317198+4.81246519255986i</v>
      </c>
      <c r="BD139">
        <f t="shared" si="144"/>
        <v>13.705544000168672</v>
      </c>
      <c r="BE139" s="43">
        <f t="shared" si="145"/>
        <v>96.624864125869138</v>
      </c>
      <c r="BF139" s="41" t="str">
        <f t="shared" si="146"/>
        <v>28.4328297485449+7.01463972083305i</v>
      </c>
      <c r="BG139" s="20">
        <f t="shared" si="147"/>
        <v>29.333004594965132</v>
      </c>
      <c r="BH139" s="43">
        <f t="shared" si="148"/>
        <v>13.85864686326541</v>
      </c>
      <c r="BI139" s="41" t="str">
        <f t="shared" si="152"/>
        <v>382.894089920954+202.12370030566i</v>
      </c>
      <c r="BJ139" s="20">
        <f t="shared" si="149"/>
        <v>52.729129549684906</v>
      </c>
      <c r="BK139" s="43">
        <f t="shared" si="153"/>
        <v>27.828860600508037</v>
      </c>
      <c r="BL139">
        <f t="shared" si="150"/>
        <v>29.333004594965132</v>
      </c>
      <c r="BM139" s="43">
        <f t="shared" si="151"/>
        <v>13.85864686326541</v>
      </c>
    </row>
    <row r="140" spans="14:65" x14ac:dyDescent="0.25">
      <c r="N140" s="9">
        <v>22</v>
      </c>
      <c r="O140" s="34">
        <f t="shared" si="154"/>
        <v>165.95869074375622</v>
      </c>
      <c r="P140" s="33" t="str">
        <f t="shared" si="103"/>
        <v>16.5157725627975</v>
      </c>
      <c r="Q140" s="4" t="str">
        <f t="shared" si="104"/>
        <v>1+2.69808337043739i</v>
      </c>
      <c r="R140" s="4">
        <f t="shared" si="117"/>
        <v>2.8774387697796087</v>
      </c>
      <c r="S140" s="4">
        <f t="shared" si="118"/>
        <v>1.2158593326004772</v>
      </c>
      <c r="T140" s="4" t="str">
        <f t="shared" si="105"/>
        <v>1+0.0171532244597549i</v>
      </c>
      <c r="U140" s="4">
        <f t="shared" si="119"/>
        <v>1.0001471057346347</v>
      </c>
      <c r="V140" s="4">
        <f t="shared" si="120"/>
        <v>1.7151542407837981E-2</v>
      </c>
      <c r="W140" t="str">
        <f t="shared" si="106"/>
        <v>1-0.260687301819983i</v>
      </c>
      <c r="X140" s="4">
        <f t="shared" si="121"/>
        <v>1.0334204707330812</v>
      </c>
      <c r="Y140" s="4">
        <f t="shared" si="122"/>
        <v>-0.25501173287084278</v>
      </c>
      <c r="Z140" t="str">
        <f t="shared" si="107"/>
        <v>0.999999430944483+0.00364962222547975i</v>
      </c>
      <c r="AA140" s="4">
        <f t="shared" si="123"/>
        <v>1.0000060907972903</v>
      </c>
      <c r="AB140" s="4">
        <f t="shared" si="124"/>
        <v>3.6496080984111442E-3</v>
      </c>
      <c r="AC140" s="47" t="str">
        <f t="shared" si="125"/>
        <v>0.671454583436534-5.8942877203443i</v>
      </c>
      <c r="AD140" s="20">
        <f t="shared" si="126"/>
        <v>15.464622003541251</v>
      </c>
      <c r="AE140" s="43">
        <f t="shared" si="127"/>
        <v>-83.501100408224175</v>
      </c>
      <c r="AF140" t="str">
        <f t="shared" si="108"/>
        <v>247.084651286898</v>
      </c>
      <c r="AG140" t="str">
        <f t="shared" si="109"/>
        <v>1+2.63852577191451i</v>
      </c>
      <c r="AH140">
        <f t="shared" si="128"/>
        <v>2.8216694081796798</v>
      </c>
      <c r="AI140">
        <f t="shared" si="129"/>
        <v>1.2085238472831135</v>
      </c>
      <c r="AJ140" t="str">
        <f t="shared" si="110"/>
        <v>1+0.0171532244597549i</v>
      </c>
      <c r="AK140">
        <f t="shared" si="130"/>
        <v>1.0001471057346347</v>
      </c>
      <c r="AL140">
        <f t="shared" si="131"/>
        <v>1.7151542407837981E-2</v>
      </c>
      <c r="AM140" t="str">
        <f t="shared" si="111"/>
        <v>1-0.0170401127250822i</v>
      </c>
      <c r="AN140">
        <f t="shared" si="132"/>
        <v>1.0001451721833603</v>
      </c>
      <c r="AO140">
        <f t="shared" si="133"/>
        <v>-1.7038463725740867E-2</v>
      </c>
      <c r="AP140" s="41" t="str">
        <f t="shared" si="134"/>
        <v>31.0520293999696-81.9036316685488i</v>
      </c>
      <c r="AQ140">
        <f t="shared" si="135"/>
        <v>38.849331278446414</v>
      </c>
      <c r="AR140" s="43">
        <f t="shared" si="136"/>
        <v>-69.236836958998182</v>
      </c>
      <c r="AS140" t="str">
        <f t="shared" si="112"/>
        <v>-0.0000166666666666667</v>
      </c>
      <c r="AT140" t="str">
        <f t="shared" si="113"/>
        <v>3.54534730475176E-06i</v>
      </c>
      <c r="AU140">
        <f t="shared" si="137"/>
        <v>3.5453473047517602E-6</v>
      </c>
      <c r="AV140">
        <f t="shared" si="138"/>
        <v>1.5707963267948966</v>
      </c>
      <c r="AW140" t="str">
        <f t="shared" si="114"/>
        <v>1+0.00360300520209548i</v>
      </c>
      <c r="AX140">
        <f t="shared" si="139"/>
        <v>1.000006490802178</v>
      </c>
      <c r="AY140">
        <f t="shared" si="140"/>
        <v>3.602989611236976E-3</v>
      </c>
      <c r="AZ140" t="str">
        <f t="shared" si="115"/>
        <v>1+0.122502176871246i</v>
      </c>
      <c r="BA140">
        <f t="shared" si="141"/>
        <v>1.0074754504890895</v>
      </c>
      <c r="BB140">
        <f t="shared" si="142"/>
        <v>0.12189484811882367</v>
      </c>
      <c r="BC140" s="41" t="str">
        <f t="shared" si="143"/>
        <v>-0.558937380750716+4.70301074797386i</v>
      </c>
      <c r="BD140">
        <f t="shared" si="144"/>
        <v>13.508432352805656</v>
      </c>
      <c r="BE140" s="43">
        <f t="shared" si="145"/>
        <v>96.777624243243395</v>
      </c>
      <c r="BF140" s="41" t="str">
        <f t="shared" si="146"/>
        <v>27.3455974342705+6.45239586247868i</v>
      </c>
      <c r="BG140" s="20">
        <f t="shared" si="147"/>
        <v>28.973054356346903</v>
      </c>
      <c r="BH140" s="43">
        <f t="shared" si="148"/>
        <v>13.276523835019233</v>
      </c>
      <c r="BI140" s="41" t="str">
        <f t="shared" si="152"/>
        <v>367.837520055464+191.817029373247i</v>
      </c>
      <c r="BJ140" s="20">
        <f t="shared" si="149"/>
        <v>52.35776363125207</v>
      </c>
      <c r="BK140" s="43">
        <f t="shared" si="153"/>
        <v>27.54078728424518</v>
      </c>
      <c r="BL140">
        <f t="shared" si="150"/>
        <v>28.973054356346903</v>
      </c>
      <c r="BM140" s="43">
        <f t="shared" si="151"/>
        <v>13.276523835019233</v>
      </c>
    </row>
    <row r="141" spans="14:65" x14ac:dyDescent="0.25">
      <c r="N141" s="9">
        <v>23</v>
      </c>
      <c r="O141" s="34">
        <f t="shared" si="154"/>
        <v>169.82436524617444</v>
      </c>
      <c r="P141" s="33" t="str">
        <f t="shared" si="103"/>
        <v>16.5157725627975</v>
      </c>
      <c r="Q141" s="4" t="str">
        <f t="shared" si="104"/>
        <v>1+2.76092980555781i</v>
      </c>
      <c r="R141" s="4">
        <f t="shared" si="117"/>
        <v>2.9364491126558767</v>
      </c>
      <c r="S141" s="4">
        <f t="shared" si="118"/>
        <v>1.2232973310320778</v>
      </c>
      <c r="T141" s="4" t="str">
        <f t="shared" si="105"/>
        <v>1+0.0175527743846859i</v>
      </c>
      <c r="U141" s="4">
        <f t="shared" si="119"/>
        <v>1.0001540380804348</v>
      </c>
      <c r="V141" s="4">
        <f t="shared" si="120"/>
        <v>1.7550972048576391E-2</v>
      </c>
      <c r="W141" t="str">
        <f t="shared" si="106"/>
        <v>1-0.266759489128965i</v>
      </c>
      <c r="X141" s="4">
        <f t="shared" si="121"/>
        <v>1.034968900518439</v>
      </c>
      <c r="Y141" s="4">
        <f t="shared" si="122"/>
        <v>-0.26068904971969148</v>
      </c>
      <c r="Z141" t="str">
        <f t="shared" si="107"/>
        <v>0.999999404125723+0.00373463284780551i</v>
      </c>
      <c r="AA141" s="4">
        <f t="shared" si="123"/>
        <v>1.000006377846816</v>
      </c>
      <c r="AB141" s="4">
        <f t="shared" si="124"/>
        <v>3.7346177103839734E-3</v>
      </c>
      <c r="AC141" s="47" t="str">
        <f t="shared" si="125"/>
        <v>0.58485226535588-5.79249088712397i</v>
      </c>
      <c r="AD141" s="20">
        <f t="shared" si="126"/>
        <v>15.301356747585634</v>
      </c>
      <c r="AE141" s="43">
        <f t="shared" si="127"/>
        <v>-84.234537680134693</v>
      </c>
      <c r="AF141" t="str">
        <f t="shared" si="108"/>
        <v>247.084651286898</v>
      </c>
      <c r="AG141" t="str">
        <f t="shared" si="109"/>
        <v>1+2.69998493235227i</v>
      </c>
      <c r="AH141">
        <f t="shared" si="128"/>
        <v>2.8792218801143643</v>
      </c>
      <c r="AI141">
        <f t="shared" si="129"/>
        <v>1.2160888572059498</v>
      </c>
      <c r="AJ141" t="str">
        <f t="shared" si="110"/>
        <v>1+0.0175527743846859i</v>
      </c>
      <c r="AK141">
        <f t="shared" si="130"/>
        <v>1.0001540380804348</v>
      </c>
      <c r="AL141">
        <f t="shared" si="131"/>
        <v>1.7550972048576391E-2</v>
      </c>
      <c r="AM141" t="str">
        <f t="shared" si="111"/>
        <v>1-0.0174370279392506i</v>
      </c>
      <c r="AN141">
        <f t="shared" si="132"/>
        <v>1.0001520134176376</v>
      </c>
      <c r="AO141">
        <f t="shared" si="133"/>
        <v>-1.7435261019126184E-2</v>
      </c>
      <c r="AP141" s="41" t="str">
        <f t="shared" si="134"/>
        <v>29.8238745471273-80.4954127314999i</v>
      </c>
      <c r="AQ141">
        <f t="shared" si="135"/>
        <v>38.674070810044761</v>
      </c>
      <c r="AR141" s="43">
        <f t="shared" si="136"/>
        <v>-69.670129277157713</v>
      </c>
      <c r="AS141" t="str">
        <f t="shared" si="112"/>
        <v>-0.0000166666666666667</v>
      </c>
      <c r="AT141" t="str">
        <f t="shared" si="113"/>
        <v>3.62792905215393E-06i</v>
      </c>
      <c r="AU141">
        <f t="shared" si="137"/>
        <v>3.62792905215393E-6</v>
      </c>
      <c r="AV141">
        <f t="shared" si="138"/>
        <v>1.5707963267948966</v>
      </c>
      <c r="AW141" t="str">
        <f t="shared" si="114"/>
        <v>1+0.00368692997445539i</v>
      </c>
      <c r="AX141">
        <f t="shared" si="139"/>
        <v>1.0000067967032207</v>
      </c>
      <c r="AY141">
        <f t="shared" si="140"/>
        <v>3.6869132685556504E-3</v>
      </c>
      <c r="AZ141" t="str">
        <f t="shared" si="115"/>
        <v>1+0.125355619131483i</v>
      </c>
      <c r="BA141">
        <f t="shared" si="141"/>
        <v>1.0078263894381003</v>
      </c>
      <c r="BB141">
        <f t="shared" si="142"/>
        <v>0.12470512727558727</v>
      </c>
      <c r="BC141" s="41" t="str">
        <f t="shared" si="143"/>
        <v>-0.558937038794036+4.59604990182719i</v>
      </c>
      <c r="BD141">
        <f t="shared" si="144"/>
        <v>13.311454768225206</v>
      </c>
      <c r="BE141" s="43">
        <f t="shared" si="145"/>
        <v>96.933832906813905</v>
      </c>
      <c r="BF141" s="41" t="str">
        <f t="shared" si="146"/>
        <v>26.295681579771+5.92564790046281i</v>
      </c>
      <c r="BG141" s="20">
        <f t="shared" si="147"/>
        <v>28.612811515810836</v>
      </c>
      <c r="BH141" s="43">
        <f t="shared" si="148"/>
        <v>12.699295226679213</v>
      </c>
      <c r="BI141" s="41" t="str">
        <f t="shared" si="152"/>
        <v>353.291265657413+182.063883313079i</v>
      </c>
      <c r="BJ141" s="20">
        <f t="shared" si="149"/>
        <v>51.985525578269964</v>
      </c>
      <c r="BK141" s="43">
        <f t="shared" si="153"/>
        <v>27.263703629656174</v>
      </c>
      <c r="BL141">
        <f t="shared" si="150"/>
        <v>28.612811515810836</v>
      </c>
      <c r="BM141" s="43">
        <f t="shared" si="151"/>
        <v>12.699295226679213</v>
      </c>
    </row>
    <row r="142" spans="14:65" x14ac:dyDescent="0.25">
      <c r="N142" s="9">
        <v>24</v>
      </c>
      <c r="O142" s="34">
        <f t="shared" si="154"/>
        <v>173.78008287493768</v>
      </c>
      <c r="P142" s="33" t="str">
        <f t="shared" si="103"/>
        <v>16.5157725627975</v>
      </c>
      <c r="Q142" s="4" t="str">
        <f t="shared" si="104"/>
        <v>1+2.82524012220638i</v>
      </c>
      <c r="R142" s="4">
        <f t="shared" si="117"/>
        <v>2.9969954534708125</v>
      </c>
      <c r="S142" s="4">
        <f t="shared" si="118"/>
        <v>1.2306049509364454</v>
      </c>
      <c r="T142" s="4" t="str">
        <f t="shared" si="105"/>
        <v>1+0.0179616310229343i</v>
      </c>
      <c r="U142" s="4">
        <f t="shared" si="119"/>
        <v>1.0001612970861271</v>
      </c>
      <c r="V142" s="4">
        <f t="shared" si="120"/>
        <v>1.7959699801819256E-2</v>
      </c>
      <c r="W142" t="str">
        <f t="shared" si="106"/>
        <v>1-0.272973115850065i</v>
      </c>
      <c r="X142" s="4">
        <f t="shared" si="121"/>
        <v>1.0365878264657042</v>
      </c>
      <c r="Y142" s="4">
        <f t="shared" si="122"/>
        <v>-0.26648085808209748</v>
      </c>
      <c r="Z142" t="str">
        <f t="shared" si="107"/>
        <v>0.999999376043033+0.00382162362190091i</v>
      </c>
      <c r="AA142" s="4">
        <f t="shared" si="123"/>
        <v>1.0000066784244808</v>
      </c>
      <c r="AB142" s="4">
        <f t="shared" si="124"/>
        <v>3.8216074018673405E-3</v>
      </c>
      <c r="AC142" s="47" t="str">
        <f t="shared" si="125"/>
        <v>0.501259027233714-5.6912556021824i</v>
      </c>
      <c r="AD142" s="20">
        <f t="shared" si="126"/>
        <v>15.137721162816458</v>
      </c>
      <c r="AE142" s="43">
        <f t="shared" si="127"/>
        <v>-84.966645400807707</v>
      </c>
      <c r="AF142" t="str">
        <f t="shared" si="108"/>
        <v>247.084651286898</v>
      </c>
      <c r="AG142" t="str">
        <f t="shared" si="109"/>
        <v>1+2.76287566053972i</v>
      </c>
      <c r="AH142">
        <f t="shared" si="128"/>
        <v>2.9382787334769302</v>
      </c>
      <c r="AI142">
        <f t="shared" si="129"/>
        <v>1.2235228561940303</v>
      </c>
      <c r="AJ142" t="str">
        <f t="shared" si="110"/>
        <v>1+0.0179616310229343i</v>
      </c>
      <c r="AK142">
        <f t="shared" si="130"/>
        <v>1.0001612970861271</v>
      </c>
      <c r="AL142">
        <f t="shared" si="131"/>
        <v>1.7959699801819256E-2</v>
      </c>
      <c r="AM142" t="str">
        <f t="shared" si="111"/>
        <v>1-0.017843188496439i</v>
      </c>
      <c r="AN142">
        <f t="shared" si="132"/>
        <v>1.000159177019198</v>
      </c>
      <c r="AO142">
        <f t="shared" si="133"/>
        <v>-1.784129522368846E-2</v>
      </c>
      <c r="AP142" s="41" t="str">
        <f t="shared" si="134"/>
        <v>28.6378889788186-79.09366109846i</v>
      </c>
      <c r="AQ142">
        <f t="shared" si="135"/>
        <v>38.497838907198123</v>
      </c>
      <c r="AR142" s="43">
        <f t="shared" si="136"/>
        <v>-70.095911715107974</v>
      </c>
      <c r="AS142" t="str">
        <f t="shared" si="112"/>
        <v>-0.0000166666666666667</v>
      </c>
      <c r="AT142" t="str">
        <f t="shared" si="113"/>
        <v>3.71243437556088E-06i</v>
      </c>
      <c r="AU142">
        <f t="shared" si="137"/>
        <v>3.7124343755608799E-6</v>
      </c>
      <c r="AV142">
        <f t="shared" si="138"/>
        <v>1.5707963267948966</v>
      </c>
      <c r="AW142" t="str">
        <f t="shared" si="114"/>
        <v>1+0.00377280960589007i</v>
      </c>
      <c r="AX142">
        <f t="shared" si="139"/>
        <v>1.0000071170208351</v>
      </c>
      <c r="AY142">
        <f t="shared" si="140"/>
        <v>3.7727917052028685E-3</v>
      </c>
      <c r="AZ142" t="str">
        <f t="shared" si="115"/>
        <v>1+0.128275526600263i</v>
      </c>
      <c r="BA142">
        <f t="shared" si="141"/>
        <v>1.0081937367017189</v>
      </c>
      <c r="BB142">
        <f t="shared" si="142"/>
        <v>0.12757881759949291</v>
      </c>
      <c r="BC142" s="41" t="str">
        <f t="shared" si="143"/>
        <v>-0.55893668072189+4.49152594205553i</v>
      </c>
      <c r="BD142">
        <f t="shared" si="144"/>
        <v>13.114617368910332</v>
      </c>
      <c r="BE142" s="43">
        <f t="shared" si="145"/>
        <v>97.093562762030203</v>
      </c>
      <c r="BF142" s="41" t="str">
        <f t="shared" si="146"/>
        <v>25.2822501232072+5.43246943993344i</v>
      </c>
      <c r="BG142" s="20">
        <f t="shared" si="147"/>
        <v>28.252338531726785</v>
      </c>
      <c r="BH142" s="43">
        <f t="shared" si="148"/>
        <v>12.126917361222519</v>
      </c>
      <c r="BI142" s="41" t="str">
        <f t="shared" si="152"/>
        <v>339.244464067179+172.836169674585i</v>
      </c>
      <c r="BJ142" s="20">
        <f t="shared" si="149"/>
        <v>51.612456276108468</v>
      </c>
      <c r="BK142" s="43">
        <f t="shared" si="153"/>
        <v>26.997651046922172</v>
      </c>
      <c r="BL142">
        <f t="shared" si="150"/>
        <v>28.252338531726785</v>
      </c>
      <c r="BM142" s="43">
        <f t="shared" si="151"/>
        <v>12.126917361222519</v>
      </c>
    </row>
    <row r="143" spans="14:65" x14ac:dyDescent="0.25">
      <c r="N143" s="9">
        <v>25</v>
      </c>
      <c r="O143" s="34">
        <f t="shared" si="154"/>
        <v>177.82794100389242</v>
      </c>
      <c r="P143" s="33" t="str">
        <f t="shared" si="103"/>
        <v>16.5157725627975</v>
      </c>
      <c r="Q143" s="4" t="str">
        <f t="shared" si="104"/>
        <v>1+2.89104841856422i</v>
      </c>
      <c r="R143" s="4">
        <f t="shared" si="117"/>
        <v>3.059111138628781</v>
      </c>
      <c r="S143" s="4">
        <f t="shared" si="118"/>
        <v>1.2377829440592116</v>
      </c>
      <c r="T143" s="4" t="str">
        <f t="shared" si="105"/>
        <v>1+0.0183800111557013i</v>
      </c>
      <c r="U143" s="4">
        <f t="shared" si="119"/>
        <v>1.0001688981417507</v>
      </c>
      <c r="V143" s="4">
        <f t="shared" si="120"/>
        <v>1.8377941833866727E-2</v>
      </c>
      <c r="W143" t="str">
        <f t="shared" si="106"/>
        <v>1-0.279331476530415i</v>
      </c>
      <c r="X143" s="4">
        <f t="shared" si="121"/>
        <v>1.0382803445027078</v>
      </c>
      <c r="Y143" s="4">
        <f t="shared" si="122"/>
        <v>-0.27238867392772576</v>
      </c>
      <c r="Z143" t="str">
        <f t="shared" si="107"/>
        <v>0.999999346636847+0.00391064067142581i</v>
      </c>
      <c r="AA143" s="4">
        <f t="shared" si="123"/>
        <v>1.0000069931678388</v>
      </c>
      <c r="AB143" s="4">
        <f t="shared" si="124"/>
        <v>3.9106232913532586E-3</v>
      </c>
      <c r="AC143" s="47" t="str">
        <f t="shared" si="125"/>
        <v>0.420604757876807-5.59065862079302i</v>
      </c>
      <c r="AD143" s="20">
        <f t="shared" si="126"/>
        <v>14.973771581200189</v>
      </c>
      <c r="AE143" s="43">
        <f t="shared" si="127"/>
        <v>-85.697543757737037</v>
      </c>
      <c r="AF143" t="str">
        <f t="shared" si="108"/>
        <v>247.084651286898</v>
      </c>
      <c r="AG143" t="str">
        <f t="shared" si="109"/>
        <v>1+2.82723130197336i</v>
      </c>
      <c r="AH143">
        <f t="shared" si="128"/>
        <v>2.9988725939689371</v>
      </c>
      <c r="AI143">
        <f t="shared" si="129"/>
        <v>1.2308264981921191</v>
      </c>
      <c r="AJ143" t="str">
        <f t="shared" si="110"/>
        <v>1+0.0183800111557013i</v>
      </c>
      <c r="AK143">
        <f t="shared" si="130"/>
        <v>1.0001688981417507</v>
      </c>
      <c r="AL143">
        <f t="shared" si="131"/>
        <v>1.8377941833866727E-2</v>
      </c>
      <c r="AM143" t="str">
        <f t="shared" si="111"/>
        <v>1-0.0182588097483506i</v>
      </c>
      <c r="AN143">
        <f t="shared" si="132"/>
        <v>1.0001666781759062</v>
      </c>
      <c r="AO143">
        <f t="shared" si="133"/>
        <v>-1.8256781088307202E-2</v>
      </c>
      <c r="AP143" s="41" t="str">
        <f t="shared" si="134"/>
        <v>27.4931310987529-77.6994938241806i</v>
      </c>
      <c r="AQ143">
        <f t="shared" si="135"/>
        <v>38.320669592088016</v>
      </c>
      <c r="AR143" s="43">
        <f t="shared" si="136"/>
        <v>-70.514221659911627</v>
      </c>
      <c r="AS143" t="str">
        <f t="shared" si="112"/>
        <v>-0.0000166666666666667</v>
      </c>
      <c r="AT143" t="str">
        <f t="shared" si="113"/>
        <v>3.79890808081363E-06i</v>
      </c>
      <c r="AU143">
        <f t="shared" si="137"/>
        <v>3.79890808081363E-6</v>
      </c>
      <c r="AV143">
        <f t="shared" si="138"/>
        <v>1.5707963267948966</v>
      </c>
      <c r="AW143" t="str">
        <f t="shared" si="114"/>
        <v>1+0.00386068963091684i</v>
      </c>
      <c r="AX143">
        <f t="shared" si="139"/>
        <v>1.0000074524344438</v>
      </c>
      <c r="AY143">
        <f t="shared" si="140"/>
        <v>3.8606704499926465E-3</v>
      </c>
      <c r="AZ143" t="str">
        <f t="shared" si="115"/>
        <v>1+0.131263447451173i</v>
      </c>
      <c r="BA143">
        <f t="shared" si="141"/>
        <v>1.0085782531052148</v>
      </c>
      <c r="BB143">
        <f t="shared" si="142"/>
        <v>0.13051725280827609</v>
      </c>
      <c r="BC143" s="41" t="str">
        <f t="shared" si="143"/>
        <v>-0.558936305774809+4.38938344866334i</v>
      </c>
      <c r="BD143">
        <f t="shared" si="144"/>
        <v>12.917926547465425</v>
      </c>
      <c r="BE143" s="43">
        <f t="shared" si="145"/>
        <v>97.256887616680743</v>
      </c>
      <c r="BF143" s="41" t="str">
        <f t="shared" si="146"/>
        <v>24.3044531476769+4.97101763900765i</v>
      </c>
      <c r="BG143" s="20">
        <f t="shared" si="147"/>
        <v>27.89169812866561</v>
      </c>
      <c r="BH143" s="43">
        <f t="shared" si="148"/>
        <v>11.55934385894375</v>
      </c>
      <c r="BI143" s="41" t="str">
        <f t="shared" si="152"/>
        <v>325.685963030858+164.106962635457i</v>
      </c>
      <c r="BJ143" s="20">
        <f t="shared" si="149"/>
        <v>51.23859613955343</v>
      </c>
      <c r="BK143" s="43">
        <f t="shared" si="153"/>
        <v>26.742665956769091</v>
      </c>
      <c r="BL143">
        <f t="shared" si="150"/>
        <v>27.89169812866561</v>
      </c>
      <c r="BM143" s="43">
        <f t="shared" si="151"/>
        <v>11.55934385894375</v>
      </c>
    </row>
    <row r="144" spans="14:65" x14ac:dyDescent="0.25">
      <c r="N144" s="9">
        <v>26</v>
      </c>
      <c r="O144" s="34">
        <f t="shared" si="154"/>
        <v>181.9700858609983</v>
      </c>
      <c r="P144" s="33" t="str">
        <f t="shared" si="103"/>
        <v>16.5157725627975</v>
      </c>
      <c r="Q144" s="4" t="str">
        <f t="shared" si="104"/>
        <v>1+2.9583895870611i</v>
      </c>
      <c r="R144" s="4">
        <f t="shared" si="117"/>
        <v>3.1228302785824829</v>
      </c>
      <c r="S144" s="4">
        <f t="shared" si="118"/>
        <v>1.2448321566427438</v>
      </c>
      <c r="T144" s="4" t="str">
        <f t="shared" si="105"/>
        <v>1+0.0188081366136711i</v>
      </c>
      <c r="U144" s="4">
        <f t="shared" si="119"/>
        <v>1.0001768573621759</v>
      </c>
      <c r="V144" s="4">
        <f t="shared" si="120"/>
        <v>1.8805919316551848E-2</v>
      </c>
      <c r="W144" t="str">
        <f t="shared" si="106"/>
        <v>1-0.285837942457007i</v>
      </c>
      <c r="X144" s="4">
        <f t="shared" si="121"/>
        <v>1.0400496763847653</v>
      </c>
      <c r="Y144" s="4">
        <f t="shared" si="122"/>
        <v>-0.2784139794288108</v>
      </c>
      <c r="Z144" t="str">
        <f t="shared" si="107"/>
        <v>0.99999931584479+0.0040017311943981i</v>
      </c>
      <c r="AA144" s="4">
        <f t="shared" si="123"/>
        <v>1.0000073227444888</v>
      </c>
      <c r="AB144" s="4">
        <f t="shared" si="124"/>
        <v>4.0017125713221842E-3</v>
      </c>
      <c r="AC144" s="47" t="str">
        <f t="shared" si="125"/>
        <v>0.342818175277577-5.49077167793141i</v>
      </c>
      <c r="AD144" s="20">
        <f t="shared" si="126"/>
        <v>14.809564328216753</v>
      </c>
      <c r="AE144" s="43">
        <f t="shared" si="127"/>
        <v>-86.427356190969647</v>
      </c>
      <c r="AF144" t="str">
        <f t="shared" si="108"/>
        <v>247.084651286898</v>
      </c>
      <c r="AG144" t="str">
        <f t="shared" si="109"/>
        <v>1+2.89308597886611i</v>
      </c>
      <c r="AH144">
        <f t="shared" si="128"/>
        <v>3.0610368310609521</v>
      </c>
      <c r="AI144">
        <f t="shared" si="129"/>
        <v>1.2380005379328041</v>
      </c>
      <c r="AJ144" t="str">
        <f t="shared" si="110"/>
        <v>1+0.0188081366136711i</v>
      </c>
      <c r="AK144">
        <f t="shared" si="130"/>
        <v>1.0001768573621759</v>
      </c>
      <c r="AL144">
        <f t="shared" si="131"/>
        <v>1.8805919316551848E-2</v>
      </c>
      <c r="AM144" t="str">
        <f t="shared" si="111"/>
        <v>1-0.0186841120628746i</v>
      </c>
      <c r="AN144">
        <f t="shared" si="132"/>
        <v>1.0001745327909415</v>
      </c>
      <c r="AO144">
        <f t="shared" si="133"/>
        <v>-1.8681938334960686E-2</v>
      </c>
      <c r="AP144" s="41" t="str">
        <f t="shared" si="134"/>
        <v>26.3886392500944-76.3139576529195i</v>
      </c>
      <c r="AQ144">
        <f t="shared" si="135"/>
        <v>38.142596128751933</v>
      </c>
      <c r="AR144" s="43">
        <f t="shared" si="136"/>
        <v>-70.925102271490204</v>
      </c>
      <c r="AS144" t="str">
        <f t="shared" si="112"/>
        <v>-0.0000166666666666667</v>
      </c>
      <c r="AT144" t="str">
        <f t="shared" si="113"/>
        <v>3.88739601741531E-06i</v>
      </c>
      <c r="AU144">
        <f t="shared" si="137"/>
        <v>3.8873960174153101E-6</v>
      </c>
      <c r="AV144">
        <f t="shared" si="138"/>
        <v>1.5707963267948966</v>
      </c>
      <c r="AW144" t="str">
        <f t="shared" si="114"/>
        <v>1+0.00395061664468815i</v>
      </c>
      <c r="AX144">
        <f t="shared" si="139"/>
        <v>1.0000078036554882</v>
      </c>
      <c r="AY144">
        <f t="shared" si="140"/>
        <v>3.950596091966246E-3</v>
      </c>
      <c r="AZ144" t="str">
        <f t="shared" si="115"/>
        <v>1+0.134320965919397i</v>
      </c>
      <c r="BA144">
        <f t="shared" si="141"/>
        <v>1.0089807341498249</v>
      </c>
      <c r="BB144">
        <f t="shared" si="142"/>
        <v>0.13352178781830604</v>
      </c>
      <c r="BC144" s="41" t="str">
        <f t="shared" si="143"/>
        <v>-0.558935913157551+4.28956826433953i</v>
      </c>
      <c r="BD144">
        <f t="shared" si="144"/>
        <v>12.721388977636028</v>
      </c>
      <c r="BE144" s="43">
        <f t="shared" si="145"/>
        <v>97.423882432399665</v>
      </c>
      <c r="BF144" s="41" t="str">
        <f t="shared" si="146"/>
        <v>23.3614265465431+4.53953144685369i</v>
      </c>
      <c r="BG144" s="20">
        <f t="shared" si="147"/>
        <v>27.53095330585278</v>
      </c>
      <c r="BH144" s="43">
        <f t="shared" si="148"/>
        <v>10.996526241430026</v>
      </c>
      <c r="BI144" s="41" t="str">
        <f t="shared" si="152"/>
        <v>312.604372697878+155.850481073711i</v>
      </c>
      <c r="BJ144" s="20">
        <f t="shared" si="149"/>
        <v>50.863985106387979</v>
      </c>
      <c r="BK144" s="43">
        <f t="shared" si="153"/>
        <v>26.49878016090949</v>
      </c>
      <c r="BL144">
        <f t="shared" si="150"/>
        <v>27.53095330585278</v>
      </c>
      <c r="BM144" s="43">
        <f t="shared" si="151"/>
        <v>10.996526241430026</v>
      </c>
    </row>
    <row r="145" spans="14:65" x14ac:dyDescent="0.25">
      <c r="N145" s="9">
        <v>27</v>
      </c>
      <c r="O145" s="34">
        <f t="shared" si="154"/>
        <v>186.20871366628685</v>
      </c>
      <c r="P145" s="33" t="str">
        <f t="shared" si="103"/>
        <v>16.5157725627975</v>
      </c>
      <c r="Q145" s="4" t="str">
        <f t="shared" si="104"/>
        <v>1+3.02729933287598i</v>
      </c>
      <c r="R145" s="4">
        <f t="shared" si="117"/>
        <v>3.1881877690674609</v>
      </c>
      <c r="S145" s="4">
        <f t="shared" si="118"/>
        <v>1.2517535230778267</v>
      </c>
      <c r="T145" s="4" t="str">
        <f t="shared" si="105"/>
        <v>1+0.0192462343946287i</v>
      </c>
      <c r="U145" s="4">
        <f t="shared" si="119"/>
        <v>1.0001851916212181</v>
      </c>
      <c r="V145" s="4">
        <f t="shared" si="120"/>
        <v>1.9243858541718433E-2</v>
      </c>
      <c r="W145" t="str">
        <f t="shared" si="106"/>
        <v>1-0.292495963444205i</v>
      </c>
      <c r="X145" s="4">
        <f t="shared" si="121"/>
        <v>1.0418991739276664</v>
      </c>
      <c r="Y145" s="4">
        <f t="shared" si="122"/>
        <v>-0.28455821863832859</v>
      </c>
      <c r="Z145" t="str">
        <f t="shared" si="107"/>
        <v>0.999999283601549+0.00409494348821887i</v>
      </c>
      <c r="AA145" s="4">
        <f t="shared" si="123"/>
        <v>1.0000076678534933</v>
      </c>
      <c r="AB145" s="4">
        <f t="shared" si="124"/>
        <v>4.0949235332417453E-3</v>
      </c>
      <c r="AC145" s="47" t="str">
        <f t="shared" si="125"/>
        <v>0.267827110284751-5.39166160717003i</v>
      </c>
      <c r="AD145" s="20">
        <f t="shared" si="126"/>
        <v>14.645155722388948</v>
      </c>
      <c r="AE145" s="43">
        <f t="shared" si="127"/>
        <v>-87.156208776624609</v>
      </c>
      <c r="AF145" t="str">
        <f t="shared" si="108"/>
        <v>247.084651286898</v>
      </c>
      <c r="AG145" t="str">
        <f t="shared" si="109"/>
        <v>1+2.9604746082394i</v>
      </c>
      <c r="AH145">
        <f t="shared" si="128"/>
        <v>3.1248055789169076</v>
      </c>
      <c r="AI145">
        <f t="shared" si="129"/>
        <v>1.2450458244489619</v>
      </c>
      <c r="AJ145" t="str">
        <f t="shared" si="110"/>
        <v>1+0.0192462343946287i</v>
      </c>
      <c r="AK145">
        <f t="shared" si="130"/>
        <v>1.0001851916212181</v>
      </c>
      <c r="AL145">
        <f t="shared" si="131"/>
        <v>1.9243858541718433E-2</v>
      </c>
      <c r="AM145" t="str">
        <f t="shared" si="111"/>
        <v>1-0.0191193209409278i</v>
      </c>
      <c r="AN145">
        <f t="shared" si="132"/>
        <v>1.0001827575164661</v>
      </c>
      <c r="AO145">
        <f t="shared" si="133"/>
        <v>-1.9116991772489249E-2</v>
      </c>
      <c r="AP145" s="41" t="str">
        <f t="shared" si="134"/>
        <v>25.3234358524477-74.9380304680993i</v>
      </c>
      <c r="AQ145">
        <f t="shared" si="135"/>
        <v>37.96365100912287</v>
      </c>
      <c r="AR145" s="43">
        <f t="shared" si="136"/>
        <v>-71.328602110874215</v>
      </c>
      <c r="AS145" t="str">
        <f t="shared" si="112"/>
        <v>-0.0000166666666666667</v>
      </c>
      <c r="AT145" t="str">
        <f t="shared" si="113"/>
        <v>0.0000039779451028412i</v>
      </c>
      <c r="AU145">
        <f t="shared" si="137"/>
        <v>3.9779451028412003E-6</v>
      </c>
      <c r="AV145">
        <f t="shared" si="138"/>
        <v>1.5707963267948966</v>
      </c>
      <c r="AW145" t="str">
        <f t="shared" si="114"/>
        <v>1+0.00404263832769708i</v>
      </c>
      <c r="AX145">
        <f t="shared" si="139"/>
        <v>1.0000081714289382</v>
      </c>
      <c r="AY145">
        <f t="shared" si="140"/>
        <v>4.0426163050685041E-3</v>
      </c>
      <c r="AZ145" t="str">
        <f t="shared" si="115"/>
        <v>1+0.137449703141701i</v>
      </c>
      <c r="BA145">
        <f t="shared" si="141"/>
        <v>1.0094020115364055</v>
      </c>
      <c r="BB145">
        <f t="shared" si="142"/>
        <v>0.13659379857792042</v>
      </c>
      <c r="BC145" s="41" t="str">
        <f t="shared" si="143"/>
        <v>-0.558935502037408+4.19202746574238i</v>
      </c>
      <c r="BD145">
        <f t="shared" si="144"/>
        <v>12.525011625691931</v>
      </c>
      <c r="BE145" s="43">
        <f t="shared" si="145"/>
        <v>97.594623313703693</v>
      </c>
      <c r="BF145" s="41" t="str">
        <f t="shared" si="146"/>
        <v>22.4522954628992+4.13632968960349i</v>
      </c>
      <c r="BG145" s="20">
        <f t="shared" si="147"/>
        <v>27.170167348080867</v>
      </c>
      <c r="BH145" s="43">
        <f t="shared" si="148"/>
        <v>10.438414537079094</v>
      </c>
      <c r="BI145" s="41" t="str">
        <f t="shared" si="152"/>
        <v>299.988114619412+148.042064301808i</v>
      </c>
      <c r="BJ145" s="20">
        <f t="shared" si="149"/>
        <v>50.488662634814816</v>
      </c>
      <c r="BK145" s="43">
        <f t="shared" si="153"/>
        <v>26.266021202829503</v>
      </c>
      <c r="BL145">
        <f t="shared" si="150"/>
        <v>27.170167348080867</v>
      </c>
      <c r="BM145" s="43">
        <f t="shared" si="151"/>
        <v>10.438414537079094</v>
      </c>
    </row>
    <row r="146" spans="14:65" x14ac:dyDescent="0.25">
      <c r="N146" s="9">
        <v>28</v>
      </c>
      <c r="O146" s="34">
        <f t="shared" si="154"/>
        <v>190.54607179632498</v>
      </c>
      <c r="P146" s="33" t="str">
        <f t="shared" si="103"/>
        <v>16.5157725627975</v>
      </c>
      <c r="Q146" s="4" t="str">
        <f t="shared" si="104"/>
        <v>1+3.09781419286821i</v>
      </c>
      <c r="R146" s="4">
        <f t="shared" si="117"/>
        <v>3.2552193126632374</v>
      </c>
      <c r="S146" s="4">
        <f t="shared" si="118"/>
        <v>1.2585480597146168</v>
      </c>
      <c r="T146" s="4" t="str">
        <f t="shared" si="105"/>
        <v>1+0.0196945367838165i</v>
      </c>
      <c r="U146" s="4">
        <f t="shared" si="119"/>
        <v>1.0001939185873552</v>
      </c>
      <c r="V146" s="4">
        <f t="shared" si="120"/>
        <v>1.9691991038213525E-2</v>
      </c>
      <c r="W146" t="str">
        <f t="shared" si="106"/>
        <v>1-0.299309069662865i</v>
      </c>
      <c r="X146" s="4">
        <f t="shared" si="121"/>
        <v>1.043832323307939</v>
      </c>
      <c r="Y146" s="4">
        <f t="shared" si="122"/>
        <v>-0.29082279295509117</v>
      </c>
      <c r="Z146" t="str">
        <f t="shared" si="107"/>
        <v>0.99999924983873+0.00419032697528011i</v>
      </c>
      <c r="AA146" s="4">
        <f t="shared" si="123"/>
        <v>1.0000080292268569</v>
      </c>
      <c r="AB146" s="4">
        <f t="shared" si="124"/>
        <v>4.1903055931461373E-3</v>
      </c>
      <c r="AC146" s="47" t="str">
        <f t="shared" si="125"/>
        <v>0.195558771642111-5.29339047112245i</v>
      </c>
      <c r="AD146" s="20">
        <f t="shared" si="126"/>
        <v>14.480602076552822</v>
      </c>
      <c r="AE146" s="43">
        <f t="shared" si="127"/>
        <v>-87.88422960721816</v>
      </c>
      <c r="AF146" t="str">
        <f t="shared" si="108"/>
        <v>247.084651286898</v>
      </c>
      <c r="AG146" t="str">
        <f t="shared" si="109"/>
        <v>1+3.02943292043651i</v>
      </c>
      <c r="AH146">
        <f t="shared" si="128"/>
        <v>3.1902137576382685</v>
      </c>
      <c r="AI146">
        <f t="shared" si="129"/>
        <v>1.2519632947300632</v>
      </c>
      <c r="AJ146" t="str">
        <f t="shared" si="110"/>
        <v>1+0.0196945367838165i</v>
      </c>
      <c r="AK146">
        <f t="shared" si="130"/>
        <v>1.0001939185873552</v>
      </c>
      <c r="AL146">
        <f t="shared" si="131"/>
        <v>1.9691991038213525E-2</v>
      </c>
      <c r="AM146" t="str">
        <f t="shared" si="111"/>
        <v>1-0.0195646671360183i</v>
      </c>
      <c r="AN146">
        <f t="shared" si="132"/>
        <v>1.0001913697888736</v>
      </c>
      <c r="AO146">
        <f t="shared" si="133"/>
        <v>-1.9562171412860825E-2</v>
      </c>
      <c r="AP146" s="41" t="str">
        <f t="shared" si="134"/>
        <v>24.2965312834052-73.5726229257242i</v>
      </c>
      <c r="AQ146">
        <f t="shared" si="135"/>
        <v>37.783865942342473</v>
      </c>
      <c r="AR146" s="43">
        <f t="shared" si="136"/>
        <v>-71.724774776695099</v>
      </c>
      <c r="AS146" t="str">
        <f t="shared" si="112"/>
        <v>-0.0000166666666666667</v>
      </c>
      <c r="AT146" t="str">
        <f t="shared" si="113"/>
        <v>4.07060334741495E-06i</v>
      </c>
      <c r="AU146">
        <f t="shared" si="137"/>
        <v>4.0706033474149496E-6</v>
      </c>
      <c r="AV146">
        <f t="shared" si="138"/>
        <v>1.5707963267948966</v>
      </c>
      <c r="AW146" t="str">
        <f t="shared" si="114"/>
        <v>1+0.00413680347105804i</v>
      </c>
      <c r="AX146">
        <f t="shared" si="139"/>
        <v>1.000008556534872</v>
      </c>
      <c r="AY146">
        <f t="shared" si="140"/>
        <v>4.1367798733972748E-3</v>
      </c>
      <c r="AZ146" t="str">
        <f t="shared" si="115"/>
        <v>1+0.140651318015973i</v>
      </c>
      <c r="BA146">
        <f t="shared" si="141"/>
        <v>1.0098429547507031</v>
      </c>
      <c r="BB146">
        <f t="shared" si="142"/>
        <v>0.13973468185492377</v>
      </c>
      <c r="BC146" s="41" t="str">
        <f t="shared" si="143"/>
        <v>-0.558935071542418+4.09670933543889i</v>
      </c>
      <c r="BD146">
        <f t="shared" si="144"/>
        <v>12.328801762177882</v>
      </c>
      <c r="BE146" s="43">
        <f t="shared" si="145"/>
        <v>97.769187494370087</v>
      </c>
      <c r="BF146" s="41" t="str">
        <f t="shared" si="146"/>
        <v>21.5761775031521+3.75980902709198i</v>
      </c>
      <c r="BG146" s="20">
        <f t="shared" si="147"/>
        <v>26.809403838730713</v>
      </c>
      <c r="BH146" s="43">
        <f t="shared" si="148"/>
        <v>9.8849578871519217</v>
      </c>
      <c r="BI146" s="41" t="str">
        <f t="shared" si="152"/>
        <v>287.825467721417+140.658145786062i</v>
      </c>
      <c r="BJ146" s="20">
        <f t="shared" si="149"/>
        <v>50.112667704520355</v>
      </c>
      <c r="BK146" s="43">
        <f t="shared" si="153"/>
        <v>26.044412717674973</v>
      </c>
      <c r="BL146">
        <f t="shared" si="150"/>
        <v>26.809403838730713</v>
      </c>
      <c r="BM146" s="43">
        <f t="shared" si="151"/>
        <v>9.8849578871519217</v>
      </c>
    </row>
    <row r="147" spans="14:65" x14ac:dyDescent="0.25">
      <c r="N147" s="9">
        <v>29</v>
      </c>
      <c r="O147" s="34">
        <f t="shared" si="154"/>
        <v>194.98445997580458</v>
      </c>
      <c r="P147" s="33" t="str">
        <f t="shared" ref="P147:P210" si="155">COMPLEX(Adc,0)</f>
        <v>16.5157725627975</v>
      </c>
      <c r="Q147" s="4" t="str">
        <f t="shared" ref="Q147:Q210" si="156">IMSUM(COMPLEX(1,0),IMDIV(COMPLEX(0,2*PI()*O147),COMPLEX(wp_lf,0)))</f>
        <v>1+3.16997155494988i</v>
      </c>
      <c r="R147" s="4">
        <f t="shared" si="117"/>
        <v>3.3239614406896121</v>
      </c>
      <c r="S147" s="4">
        <f t="shared" si="118"/>
        <v>1.2652168588465014</v>
      </c>
      <c r="T147" s="4" t="str">
        <f t="shared" ref="T147:T210" si="157">IMSUM(COMPLEX(1,0),IMDIV(COMPLEX(0,2*PI()*O147),COMPLEX(wz_esr,0)))</f>
        <v>1+0.0201532814770949i</v>
      </c>
      <c r="U147" s="4">
        <f t="shared" si="119"/>
        <v>1.0002030567611233</v>
      </c>
      <c r="V147" s="4">
        <f t="shared" si="120"/>
        <v>2.0150553691443727E-2</v>
      </c>
      <c r="W147" t="str">
        <f t="shared" ref="W147:W210" si="158">IMSUB(COMPLEX(1,0),IMDIV(COMPLEX(0,2*PI()*O147),COMPLEX(wz_rhp,0)))</f>
        <v>1-0.30628087351208i</v>
      </c>
      <c r="X147" s="4">
        <f t="shared" si="121"/>
        <v>1.0458527494247565</v>
      </c>
      <c r="Y147" s="4">
        <f t="shared" si="122"/>
        <v>-0.29720905637528133</v>
      </c>
      <c r="Z147" t="str">
        <f t="shared" ref="Z147:Z210" si="159">IMSUM(COMPLEX(1,0),IMDIV(COMPLEX(0,2*PI()*O147),COMPLEX(Q*(wsl/2),0)),IMDIV(IMPOWER(COMPLEX(0,2*PI()*O147),2),IMPOWER(COMPLEX(wsl/2,0),2)))</f>
        <v>0.999999214484718+0.00428793222916912i</v>
      </c>
      <c r="AA147" s="4">
        <f t="shared" si="123"/>
        <v>1.0000084076310833</v>
      </c>
      <c r="AB147" s="4">
        <f t="shared" si="124"/>
        <v>4.2879093178101631E-3</v>
      </c>
      <c r="AC147" s="47" t="str">
        <f t="shared" si="125"/>
        <v>0.125939992538596-5.19601570162588i</v>
      </c>
      <c r="AD147" s="20">
        <f t="shared" si="126"/>
        <v>14.315959700503697</v>
      </c>
      <c r="AE147" s="43">
        <f t="shared" si="127"/>
        <v>-88.611548169547007</v>
      </c>
      <c r="AF147" t="str">
        <f t="shared" ref="AF147:AF210" si="160">COMPLEX($B$72,0)</f>
        <v>247.084651286898</v>
      </c>
      <c r="AG147" t="str">
        <f t="shared" ref="AG147:AG210" si="161">IMSUM(COMPLEX(1,0),IMDIV(COMPLEX(0,2*PI()*O147),COMPLEX(wp_lf_DCM,0)))</f>
        <v>1+3.09999747806728i</v>
      </c>
      <c r="AH147">
        <f t="shared" si="128"/>
        <v>3.2572970948354554</v>
      </c>
      <c r="AI147">
        <f t="shared" si="129"/>
        <v>1.2587539675382466</v>
      </c>
      <c r="AJ147" t="str">
        <f t="shared" ref="AJ147:AJ210" si="162">IMSUM(COMPLEX(1,0),IMDIV(COMPLEX(0,2*PI()*O147),COMPLEX(wz1_dcm,0)))</f>
        <v>1+0.0201532814770949i</v>
      </c>
      <c r="AK147">
        <f t="shared" si="130"/>
        <v>1.0002030567611233</v>
      </c>
      <c r="AL147">
        <f t="shared" si="131"/>
        <v>2.0150553691443727E-2</v>
      </c>
      <c r="AM147" t="str">
        <f t="shared" ref="AM147:AM210" si="163">IMSUB(COMPLEX(1,0),IMDIV(COMPLEX(0,2*PI()*O147),COMPLEX(wz2_dcm,0)))</f>
        <v>1-0.020020386776593i</v>
      </c>
      <c r="AN147">
        <f t="shared" si="132"/>
        <v>1.0002003878656938</v>
      </c>
      <c r="AO147">
        <f t="shared" si="133"/>
        <v>-2.0017712589984891E-2</v>
      </c>
      <c r="AP147" s="41" t="str">
        <f t="shared" si="134"/>
        <v>23.3069275046896-72.2185802453032i</v>
      </c>
      <c r="AQ147">
        <f t="shared" si="135"/>
        <v>37.603271847141301</v>
      </c>
      <c r="AR147" s="43">
        <f t="shared" si="136"/>
        <v>-72.113678550829491</v>
      </c>
      <c r="AS147" t="str">
        <f t="shared" ref="AS147:AS210" si="164">COMPLEX(Adc_ea,0)</f>
        <v>-0.0000166666666666667</v>
      </c>
      <c r="AT147" t="str">
        <f t="shared" ref="AT147:AT210" si="165">COMPLEX(0,2*PI()*O147*wp0_ea)</f>
        <v>4.16541987976429E-06i</v>
      </c>
      <c r="AU147">
        <f t="shared" si="137"/>
        <v>4.1654198797642903E-6</v>
      </c>
      <c r="AV147">
        <f t="shared" si="138"/>
        <v>1.5707963267948966</v>
      </c>
      <c r="AW147" t="str">
        <f t="shared" ref="AW147:AW210" si="166">IMSUM(COMPLEX(1,0),IMDIV(COMPLEX(0,2*PI()*O147),COMPLEX(wp1_ea,0)))</f>
        <v>1+0.00423316200237637i</v>
      </c>
      <c r="AX147">
        <f t="shared" si="139"/>
        <v>1.0000089597901303</v>
      </c>
      <c r="AY147">
        <f t="shared" si="140"/>
        <v>4.2331367170395373E-3</v>
      </c>
      <c r="AZ147" t="str">
        <f t="shared" ref="AZ147:AZ210" si="167">IMSUM(COMPLEX(1,0),IMDIV(COMPLEX(0,2*PI()*O147),COMPLEX(wz_ea,0)))</f>
        <v>1+0.143927508080797i</v>
      </c>
      <c r="BA147">
        <f t="shared" si="141"/>
        <v>1.0103044727122352</v>
      </c>
      <c r="BB147">
        <f t="shared" si="142"/>
        <v>0.14294585497481119</v>
      </c>
      <c r="BC147" s="41" t="str">
        <f t="shared" si="143"/>
        <v>-0.558934620759536+4.00356333448354i</v>
      </c>
      <c r="BD147">
        <f t="shared" si="144"/>
        <v>12.132766974034194</v>
      </c>
      <c r="BE147" s="43">
        <f t="shared" si="145"/>
        <v>97.947653320957599</v>
      </c>
      <c r="BF147" s="41" t="str">
        <f t="shared" si="146"/>
        <v>20.7321857264621+3.40844180212151i</v>
      </c>
      <c r="BG147" s="20">
        <f t="shared" si="147"/>
        <v>26.448726674537888</v>
      </c>
      <c r="BH147" s="43">
        <f t="shared" si="148"/>
        <v>9.3361051514105995</v>
      </c>
      <c r="BI147" s="41" t="str">
        <f t="shared" si="152"/>
        <v>276.104611252649+133.676225158442i</v>
      </c>
      <c r="BJ147" s="20">
        <f t="shared" si="149"/>
        <v>49.736038821175498</v>
      </c>
      <c r="BK147" s="43">
        <f t="shared" si="153"/>
        <v>25.833974770128172</v>
      </c>
      <c r="BL147">
        <f t="shared" si="150"/>
        <v>26.448726674537888</v>
      </c>
      <c r="BM147" s="43">
        <f t="shared" si="151"/>
        <v>9.3361051514105995</v>
      </c>
    </row>
    <row r="148" spans="14:65" x14ac:dyDescent="0.25">
      <c r="N148" s="9">
        <v>30</v>
      </c>
      <c r="O148" s="34">
        <f t="shared" si="154"/>
        <v>199.52623149688802</v>
      </c>
      <c r="P148" s="33" t="str">
        <f t="shared" si="155"/>
        <v>16.5157725627975</v>
      </c>
      <c r="Q148" s="4" t="str">
        <f t="shared" si="156"/>
        <v>1+3.24380967790955i</v>
      </c>
      <c r="R148" s="4">
        <f t="shared" ref="R148:R211" si="168">IMABS(Q148)</f>
        <v>3.3944515354471712</v>
      </c>
      <c r="S148" s="4">
        <f t="shared" ref="S148:S211" si="169">IMARGUMENT(Q148)</f>
        <v>1.2717610828781956</v>
      </c>
      <c r="T148" s="4" t="str">
        <f t="shared" si="157"/>
        <v>1+0.0206227117069727i</v>
      </c>
      <c r="U148" s="4">
        <f t="shared" ref="U148:U211" si="170">IMABS(T148)</f>
        <v>1.0002126255142698</v>
      </c>
      <c r="V148" s="4">
        <f t="shared" ref="V148:V211" si="171">IMARGUMENT(T148)</f>
        <v>2.0619788865544067E-2</v>
      </c>
      <c r="W148" t="str">
        <f t="shared" si="158"/>
        <v>1-0.31341507153454i</v>
      </c>
      <c r="X148" s="4">
        <f t="shared" ref="X148:X211" si="172">IMABS(W148)</f>
        <v>1.0479642203171828</v>
      </c>
      <c r="Y148" s="4">
        <f t="shared" ref="Y148:Y211" si="173">IMARGUMENT(W148)</f>
        <v>-0.30371831053107889</v>
      </c>
      <c r="Z148" t="str">
        <f t="shared" si="159"/>
        <v>0.999999177464524+0.00438781100148356i</v>
      </c>
      <c r="AA148" s="4">
        <f t="shared" ref="AA148:AA211" si="174">IMABS(Z148)</f>
        <v>1.0000088038688006</v>
      </c>
      <c r="AB148" s="4">
        <f t="shared" ref="AB148:AB211" si="175">IMARGUMENT(Z148)</f>
        <v>4.3877864515317715E-3</v>
      </c>
      <c r="AC148" s="47" t="str">
        <f t="shared" ref="AC148:AC211" si="176">(IMDIV(IMPRODUCT(P148,T148,W148),IMPRODUCT(Q148,Z148)))</f>
        <v>0.0588974589416261-5.09959024796501i</v>
      </c>
      <c r="AD148" s="20">
        <f t="shared" ref="AD148:AD211" si="177">20*LOG(IMABS(AC148))</f>
        <v>14.15128490464941</v>
      </c>
      <c r="AE148" s="43">
        <f t="shared" ref="AE148:AE211" si="178">(180/PI())*IMARGUMENT(AC148)</f>
        <v>-89.338294720813394</v>
      </c>
      <c r="AF148" t="str">
        <f t="shared" si="160"/>
        <v>247.084651286898</v>
      </c>
      <c r="AG148" t="str">
        <f t="shared" si="161"/>
        <v>1+3.17220569539427i</v>
      </c>
      <c r="AH148">
        <f t="shared" ref="AH148:AH211" si="179">IMABS(AG148)</f>
        <v>3.3260921475346779</v>
      </c>
      <c r="AI148">
        <f t="shared" ref="AI148:AI211" si="180">IMARGUMENT(AG148)</f>
        <v>1.2654189373976714</v>
      </c>
      <c r="AJ148" t="str">
        <f t="shared" si="162"/>
        <v>1+0.0206227117069727i</v>
      </c>
      <c r="AK148">
        <f t="shared" ref="AK148:AK211" si="181">IMABS(AJ148)</f>
        <v>1.0002126255142698</v>
      </c>
      <c r="AL148">
        <f t="shared" ref="AL148:AL211" si="182">IMARGUMENT(AJ148)</f>
        <v>2.0619788865544067E-2</v>
      </c>
      <c r="AM148" t="str">
        <f t="shared" si="163"/>
        <v>1-0.0204867214912379i</v>
      </c>
      <c r="AN148">
        <f t="shared" ref="AN148:AN211" si="183">IMABS(AM148)</f>
        <v>1.000209830864234</v>
      </c>
      <c r="AO148">
        <f t="shared" ref="AO148:AO211" si="184">IMARGUMENT(AM148)</f>
        <v>-2.0483856081126989E-2</v>
      </c>
      <c r="AP148" s="41" t="str">
        <f t="shared" ref="AP148:AP211" si="185">(IMDIV(IMPRODUCT(AF148,AJ148,AM148),IMPRODUCT(AG148)))</f>
        <v>22.3536214349206-70.8766841335092i</v>
      </c>
      <c r="AQ148">
        <f t="shared" ref="AQ148:AQ211" si="186">20*LOG(IMABS(AP148))</f>
        <v>37.421898847081493</v>
      </c>
      <c r="AR148" s="43">
        <f t="shared" ref="AR148:AR211" si="187">(180/PI())*IMARGUMENT(AP148)</f>
        <v>-72.495376053971327</v>
      </c>
      <c r="AS148" t="str">
        <f t="shared" si="164"/>
        <v>-0.0000166666666666667</v>
      </c>
      <c r="AT148" t="str">
        <f t="shared" si="165"/>
        <v>4.26244497286974E-06i</v>
      </c>
      <c r="AU148">
        <f t="shared" ref="AU148:AU211" si="188">IMABS(AT148)</f>
        <v>4.2624449728697403E-6</v>
      </c>
      <c r="AV148">
        <f t="shared" ref="AV148:AV211" si="189">IMARGUMENT(AT148)</f>
        <v>1.5707963267948966</v>
      </c>
      <c r="AW148" t="str">
        <f t="shared" si="166"/>
        <v>1+0.00433176501222091i</v>
      </c>
      <c r="AX148">
        <f t="shared" ref="AX148:AX211" si="190">IMABS(AW148)</f>
        <v>1.0000093820500491</v>
      </c>
      <c r="AY148">
        <f t="shared" ref="AY148:AY211" si="191">IMARGUMENT(AW148)</f>
        <v>4.3317379185080817E-3</v>
      </c>
      <c r="AZ148" t="str">
        <f t="shared" si="167"/>
        <v>1+0.147280010415511i</v>
      </c>
      <c r="BA148">
        <f t="shared" ref="BA148:BA211" si="192">IMABS(AZ148)</f>
        <v>1.010787515488786</v>
      </c>
      <c r="BB148">
        <f t="shared" ref="BB148:BB211" si="193">IMARGUMENT(AZ148)</f>
        <v>0.1462287555060556</v>
      </c>
      <c r="BC148" s="41" t="str">
        <f t="shared" ref="BC148:BC211" si="194">IMPRODUCT(AS148,IMDIV(AZ148,IMPRODUCT(AT148,AW148)))</f>
        <v>-0.558934148732688+3.91254007562162i</v>
      </c>
      <c r="BD148">
        <f t="shared" ref="BD148:BD211" si="195">20*LOG(IMABS(BC148))</f>
        <v>11.936915177088061</v>
      </c>
      <c r="BE148" s="43">
        <f t="shared" ref="BE148:BE211" si="196">(180/PI())*IMARGUMENT(BC148)</f>
        <v>98.130100233260109</v>
      </c>
      <c r="BF148" s="41" t="str">
        <f t="shared" ref="BF148:BF211" si="197">IMPRODUCT(AC148,BC148)</f>
        <v>19.9194314133362+3.08077380259323i</v>
      </c>
      <c r="BG148" s="20">
        <f t="shared" ref="BG148:BG211" si="198">20*LOG(IMABS(BF148))</f>
        <v>26.088200081737448</v>
      </c>
      <c r="BH148" s="43">
        <f t="shared" ref="BH148:BH211" si="199">(180/PI())*IMARGUMENT(BF148)</f>
        <v>8.7918055124467323</v>
      </c>
      <c r="BI148" s="41" t="str">
        <f t="shared" si="152"/>
        <v>264.81366473171+127.07483881056i</v>
      </c>
      <c r="BJ148" s="20">
        <f t="shared" ref="BJ148:BJ211" si="200">20*LOG(IMABS(BI148))</f>
        <v>49.358814024169561</v>
      </c>
      <c r="BK148" s="43">
        <f t="shared" si="153"/>
        <v>25.634724179288792</v>
      </c>
      <c r="BL148">
        <f t="shared" ref="BL148:BL211" si="201">IF($B$31=0,BJ148,BG148)</f>
        <v>26.088200081737448</v>
      </c>
      <c r="BM148" s="43">
        <f t="shared" ref="BM148:BM211" si="202">IF($B$31=0,BK148,BH148)</f>
        <v>8.7918055124467323</v>
      </c>
    </row>
    <row r="149" spans="14:65" x14ac:dyDescent="0.25">
      <c r="N149" s="9">
        <v>31</v>
      </c>
      <c r="O149" s="34">
        <f t="shared" si="154"/>
        <v>204.17379446695315</v>
      </c>
      <c r="P149" s="33" t="str">
        <f t="shared" si="155"/>
        <v>16.5157725627975</v>
      </c>
      <c r="Q149" s="4" t="str">
        <f t="shared" si="156"/>
        <v>1+3.31936771169732i</v>
      </c>
      <c r="R149" s="4">
        <f t="shared" si="168"/>
        <v>3.4667278528114522</v>
      </c>
      <c r="S149" s="4">
        <f t="shared" si="169"/>
        <v>1.2781819586872758</v>
      </c>
      <c r="T149" s="4" t="str">
        <f t="shared" si="157"/>
        <v>1+0.0211030763715714i</v>
      </c>
      <c r="U149" s="4">
        <f t="shared" si="170"/>
        <v>1.000222645130745</v>
      </c>
      <c r="V149" s="4">
        <f t="shared" si="171"/>
        <v>2.1099944528205156E-2</v>
      </c>
      <c r="W149" t="str">
        <f t="shared" si="158"/>
        <v>1-0.320715446376465i</v>
      </c>
      <c r="X149" s="4">
        <f t="shared" si="172"/>
        <v>1.0501706516297507</v>
      </c>
      <c r="Y149" s="4">
        <f t="shared" si="173"/>
        <v>-0.31035179951829051</v>
      </c>
      <c r="Z149" t="str">
        <f t="shared" si="159"/>
        <v>0.999999138699621+0.00449001624927051i</v>
      </c>
      <c r="AA149" s="4">
        <f t="shared" si="174"/>
        <v>1.0000092187804583</v>
      </c>
      <c r="AB149" s="4">
        <f t="shared" si="175"/>
        <v>4.4899899435362958E-3</v>
      </c>
      <c r="AC149" s="47" t="str">
        <f t="shared" si="176"/>
        <v>-0.00564207990411077-5.00416273155592i</v>
      </c>
      <c r="AD149" s="20">
        <f t="shared" si="177"/>
        <v>13.986634004297663</v>
      </c>
      <c r="AE149" s="43">
        <f t="shared" si="178"/>
        <v>-90.064599663628641</v>
      </c>
      <c r="AF149" t="str">
        <f t="shared" si="160"/>
        <v>247.084651286898</v>
      </c>
      <c r="AG149" t="str">
        <f t="shared" si="161"/>
        <v>1+3.24609585817004i</v>
      </c>
      <c r="AH149">
        <f t="shared" si="179"/>
        <v>3.3966363244287261</v>
      </c>
      <c r="AI149">
        <f t="shared" si="180"/>
        <v>1.271959368768367</v>
      </c>
      <c r="AJ149" t="str">
        <f t="shared" si="162"/>
        <v>1+0.0211030763715714i</v>
      </c>
      <c r="AK149">
        <f t="shared" si="181"/>
        <v>1.000222645130745</v>
      </c>
      <c r="AL149">
        <f t="shared" si="182"/>
        <v>2.1099944528205156E-2</v>
      </c>
      <c r="AM149" t="str">
        <f t="shared" si="163"/>
        <v>1-0.0209639185367912i</v>
      </c>
      <c r="AN149">
        <f t="shared" si="183"/>
        <v>1.0002197188020328</v>
      </c>
      <c r="AO149">
        <f t="shared" si="184"/>
        <v>-2.0960848230965803E-2</v>
      </c>
      <c r="AP149" s="41" t="str">
        <f t="shared" si="185"/>
        <v>21.4356080727897-69.5476548173586i</v>
      </c>
      <c r="AQ149">
        <f t="shared" si="186"/>
        <v>37.239776268460815</v>
      </c>
      <c r="AR149" s="43">
        <f t="shared" si="187"/>
        <v>-72.869933911774055</v>
      </c>
      <c r="AS149" t="str">
        <f t="shared" si="164"/>
        <v>-0.0000166666666666667</v>
      </c>
      <c r="AT149" t="str">
        <f t="shared" si="165"/>
        <v>4.36173007071994E-06i</v>
      </c>
      <c r="AU149">
        <f t="shared" si="188"/>
        <v>4.36173007071994E-6</v>
      </c>
      <c r="AV149">
        <f t="shared" si="189"/>
        <v>1.5707963267948966</v>
      </c>
      <c r="AW149" t="str">
        <f t="shared" si="166"/>
        <v>1+0.0044326647812126i</v>
      </c>
      <c r="AX149">
        <f t="shared" si="190"/>
        <v>1.0000098242102737</v>
      </c>
      <c r="AY149">
        <f t="shared" si="191"/>
        <v>4.4326357497916583E-3</v>
      </c>
      <c r="AZ149" t="str">
        <f t="shared" si="167"/>
        <v>1+0.150710602561228i</v>
      </c>
      <c r="BA149">
        <f t="shared" si="192"/>
        <v>1.0112930760785266</v>
      </c>
      <c r="BB149">
        <f t="shared" si="193"/>
        <v>0.14958484088862548</v>
      </c>
      <c r="BC149" s="41" t="str">
        <f t="shared" si="194"/>
        <v>-0.558933654460751+3.82359129710364i</v>
      </c>
      <c r="BD149">
        <f t="shared" si="195"/>
        <v>11.741254628917211</v>
      </c>
      <c r="BE149" s="43">
        <f t="shared" si="196"/>
        <v>98.316608741472294</v>
      </c>
      <c r="BF149" s="41" t="str">
        <f t="shared" si="197"/>
        <v>19.1370266180072+2.77542195544592i</v>
      </c>
      <c r="BG149" s="20">
        <f t="shared" si="198"/>
        <v>25.727888633214889</v>
      </c>
      <c r="BH149" s="43">
        <f t="shared" si="199"/>
        <v>8.2520090778436224</v>
      </c>
      <c r="BI149" s="41" t="str">
        <f t="shared" si="152"/>
        <v>253.940724937908+120.833529341484i</v>
      </c>
      <c r="BJ149" s="20">
        <f t="shared" si="200"/>
        <v>48.981030897378027</v>
      </c>
      <c r="BK149" s="43">
        <f t="shared" si="153"/>
        <v>25.446674829698146</v>
      </c>
      <c r="BL149">
        <f t="shared" si="201"/>
        <v>25.727888633214889</v>
      </c>
      <c r="BM149" s="43">
        <f t="shared" si="202"/>
        <v>8.2520090778436224</v>
      </c>
    </row>
    <row r="150" spans="14:65" x14ac:dyDescent="0.25">
      <c r="N150" s="9">
        <v>32</v>
      </c>
      <c r="O150" s="34">
        <f t="shared" si="154"/>
        <v>208.92961308540396</v>
      </c>
      <c r="P150" s="33" t="str">
        <f t="shared" si="155"/>
        <v>16.5157725627975</v>
      </c>
      <c r="Q150" s="4" t="str">
        <f t="shared" si="156"/>
        <v>1+3.39668571818289i</v>
      </c>
      <c r="R150" s="4">
        <f t="shared" si="168"/>
        <v>3.5408295451924277</v>
      </c>
      <c r="S150" s="4">
        <f t="shared" si="169"/>
        <v>1.2844807721865334</v>
      </c>
      <c r="T150" s="4" t="str">
        <f t="shared" si="157"/>
        <v>1+0.0215946301665947i</v>
      </c>
      <c r="U150" s="4">
        <f t="shared" si="170"/>
        <v>1.0002331368496207</v>
      </c>
      <c r="V150" s="4">
        <f t="shared" si="171"/>
        <v>2.1591274378210314E-2</v>
      </c>
      <c r="W150" t="str">
        <f t="shared" si="158"/>
        <v>1-0.328185868793232i</v>
      </c>
      <c r="X150" s="4">
        <f t="shared" si="172"/>
        <v>1.0524761111187124</v>
      </c>
      <c r="Y150" s="4">
        <f t="shared" si="173"/>
        <v>-0.31711070451648438</v>
      </c>
      <c r="Z150" t="str">
        <f t="shared" si="159"/>
        <v>0.999999098107785+0.00459460216310525i</v>
      </c>
      <c r="AA150" s="4">
        <f t="shared" si="174"/>
        <v>1.0000096532461176</v>
      </c>
      <c r="AB150" s="4">
        <f t="shared" si="175"/>
        <v>4.5945739760178614E-3</v>
      </c>
      <c r="AC150" s="47" t="str">
        <f t="shared" si="176"/>
        <v>-0.0677516183374955-4.90977760562604i</v>
      </c>
      <c r="AD150" s="20">
        <f t="shared" si="177"/>
        <v>13.822063324200847</v>
      </c>
      <c r="AE150" s="43">
        <f t="shared" si="178"/>
        <v>-90.790592920514143</v>
      </c>
      <c r="AF150" t="str">
        <f t="shared" si="160"/>
        <v>247.084651286898</v>
      </c>
      <c r="AG150" t="str">
        <f t="shared" si="161"/>
        <v>1+3.321707143937i</v>
      </c>
      <c r="AH150">
        <f t="shared" si="179"/>
        <v>3.4689679084825942</v>
      </c>
      <c r="AI150">
        <f t="shared" si="180"/>
        <v>1.2783764904138573</v>
      </c>
      <c r="AJ150" t="str">
        <f t="shared" si="162"/>
        <v>1+0.0215946301665947i</v>
      </c>
      <c r="AK150">
        <f t="shared" si="181"/>
        <v>1.0002331368496207</v>
      </c>
      <c r="AL150">
        <f t="shared" si="182"/>
        <v>2.1591274378210314E-2</v>
      </c>
      <c r="AM150" t="str">
        <f t="shared" si="163"/>
        <v>1-0.0214522309294432i</v>
      </c>
      <c r="AN150">
        <f t="shared" si="183"/>
        <v>1.0002300726392155</v>
      </c>
      <c r="AO150">
        <f t="shared" si="184"/>
        <v>-2.1448941078347612E-2</v>
      </c>
      <c r="AP150" s="41" t="str">
        <f t="shared" si="185"/>
        <v>20.5518833759098-68.2321531652646i</v>
      </c>
      <c r="AQ150">
        <f t="shared" si="186"/>
        <v>37.056932640677786</v>
      </c>
      <c r="AR150" s="43">
        <f t="shared" si="187"/>
        <v>-73.237422432094078</v>
      </c>
      <c r="AS150" t="str">
        <f t="shared" si="164"/>
        <v>-0.0000166666666666667</v>
      </c>
      <c r="AT150" t="str">
        <f t="shared" si="165"/>
        <v>4.46332781558795E-06i</v>
      </c>
      <c r="AU150">
        <f t="shared" si="188"/>
        <v>4.46332781558795E-6</v>
      </c>
      <c r="AV150">
        <f t="shared" si="189"/>
        <v>1.5707963267948966</v>
      </c>
      <c r="AW150" t="str">
        <f t="shared" si="166"/>
        <v>1+0.00453591480774458i</v>
      </c>
      <c r="AX150">
        <f t="shared" si="190"/>
        <v>1.0000102872086583</v>
      </c>
      <c r="AY150">
        <f t="shared" si="191"/>
        <v>4.535883700033866E-3</v>
      </c>
      <c r="AZ150" t="str">
        <f t="shared" si="167"/>
        <v>1+0.154221103463316i</v>
      </c>
      <c r="BA150">
        <f t="shared" si="192"/>
        <v>1.0118221922617843</v>
      </c>
      <c r="BB150">
        <f t="shared" si="193"/>
        <v>0.15301558800171353</v>
      </c>
      <c r="BC150" s="41" t="str">
        <f t="shared" si="194"/>
        <v>-0.558933136895443+3.73666983709602i</v>
      </c>
      <c r="BD150">
        <f t="shared" si="195"/>
        <v>11.545793942082927</v>
      </c>
      <c r="BE150" s="43">
        <f t="shared" si="196"/>
        <v>98.507260399836682</v>
      </c>
      <c r="BF150" s="41" t="str">
        <f t="shared" si="197"/>
        <v>18.3840865103595+2.4910719699154i</v>
      </c>
      <c r="BG150" s="20">
        <f t="shared" si="198"/>
        <v>25.367857266283792</v>
      </c>
      <c r="BH150" s="43">
        <f t="shared" si="199"/>
        <v>7.7166674793225338</v>
      </c>
      <c r="BI150" s="41" t="str">
        <f t="shared" si="152"/>
        <v>243.473900008353+114.932814112069i</v>
      </c>
      <c r="BJ150" s="20">
        <f t="shared" si="200"/>
        <v>48.602726582760702</v>
      </c>
      <c r="BK150" s="43">
        <f t="shared" si="153"/>
        <v>25.26983796774266</v>
      </c>
      <c r="BL150">
        <f t="shared" si="201"/>
        <v>25.367857266283792</v>
      </c>
      <c r="BM150" s="43">
        <f t="shared" si="202"/>
        <v>7.7166674793225338</v>
      </c>
    </row>
    <row r="151" spans="14:65" x14ac:dyDescent="0.25">
      <c r="N151" s="9">
        <v>33</v>
      </c>
      <c r="O151" s="34">
        <f t="shared" si="154"/>
        <v>213.79620895022339</v>
      </c>
      <c r="P151" s="33" t="str">
        <f t="shared" si="155"/>
        <v>16.5157725627975</v>
      </c>
      <c r="Q151" s="4" t="str">
        <f t="shared" si="156"/>
        <v>1+3.47580469239666i</v>
      </c>
      <c r="R151" s="4">
        <f t="shared" si="168"/>
        <v>3.6167966848700024</v>
      </c>
      <c r="S151" s="4">
        <f t="shared" si="169"/>
        <v>1.2906588630925691</v>
      </c>
      <c r="T151" s="4" t="str">
        <f t="shared" si="157"/>
        <v>1+0.0220976337203709i</v>
      </c>
      <c r="U151" s="4">
        <f t="shared" si="170"/>
        <v>1.0002441229100223</v>
      </c>
      <c r="V151" s="4">
        <f t="shared" si="171"/>
        <v>2.20940379757293E-2</v>
      </c>
      <c r="W151" t="str">
        <f t="shared" si="158"/>
        <v>1-0.335830299701685i</v>
      </c>
      <c r="X151" s="4">
        <f t="shared" si="172"/>
        <v>1.0548848231905337</v>
      </c>
      <c r="Y151" s="4">
        <f t="shared" si="173"/>
        <v>-0.32399613820658646</v>
      </c>
      <c r="Z151" t="str">
        <f t="shared" si="159"/>
        <v>0.999999055602914+0.00470162419582359i</v>
      </c>
      <c r="AA151" s="4">
        <f t="shared" si="174"/>
        <v>1.0000101081873116</v>
      </c>
      <c r="AB151" s="4">
        <f t="shared" si="175"/>
        <v>4.7015939928317461E-3</v>
      </c>
      <c r="AC151" s="47" t="str">
        <f t="shared" si="176"/>
        <v>-0.127503717947167-4.81647531854519i</v>
      </c>
      <c r="AD151" s="20">
        <f t="shared" si="177"/>
        <v>13.657629202983077</v>
      </c>
      <c r="AE151" s="43">
        <f t="shared" si="178"/>
        <v>-91.51640330849429</v>
      </c>
      <c r="AF151" t="str">
        <f t="shared" si="160"/>
        <v>247.084651286898</v>
      </c>
      <c r="AG151" t="str">
        <f t="shared" si="161"/>
        <v>1+3.39907964279964i</v>
      </c>
      <c r="AH151">
        <f t="shared" si="179"/>
        <v>3.5431260799038653</v>
      </c>
      <c r="AI151">
        <f t="shared" si="180"/>
        <v>1.2846715899697101</v>
      </c>
      <c r="AJ151" t="str">
        <f t="shared" si="162"/>
        <v>1+0.0220976337203709i</v>
      </c>
      <c r="AK151">
        <f t="shared" si="181"/>
        <v>1.0002441229100223</v>
      </c>
      <c r="AL151">
        <f t="shared" si="182"/>
        <v>2.20940379757293E-2</v>
      </c>
      <c r="AM151" t="str">
        <f t="shared" si="163"/>
        <v>1-0.0219519175788876i</v>
      </c>
      <c r="AN151">
        <f t="shared" si="183"/>
        <v>1.0002409143228397</v>
      </c>
      <c r="AO151">
        <f t="shared" si="184"/>
        <v>-2.1948392485782058E-2</v>
      </c>
      <c r="AP151" s="41" t="str">
        <f t="shared" si="185"/>
        <v>19.7014469019061-66.9307828759619i</v>
      </c>
      <c r="AQ151">
        <f t="shared" si="186"/>
        <v>36.873395698865998</v>
      </c>
      <c r="AR151" s="43">
        <f t="shared" si="187"/>
        <v>-73.597915293746354</v>
      </c>
      <c r="AS151" t="str">
        <f t="shared" si="164"/>
        <v>-0.0000166666666666667</v>
      </c>
      <c r="AT151" t="str">
        <f t="shared" si="165"/>
        <v>4.56729207594292E-06i</v>
      </c>
      <c r="AU151">
        <f t="shared" si="188"/>
        <v>4.5672920759429201E-6</v>
      </c>
      <c r="AV151">
        <f t="shared" si="189"/>
        <v>1.5707963267948966</v>
      </c>
      <c r="AW151" t="str">
        <f t="shared" si="166"/>
        <v>1+0.00464156983634752i</v>
      </c>
      <c r="AX151">
        <f t="shared" si="190"/>
        <v>1.0000107720272546</v>
      </c>
      <c r="AY151">
        <f t="shared" si="191"/>
        <v>4.6415365038543401E-3</v>
      </c>
      <c r="AZ151" t="str">
        <f t="shared" si="167"/>
        <v>1+0.157813374435816i</v>
      </c>
      <c r="BA151">
        <f t="shared" si="192"/>
        <v>1.0123759485244694</v>
      </c>
      <c r="BB151">
        <f t="shared" si="193"/>
        <v>0.15652249266643167</v>
      </c>
      <c r="BC151" s="41" t="str">
        <f t="shared" si="194"/>
        <v>-0.558932594939053+3.65172960867536i</v>
      </c>
      <c r="BD151">
        <f t="shared" si="195"/>
        <v>11.350542097731433</v>
      </c>
      <c r="BE151" s="43">
        <f t="shared" si="196"/>
        <v>98.702137776527152</v>
      </c>
      <c r="BF151" s="41" t="str">
        <f t="shared" si="197"/>
        <v>17.6597315141221+2.2264759462105i</v>
      </c>
      <c r="BG151" s="20">
        <f t="shared" si="198"/>
        <v>25.008171300714487</v>
      </c>
      <c r="BH151" s="43">
        <f t="shared" si="199"/>
        <v>7.1857344680328685</v>
      </c>
      <c r="BI151" s="41" t="str">
        <f t="shared" si="152"/>
        <v>233.401340719035+109.3541531396i</v>
      </c>
      <c r="BJ151" s="20">
        <f t="shared" si="200"/>
        <v>48.223937796597419</v>
      </c>
      <c r="BK151" s="43">
        <f t="shared" si="153"/>
        <v>25.104222482780926</v>
      </c>
      <c r="BL151">
        <f t="shared" si="201"/>
        <v>25.008171300714487</v>
      </c>
      <c r="BM151" s="43">
        <f t="shared" si="202"/>
        <v>7.1857344680328685</v>
      </c>
    </row>
    <row r="152" spans="14:65" x14ac:dyDescent="0.25">
      <c r="N152" s="9">
        <v>34</v>
      </c>
      <c r="O152" s="34">
        <f t="shared" si="154"/>
        <v>218.77616239495524</v>
      </c>
      <c r="P152" s="33" t="str">
        <f t="shared" si="155"/>
        <v>16.5157725627975</v>
      </c>
      <c r="Q152" s="4" t="str">
        <f t="shared" si="156"/>
        <v>1+3.55676658426607i</v>
      </c>
      <c r="R152" s="4">
        <f t="shared" si="168"/>
        <v>3.6946702877187465</v>
      </c>
      <c r="S152" s="4">
        <f t="shared" si="169"/>
        <v>1.2967176199045709</v>
      </c>
      <c r="T152" s="4" t="str">
        <f t="shared" si="157"/>
        <v>1+0.0226123537320424i</v>
      </c>
      <c r="U152" s="4">
        <f t="shared" si="170"/>
        <v>1.0002556265981726</v>
      </c>
      <c r="V152" s="4">
        <f t="shared" si="171"/>
        <v>2.260850087542033E-2</v>
      </c>
      <c r="W152" t="str">
        <f t="shared" si="158"/>
        <v>1-0.34365279228028i</v>
      </c>
      <c r="X152" s="4">
        <f t="shared" si="172"/>
        <v>1.057401173463522</v>
      </c>
      <c r="Y152" s="4">
        <f t="shared" si="173"/>
        <v>-0.33100913899277806</v>
      </c>
      <c r="Z152" t="str">
        <f t="shared" si="159"/>
        <v>0.999999011094851+0.00481113909192392i</v>
      </c>
      <c r="AA152" s="4">
        <f t="shared" si="174"/>
        <v>1.0000105845690042</v>
      </c>
      <c r="AB152" s="4">
        <f t="shared" si="175"/>
        <v>4.811106728853539E-3</v>
      </c>
      <c r="AC152" s="47" t="str">
        <f t="shared" si="176"/>
        <v>-0.184970347426512-4.72429247957689i</v>
      </c>
      <c r="AD152" s="20">
        <f t="shared" si="177"/>
        <v>13.493387997070577</v>
      </c>
      <c r="AE152" s="43">
        <f t="shared" si="178"/>
        <v>-92.242157914397453</v>
      </c>
      <c r="AF152" t="str">
        <f t="shared" si="160"/>
        <v>247.084651286898</v>
      </c>
      <c r="AG152" t="str">
        <f t="shared" si="161"/>
        <v>1+3.47825437868104i</v>
      </c>
      <c r="AH152">
        <f t="shared" si="179"/>
        <v>3.6191509394903423</v>
      </c>
      <c r="AI152">
        <f t="shared" si="180"/>
        <v>1.2908460087185512</v>
      </c>
      <c r="AJ152" t="str">
        <f t="shared" si="162"/>
        <v>1+0.0226123537320424i</v>
      </c>
      <c r="AK152">
        <f t="shared" si="181"/>
        <v>1.0002556265981726</v>
      </c>
      <c r="AL152">
        <f t="shared" si="182"/>
        <v>2.260850087542033E-2</v>
      </c>
      <c r="AM152" t="str">
        <f t="shared" si="163"/>
        <v>1-0.0224632434256004i</v>
      </c>
      <c r="AN152">
        <f t="shared" si="183"/>
        <v>1.0002522668333214</v>
      </c>
      <c r="AO152">
        <f t="shared" si="184"/>
        <v>-2.2459466271733279E-2</v>
      </c>
      <c r="AP152" s="41" t="str">
        <f t="shared" si="185"/>
        <v>18.8833042193599-65.6440927168843i</v>
      </c>
      <c r="AQ152">
        <f t="shared" si="186"/>
        <v>36.689192388607779</v>
      </c>
      <c r="AR152" s="43">
        <f t="shared" si="187"/>
        <v>-73.951489247087792</v>
      </c>
      <c r="AS152" t="str">
        <f t="shared" si="164"/>
        <v>-0.0000166666666666667</v>
      </c>
      <c r="AT152" t="str">
        <f t="shared" si="165"/>
        <v>0.0000046736779750118i</v>
      </c>
      <c r="AU152">
        <f t="shared" si="188"/>
        <v>4.6736779750118001E-6</v>
      </c>
      <c r="AV152">
        <f t="shared" si="189"/>
        <v>1.5707963267948966</v>
      </c>
      <c r="AW152" t="str">
        <f t="shared" si="166"/>
        <v>1+0.00474968588671615i</v>
      </c>
      <c r="AX152">
        <f t="shared" si="190"/>
        <v>1.0000112796943954</v>
      </c>
      <c r="AY152">
        <f t="shared" si="191"/>
        <v>4.7496501703279742E-3</v>
      </c>
      <c r="AZ152" t="str">
        <f t="shared" si="167"/>
        <v>1+0.161489320148349i</v>
      </c>
      <c r="BA152">
        <f t="shared" si="192"/>
        <v>1.0129554780551691</v>
      </c>
      <c r="BB152">
        <f t="shared" si="193"/>
        <v>0.16010706907908823</v>
      </c>
      <c r="BC152" s="41" t="str">
        <f t="shared" si="194"/>
        <v>-0.558932027442173+3.56872557539242i</v>
      </c>
      <c r="BD152">
        <f t="shared" si="195"/>
        <v>11.155508459557982</v>
      </c>
      <c r="BE152" s="43">
        <f t="shared" si="196"/>
        <v>98.901324419517891</v>
      </c>
      <c r="BF152" s="41" t="str">
        <f t="shared" si="197"/>
        <v>16.9630892488039+1.98044996428951i</v>
      </c>
      <c r="BG152" s="20">
        <f t="shared" si="198"/>
        <v>24.648896456628556</v>
      </c>
      <c r="BH152" s="43">
        <f t="shared" si="199"/>
        <v>6.6591665051204556</v>
      </c>
      <c r="BI152" s="41" t="str">
        <f t="shared" si="152"/>
        <v>223.711269040042+104.079916547395i</v>
      </c>
      <c r="BJ152" s="20">
        <f t="shared" si="200"/>
        <v>47.844700848165751</v>
      </c>
      <c r="BK152" s="43">
        <f t="shared" si="153"/>
        <v>24.949835172430038</v>
      </c>
      <c r="BL152">
        <f t="shared" si="201"/>
        <v>24.648896456628556</v>
      </c>
      <c r="BM152" s="43">
        <f t="shared" si="202"/>
        <v>6.6591665051204556</v>
      </c>
    </row>
    <row r="153" spans="14:65" x14ac:dyDescent="0.25">
      <c r="N153" s="9">
        <v>35</v>
      </c>
      <c r="O153" s="34">
        <f t="shared" si="154"/>
        <v>223.87211385683412</v>
      </c>
      <c r="P153" s="33" t="str">
        <f t="shared" si="155"/>
        <v>16.5157725627975</v>
      </c>
      <c r="Q153" s="4" t="str">
        <f t="shared" si="156"/>
        <v>1+3.63961432085783i</v>
      </c>
      <c r="R153" s="4">
        <f t="shared" si="168"/>
        <v>3.774492337334042</v>
      </c>
      <c r="S153" s="4">
        <f t="shared" si="169"/>
        <v>1.3026584750955663</v>
      </c>
      <c r="T153" s="4" t="str">
        <f t="shared" si="157"/>
        <v>1+0.0231390631129726i</v>
      </c>
      <c r="U153" s="4">
        <f t="shared" si="170"/>
        <v>1.0002676722966439</v>
      </c>
      <c r="V153" s="4">
        <f t="shared" si="171"/>
        <v>2.3134934762386553E-2</v>
      </c>
      <c r="W153" t="str">
        <f t="shared" si="158"/>
        <v>1-0.351657494118125i</v>
      </c>
      <c r="X153" s="4">
        <f t="shared" si="172"/>
        <v>1.0600297133427152</v>
      </c>
      <c r="Y153" s="4">
        <f t="shared" si="173"/>
        <v>-0.33815066503732655</v>
      </c>
      <c r="Z153" t="str">
        <f t="shared" si="159"/>
        <v>0.999998964489187+0.00492320491765375i</v>
      </c>
      <c r="AA153" s="4">
        <f t="shared" si="174"/>
        <v>1.0000110834016329</v>
      </c>
      <c r="AB153" s="4">
        <f t="shared" si="175"/>
        <v>4.9231702400197724E-3</v>
      </c>
      <c r="AC153" s="47" t="str">
        <f t="shared" si="176"/>
        <v>-0.24022273794905-4.63326202593644i</v>
      </c>
      <c r="AD153" s="20">
        <f t="shared" si="177"/>
        <v>13.329396083754848</v>
      </c>
      <c r="AE153" s="43">
        <f t="shared" si="178"/>
        <v>-92.967981471486681</v>
      </c>
      <c r="AF153" t="str">
        <f t="shared" si="160"/>
        <v>247.084651286898</v>
      </c>
      <c r="AG153" t="str">
        <f t="shared" si="161"/>
        <v>1+3.55927333107417i</v>
      </c>
      <c r="AH153">
        <f t="shared" si="179"/>
        <v>3.6970835323665354</v>
      </c>
      <c r="AI153">
        <f t="shared" si="180"/>
        <v>1.2969011365752861</v>
      </c>
      <c r="AJ153" t="str">
        <f t="shared" si="162"/>
        <v>1+0.0231390631129726i</v>
      </c>
      <c r="AK153">
        <f t="shared" si="181"/>
        <v>1.0002676722966439</v>
      </c>
      <c r="AL153">
        <f t="shared" si="182"/>
        <v>2.3134934762386553E-2</v>
      </c>
      <c r="AM153" t="str">
        <f t="shared" si="163"/>
        <v>1-0.0229864795813136i</v>
      </c>
      <c r="AN153">
        <f t="shared" si="183"/>
        <v>1.0002641542330417</v>
      </c>
      <c r="AO153">
        <f t="shared" si="184"/>
        <v>-2.2982432345750071E-2</v>
      </c>
      <c r="AP153" s="41" t="str">
        <f t="shared" si="185"/>
        <v>18.0964690970999-64.3725787952034i</v>
      </c>
      <c r="AQ153">
        <f t="shared" si="186"/>
        <v>36.504348872547979</v>
      </c>
      <c r="AR153" s="43">
        <f t="shared" si="187"/>
        <v>-74.29822382664463</v>
      </c>
      <c r="AS153" t="str">
        <f t="shared" si="164"/>
        <v>-0.0000166666666666667</v>
      </c>
      <c r="AT153" t="str">
        <f t="shared" si="165"/>
        <v>4.78254192000649E-06i</v>
      </c>
      <c r="AU153">
        <f t="shared" si="188"/>
        <v>4.7825419200064899E-6</v>
      </c>
      <c r="AV153">
        <f t="shared" si="189"/>
        <v>1.5707963267948966</v>
      </c>
      <c r="AW153" t="str">
        <f t="shared" si="166"/>
        <v>1+0.00486032028341145i</v>
      </c>
      <c r="AX153">
        <f t="shared" si="190"/>
        <v>1.0000118112868754</v>
      </c>
      <c r="AY153">
        <f t="shared" si="191"/>
        <v>4.8602820126364202E-3</v>
      </c>
      <c r="AZ153" t="str">
        <f t="shared" si="167"/>
        <v>1+0.165250889635989i</v>
      </c>
      <c r="BA153">
        <f t="shared" si="192"/>
        <v>1.0135619648178822</v>
      </c>
      <c r="BB153">
        <f t="shared" si="193"/>
        <v>0.16377084917037926</v>
      </c>
      <c r="BC153" s="41" t="str">
        <f t="shared" si="194"/>
        <v>-0.558931433201225+3.48761372739309i</v>
      </c>
      <c r="BD153">
        <f t="shared" si="195"/>
        <v>10.960702788127756</v>
      </c>
      <c r="BE153" s="43">
        <f t="shared" si="196"/>
        <v>99.104904818168905</v>
      </c>
      <c r="BF153" s="41" t="str">
        <f t="shared" si="197"/>
        <v>16.2932962834744+1.75187166605041i</v>
      </c>
      <c r="BG153" s="20">
        <f t="shared" si="198"/>
        <v>24.290098871882584</v>
      </c>
      <c r="BH153" s="43">
        <f t="shared" si="199"/>
        <v>6.136923346682245</v>
      </c>
      <c r="BI153" s="41" t="str">
        <f t="shared" si="152"/>
        <v>214.392004065521+99.0933517652523i</v>
      </c>
      <c r="BJ153" s="20">
        <f t="shared" si="200"/>
        <v>47.465051660675741</v>
      </c>
      <c r="BK153" s="43">
        <f t="shared" si="153"/>
        <v>24.806680991524296</v>
      </c>
      <c r="BL153">
        <f t="shared" si="201"/>
        <v>24.290098871882584</v>
      </c>
      <c r="BM153" s="43">
        <f t="shared" si="202"/>
        <v>6.136923346682245</v>
      </c>
    </row>
    <row r="154" spans="14:65" x14ac:dyDescent="0.25">
      <c r="N154" s="9">
        <v>36</v>
      </c>
      <c r="O154" s="34">
        <f t="shared" si="154"/>
        <v>229.08676527677744</v>
      </c>
      <c r="P154" s="33" t="str">
        <f t="shared" si="155"/>
        <v>16.5157725627975</v>
      </c>
      <c r="Q154" s="4" t="str">
        <f t="shared" si="156"/>
        <v>1+3.72439182913849i</v>
      </c>
      <c r="R154" s="4">
        <f t="shared" si="168"/>
        <v>3.8563058095739176</v>
      </c>
      <c r="S154" s="4">
        <f t="shared" si="169"/>
        <v>1.3084829005172141</v>
      </c>
      <c r="T154" s="4" t="str">
        <f t="shared" si="157"/>
        <v>1+0.023678041131447i</v>
      </c>
      <c r="U154" s="4">
        <f t="shared" si="170"/>
        <v>1.0002802855359203</v>
      </c>
      <c r="V154" s="4">
        <f t="shared" si="171"/>
        <v>2.3673617591037921E-2</v>
      </c>
      <c r="W154" t="str">
        <f t="shared" si="158"/>
        <v>1-0.359848649414088i</v>
      </c>
      <c r="X154" s="4">
        <f t="shared" si="172"/>
        <v>1.062775164597453</v>
      </c>
      <c r="Y154" s="4">
        <f t="shared" si="173"/>
        <v>-0.34542158811911672</v>
      </c>
      <c r="Z154" t="str">
        <f t="shared" si="159"/>
        <v>0.999998915687066+0.00503788109179722i</v>
      </c>
      <c r="AA154" s="4">
        <f t="shared" si="174"/>
        <v>1.0000116057432547</v>
      </c>
      <c r="AB154" s="4">
        <f t="shared" si="175"/>
        <v>5.03784393406619E-3</v>
      </c>
      <c r="AC154" s="47" t="str">
        <f t="shared" si="176"/>
        <v>-0.29333125335892-4.543413390149i</v>
      </c>
      <c r="AD154" s="20">
        <f t="shared" si="177"/>
        <v>13.165709863015053</v>
      </c>
      <c r="AE154" s="43">
        <f t="shared" si="178"/>
        <v>-93.693995738098778</v>
      </c>
      <c r="AF154" t="str">
        <f t="shared" si="160"/>
        <v>247.084651286898</v>
      </c>
      <c r="AG154" t="str">
        <f t="shared" si="161"/>
        <v>1+3.64217945729997i</v>
      </c>
      <c r="AH154">
        <f t="shared" si="179"/>
        <v>3.7769658721224775</v>
      </c>
      <c r="AI154">
        <f t="shared" si="180"/>
        <v>1.302838407284892</v>
      </c>
      <c r="AJ154" t="str">
        <f t="shared" si="162"/>
        <v>1+0.023678041131447i</v>
      </c>
      <c r="AK154">
        <f t="shared" si="181"/>
        <v>1.0002802855359203</v>
      </c>
      <c r="AL154">
        <f t="shared" si="182"/>
        <v>2.3673617591037921E-2</v>
      </c>
      <c r="AM154" t="str">
        <f t="shared" si="163"/>
        <v>1-0.0235219034727629i</v>
      </c>
      <c r="AN154">
        <f t="shared" si="183"/>
        <v>1.000276601717236</v>
      </c>
      <c r="AO154">
        <f t="shared" si="184"/>
        <v>-2.3517566846488817E-2</v>
      </c>
      <c r="AP154" s="41" t="str">
        <f t="shared" si="185"/>
        <v>17.3399654810089-63.1166868462725i</v>
      </c>
      <c r="AQ154">
        <f t="shared" si="186"/>
        <v>36.318890538732617</v>
      </c>
      <c r="AR154" s="43">
        <f t="shared" si="187"/>
        <v>-74.638201075917976</v>
      </c>
      <c r="AS154" t="str">
        <f t="shared" si="164"/>
        <v>-0.0000166666666666667</v>
      </c>
      <c r="AT154" t="str">
        <f t="shared" si="165"/>
        <v>4.89394163203158E-06i</v>
      </c>
      <c r="AU154">
        <f t="shared" si="188"/>
        <v>4.89394163203158E-6</v>
      </c>
      <c r="AV154">
        <f t="shared" si="189"/>
        <v>1.5707963267948966</v>
      </c>
      <c r="AW154" t="str">
        <f t="shared" si="166"/>
        <v>1+0.00497353168625494i</v>
      </c>
      <c r="AX154">
        <f t="shared" si="190"/>
        <v>1.0000123679322341</v>
      </c>
      <c r="AY154">
        <f t="shared" si="191"/>
        <v>4.9734906784080603E-3</v>
      </c>
      <c r="AZ154" t="str">
        <f t="shared" si="167"/>
        <v>1+0.169100077332668i</v>
      </c>
      <c r="BA154">
        <f t="shared" si="192"/>
        <v>1.0141966457023581</v>
      </c>
      <c r="BB154">
        <f t="shared" si="193"/>
        <v>0.16751538188569981</v>
      </c>
      <c r="BC154" s="41" t="str">
        <f t="shared" si="194"/>
        <v>-0.558930810955918+3.40835105808376i</v>
      </c>
      <c r="BD154">
        <f t="shared" si="195"/>
        <v>10.766135255545354</v>
      </c>
      <c r="BE154" s="43">
        <f t="shared" si="196"/>
        <v>99.312964360252408</v>
      </c>
      <c r="BF154" s="41" t="str">
        <f t="shared" si="197"/>
        <v>15.6494997109449+1.53967784290905i</v>
      </c>
      <c r="BG154" s="20">
        <f t="shared" si="198"/>
        <v>23.931845118560418</v>
      </c>
      <c r="BH154" s="43">
        <f t="shared" si="199"/>
        <v>5.6189686221536288</v>
      </c>
      <c r="BI154" s="41" t="str">
        <f t="shared" si="152"/>
        <v>205.431985426986+94.3785506581704i</v>
      </c>
      <c r="BJ154" s="20">
        <f t="shared" si="200"/>
        <v>47.085025794277954</v>
      </c>
      <c r="BK154" s="43">
        <f t="shared" si="153"/>
        <v>24.674763284334468</v>
      </c>
      <c r="BL154">
        <f t="shared" si="201"/>
        <v>23.931845118560418</v>
      </c>
      <c r="BM154" s="43">
        <f t="shared" si="202"/>
        <v>5.6189686221536288</v>
      </c>
    </row>
    <row r="155" spans="14:65" x14ac:dyDescent="0.25">
      <c r="N155" s="9">
        <v>37</v>
      </c>
      <c r="O155" s="34">
        <f t="shared" si="154"/>
        <v>234.42288153199232</v>
      </c>
      <c r="P155" s="33" t="str">
        <f t="shared" si="155"/>
        <v>16.5157725627975</v>
      </c>
      <c r="Q155" s="4" t="str">
        <f t="shared" si="156"/>
        <v>1+3.8111440592651i</v>
      </c>
      <c r="R155" s="4">
        <f t="shared" si="168"/>
        <v>3.9401546975304997</v>
      </c>
      <c r="S155" s="4">
        <f t="shared" si="169"/>
        <v>1.3141924030178991</v>
      </c>
      <c r="T155" s="4" t="str">
        <f t="shared" si="157"/>
        <v>1+0.024229573560745i</v>
      </c>
      <c r="U155" s="4">
        <f t="shared" si="170"/>
        <v>1.0002934930483831</v>
      </c>
      <c r="V155" s="4">
        <f t="shared" si="171"/>
        <v>2.4224833726907306E-2</v>
      </c>
      <c r="W155" t="str">
        <f t="shared" si="158"/>
        <v>1-0.368230601227128i</v>
      </c>
      <c r="X155" s="4">
        <f t="shared" si="172"/>
        <v>1.0656424239303222</v>
      </c>
      <c r="Y155" s="4">
        <f t="shared" si="173"/>
        <v>-0.35282268732880789</v>
      </c>
      <c r="Z155" t="str">
        <f t="shared" si="159"/>
        <v>0.999998864584971+0.00515522841717978i</v>
      </c>
      <c r="AA155" s="4">
        <f t="shared" si="174"/>
        <v>1.0000121527017882</v>
      </c>
      <c r="AB155" s="4">
        <f t="shared" si="175"/>
        <v>5.1551886019797193E-3</v>
      </c>
      <c r="AC155" s="47" t="str">
        <f t="shared" si="176"/>
        <v>-0.344365274442938-4.45477266680991i</v>
      </c>
      <c r="AD155" s="20">
        <f t="shared" si="177"/>
        <v>13.002385757736469</v>
      </c>
      <c r="AE155" s="43">
        <f t="shared" si="178"/>
        <v>-94.420318879015326</v>
      </c>
      <c r="AF155" t="str">
        <f t="shared" si="160"/>
        <v>247.084651286898</v>
      </c>
      <c r="AG155" t="str">
        <f t="shared" si="161"/>
        <v>1+3.72701671528396i</v>
      </c>
      <c r="AH155">
        <f t="shared" si="179"/>
        <v>3.8588409653684925</v>
      </c>
      <c r="AI155">
        <f t="shared" si="180"/>
        <v>1.308659293833744</v>
      </c>
      <c r="AJ155" t="str">
        <f t="shared" si="162"/>
        <v>1+0.024229573560745i</v>
      </c>
      <c r="AK155">
        <f t="shared" si="181"/>
        <v>1.0002934930483831</v>
      </c>
      <c r="AL155">
        <f t="shared" si="182"/>
        <v>2.4224833726907306E-2</v>
      </c>
      <c r="AM155" t="str">
        <f t="shared" si="163"/>
        <v>1-0.0240697989887824i</v>
      </c>
      <c r="AN155">
        <f t="shared" si="183"/>
        <v>1.0002896356672704</v>
      </c>
      <c r="AO155">
        <f t="shared" si="184"/>
        <v>-2.4065152282675095E-2</v>
      </c>
      <c r="AP155" s="41" t="str">
        <f t="shared" si="185"/>
        <v>16.6128292680395-61.8768145257438i</v>
      </c>
      <c r="AQ155">
        <f t="shared" si="186"/>
        <v>36.132842010506337</v>
      </c>
      <c r="AR155" s="43">
        <f t="shared" si="187"/>
        <v>-74.971505284423117</v>
      </c>
      <c r="AS155" t="str">
        <f t="shared" si="164"/>
        <v>-0.0000166666666666667</v>
      </c>
      <c r="AT155" t="str">
        <f t="shared" si="165"/>
        <v>5.00793617668895E-06i</v>
      </c>
      <c r="AU155">
        <f t="shared" si="188"/>
        <v>5.0079361766889502E-6</v>
      </c>
      <c r="AV155">
        <f t="shared" si="189"/>
        <v>1.5707963267948966</v>
      </c>
      <c r="AW155" t="str">
        <f t="shared" si="166"/>
        <v>1+0.00508938012143093i</v>
      </c>
      <c r="AX155">
        <f t="shared" si="190"/>
        <v>1.0000129508111484</v>
      </c>
      <c r="AY155">
        <f t="shared" si="191"/>
        <v>5.0893361807620666E-3</v>
      </c>
      <c r="AZ155" t="str">
        <f t="shared" si="167"/>
        <v>1+0.173038924128652i</v>
      </c>
      <c r="BA155">
        <f t="shared" si="192"/>
        <v>1.0148608127539467</v>
      </c>
      <c r="BB155">
        <f t="shared" si="193"/>
        <v>0.17134223238154239</v>
      </c>
      <c r="BC155" s="41" t="str">
        <f t="shared" si="194"/>
        <v>-0.558930159386576+3.33089554132851i</v>
      </c>
      <c r="BD155">
        <f t="shared" si="195"/>
        <v>10.571816460461548</v>
      </c>
      <c r="BE155" s="43">
        <f t="shared" si="196"/>
        <v>99.525589284131271</v>
      </c>
      <c r="BF155" s="41" t="str">
        <f t="shared" si="197"/>
        <v>15.0308585512408+1.34286203946067i</v>
      </c>
      <c r="BG155" s="20">
        <f t="shared" si="198"/>
        <v>23.574202218197993</v>
      </c>
      <c r="BH155" s="43">
        <f t="shared" si="199"/>
        <v>5.1052704051159434</v>
      </c>
      <c r="BI155" s="41" t="str">
        <f t="shared" si="152"/>
        <v>196.819794304764+89.9204167429721i</v>
      </c>
      <c r="BJ155" s="20">
        <f t="shared" si="200"/>
        <v>46.704658470967892</v>
      </c>
      <c r="BK155" s="43">
        <f t="shared" si="153"/>
        <v>24.554083999708144</v>
      </c>
      <c r="BL155">
        <f t="shared" si="201"/>
        <v>23.574202218197993</v>
      </c>
      <c r="BM155" s="43">
        <f t="shared" si="202"/>
        <v>5.1052704051159434</v>
      </c>
    </row>
    <row r="156" spans="14:65" x14ac:dyDescent="0.25">
      <c r="N156" s="9">
        <v>38</v>
      </c>
      <c r="O156" s="34">
        <f t="shared" si="154"/>
        <v>239.88329190194912</v>
      </c>
      <c r="P156" s="33" t="str">
        <f t="shared" si="155"/>
        <v>16.5157725627975</v>
      </c>
      <c r="Q156" s="4" t="str">
        <f t="shared" si="156"/>
        <v>1+3.89991700841842i</v>
      </c>
      <c r="R156" s="4">
        <f t="shared" si="168"/>
        <v>4.0260840369459849</v>
      </c>
      <c r="S156" s="4">
        <f t="shared" si="169"/>
        <v>1.3197885202728543</v>
      </c>
      <c r="T156" s="4" t="str">
        <f t="shared" si="157"/>
        <v>1+0.0247939528306615i</v>
      </c>
      <c r="U156" s="4">
        <f t="shared" si="170"/>
        <v>1.0003073228248252</v>
      </c>
      <c r="V156" s="4">
        <f t="shared" si="171"/>
        <v>2.478887409147025E-2</v>
      </c>
      <c r="W156" t="str">
        <f t="shared" si="158"/>
        <v>1-0.37680779377905i</v>
      </c>
      <c r="X156" s="4">
        <f t="shared" si="172"/>
        <v>1.0686365675254779</v>
      </c>
      <c r="Y156" s="4">
        <f t="shared" si="173"/>
        <v>-0.36035464261590355</v>
      </c>
      <c r="Z156" t="str">
        <f t="shared" si="159"/>
        <v>0.99999881107451+0.0052753091129067i</v>
      </c>
      <c r="AA156" s="4">
        <f t="shared" si="174"/>
        <v>1.000012725437367</v>
      </c>
      <c r="AB156" s="4">
        <f t="shared" si="175"/>
        <v>5.2752664501804431E-3</v>
      </c>
      <c r="AC156" s="47" t="str">
        <f t="shared" si="176"/>
        <v>-0.393393096533541-4.36736277794928i</v>
      </c>
      <c r="AD156" s="20">
        <f t="shared" si="177"/>
        <v>12.839480211966166</v>
      </c>
      <c r="AE156" s="43">
        <f t="shared" si="178"/>
        <v>-95.14706485036686</v>
      </c>
      <c r="AF156" t="str">
        <f t="shared" si="160"/>
        <v>247.084651286898</v>
      </c>
      <c r="AG156" t="str">
        <f t="shared" si="161"/>
        <v>1+3.81383008686333i</v>
      </c>
      <c r="AH156">
        <f t="shared" si="179"/>
        <v>3.942752836720044</v>
      </c>
      <c r="AI156">
        <f t="shared" si="180"/>
        <v>1.3143653040742231</v>
      </c>
      <c r="AJ156" t="str">
        <f t="shared" si="162"/>
        <v>1+0.0247939528306615i</v>
      </c>
      <c r="AK156">
        <f t="shared" si="181"/>
        <v>1.0003073228248252</v>
      </c>
      <c r="AL156">
        <f t="shared" si="182"/>
        <v>2.478887409147025E-2</v>
      </c>
      <c r="AM156" t="str">
        <f t="shared" si="163"/>
        <v>1-0.0246304566308276i</v>
      </c>
      <c r="AN156">
        <f t="shared" si="183"/>
        <v>1.0003032837064183</v>
      </c>
      <c r="AO156">
        <f t="shared" si="184"/>
        <v>-2.4625477677056189E-2</v>
      </c>
      <c r="AP156" s="41" t="str">
        <f t="shared" si="185"/>
        <v>15.9141098875011-60.6533136930781i</v>
      </c>
      <c r="AQ156">
        <f t="shared" si="186"/>
        <v>35.946227157810654</v>
      </c>
      <c r="AR156" s="43">
        <f t="shared" si="187"/>
        <v>-75.298222736948574</v>
      </c>
      <c r="AS156" t="str">
        <f t="shared" si="164"/>
        <v>-0.0000166666666666667</v>
      </c>
      <c r="AT156" t="str">
        <f t="shared" si="165"/>
        <v>5.12458599539507E-06i</v>
      </c>
      <c r="AU156">
        <f t="shared" si="188"/>
        <v>5.1245859953950699E-6</v>
      </c>
      <c r="AV156">
        <f t="shared" si="189"/>
        <v>1.5707963267948966</v>
      </c>
      <c r="AW156" t="str">
        <f t="shared" si="166"/>
        <v>1+0.00520792701331327i</v>
      </c>
      <c r="AX156">
        <f t="shared" si="190"/>
        <v>1.0000135611599354</v>
      </c>
      <c r="AY156">
        <f t="shared" si="191"/>
        <v>5.2078799300727821E-3</v>
      </c>
      <c r="AZ156" t="str">
        <f t="shared" si="167"/>
        <v>1+0.177069518452651i</v>
      </c>
      <c r="BA156">
        <f t="shared" si="192"/>
        <v>1.0155558154848279</v>
      </c>
      <c r="BB156">
        <f t="shared" si="193"/>
        <v>0.17525298113276433</v>
      </c>
      <c r="BC156" s="41" t="str">
        <f t="shared" si="194"/>
        <v>-0.55892947711135+3.25520610916626i</v>
      </c>
      <c r="BD156">
        <f t="shared" si="195"/>
        <v>10.377757443404604</v>
      </c>
      <c r="BE156" s="43">
        <f t="shared" si="196"/>
        <v>99.74286662578919</v>
      </c>
      <c r="BF156" s="41" t="str">
        <f t="shared" si="197"/>
        <v>14.4365449934705+1.16047218269495i</v>
      </c>
      <c r="BG156" s="20">
        <f t="shared" si="198"/>
        <v>23.217237655370752</v>
      </c>
      <c r="BH156" s="43">
        <f t="shared" si="199"/>
        <v>4.5958017754223341</v>
      </c>
      <c r="BI156" s="41" t="str">
        <f t="shared" si="152"/>
        <v>188.544172156772+85.7046326352796i</v>
      </c>
      <c r="BJ156" s="20">
        <f t="shared" si="200"/>
        <v>46.323984601215273</v>
      </c>
      <c r="BK156" s="43">
        <f t="shared" si="153"/>
        <v>24.444643888840595</v>
      </c>
      <c r="BL156">
        <f t="shared" si="201"/>
        <v>23.217237655370752</v>
      </c>
      <c r="BM156" s="43">
        <f t="shared" si="202"/>
        <v>4.5958017754223341</v>
      </c>
    </row>
    <row r="157" spans="14:65" x14ac:dyDescent="0.25">
      <c r="N157" s="9">
        <v>39</v>
      </c>
      <c r="O157" s="34">
        <f t="shared" si="154"/>
        <v>245.4708915685033</v>
      </c>
      <c r="P157" s="33" t="str">
        <f t="shared" si="155"/>
        <v>16.5157725627975</v>
      </c>
      <c r="Q157" s="4" t="str">
        <f t="shared" si="156"/>
        <v>1+3.99075774519108i</v>
      </c>
      <c r="R157" s="4">
        <f t="shared" si="168"/>
        <v>4.1141399320881868</v>
      </c>
      <c r="S157" s="4">
        <f t="shared" si="169"/>
        <v>1.3252728168240424</v>
      </c>
      <c r="T157" s="4" t="str">
        <f t="shared" si="157"/>
        <v>1+0.0253714781825554i</v>
      </c>
      <c r="U157" s="4">
        <f t="shared" si="170"/>
        <v>1.0003218041736208</v>
      </c>
      <c r="V157" s="4">
        <f t="shared" si="171"/>
        <v>2.5366036310013773E-2</v>
      </c>
      <c r="W157" t="str">
        <f t="shared" si="158"/>
        <v>1-0.385584774810872i</v>
      </c>
      <c r="X157" s="4">
        <f t="shared" si="172"/>
        <v>1.0717628555636507</v>
      </c>
      <c r="Y157" s="4">
        <f t="shared" si="173"/>
        <v>-0.36801802820546131</v>
      </c>
      <c r="Z157" t="str">
        <f t="shared" si="159"/>
        <v>0.999998755042178+0.00539818684735221i</v>
      </c>
      <c r="AA157" s="4">
        <f t="shared" si="174"/>
        <v>1.0000133251647925</v>
      </c>
      <c r="AB157" s="4">
        <f t="shared" si="175"/>
        <v>5.3981411334502348E-3</v>
      </c>
      <c r="AC157" s="47" t="str">
        <f t="shared" si="176"/>
        <v>-0.440481839682819-4.28120363629959i</v>
      </c>
      <c r="AD157" s="20">
        <f t="shared" si="177"/>
        <v>12.677049686857277</v>
      </c>
      <c r="AE157" s="43">
        <f t="shared" si="178"/>
        <v>-95.874342788954607</v>
      </c>
      <c r="AF157" t="str">
        <f t="shared" si="160"/>
        <v>247.084651286898</v>
      </c>
      <c r="AG157" t="str">
        <f t="shared" si="161"/>
        <v>1+3.90266560163673i</v>
      </c>
      <c r="AH157">
        <f t="shared" si="179"/>
        <v>4.0287465542273297</v>
      </c>
      <c r="AI157">
        <f t="shared" si="180"/>
        <v>1.3199579765612801</v>
      </c>
      <c r="AJ157" t="str">
        <f t="shared" si="162"/>
        <v>1+0.0253714781825554i</v>
      </c>
      <c r="AK157">
        <f t="shared" si="181"/>
        <v>1.0003218041736208</v>
      </c>
      <c r="AL157">
        <f t="shared" si="182"/>
        <v>2.5366036310013773E-2</v>
      </c>
      <c r="AM157" t="str">
        <f t="shared" si="163"/>
        <v>1-0.0252041736670008i</v>
      </c>
      <c r="AN157">
        <f t="shared" si="183"/>
        <v>1.0003175747582547</v>
      </c>
      <c r="AO157">
        <f t="shared" si="184"/>
        <v>-2.5198838713387489E-2</v>
      </c>
      <c r="AP157" s="41" t="str">
        <f t="shared" si="185"/>
        <v>15.2428716999202-59.4464926755561i</v>
      </c>
      <c r="AQ157">
        <f t="shared" si="186"/>
        <v>35.759069109733346</v>
      </c>
      <c r="AR157" s="43">
        <f t="shared" si="187"/>
        <v>-75.61844147495799</v>
      </c>
      <c r="AS157" t="str">
        <f t="shared" si="164"/>
        <v>-0.0000166666666666667</v>
      </c>
      <c r="AT157" t="str">
        <f t="shared" si="165"/>
        <v>5.24395293742788E-06i</v>
      </c>
      <c r="AU157">
        <f t="shared" si="188"/>
        <v>5.2439529374278803E-6</v>
      </c>
      <c r="AV157">
        <f t="shared" si="189"/>
        <v>1.5707963267948966</v>
      </c>
      <c r="AW157" t="str">
        <f t="shared" si="166"/>
        <v>1+0.00532923521703309i</v>
      </c>
      <c r="AX157">
        <f t="shared" si="190"/>
        <v>1.0000142002731753</v>
      </c>
      <c r="AY157">
        <f t="shared" si="191"/>
        <v>5.3291847664706463E-3</v>
      </c>
      <c r="AZ157" t="str">
        <f t="shared" si="167"/>
        <v>1+0.181193997379125i</v>
      </c>
      <c r="BA157">
        <f t="shared" si="192"/>
        <v>1.0162830632684117</v>
      </c>
      <c r="BB157">
        <f t="shared" si="193"/>
        <v>0.1792492229452978</v>
      </c>
      <c r="BC157" s="41" t="str">
        <f t="shared" si="194"/>
        <v>-0.558928762683261+3.18124263003581i</v>
      </c>
      <c r="BD157">
        <f t="shared" si="195"/>
        <v>10.183969702419427</v>
      </c>
      <c r="BE157" s="43">
        <f t="shared" si="196"/>
        <v>99.964884160400928</v>
      </c>
      <c r="BF157" s="41" t="str">
        <f t="shared" si="197"/>
        <v>13.8657454852989+0.991608245076425i</v>
      </c>
      <c r="BG157" s="20">
        <f t="shared" si="198"/>
        <v>22.861019389276677</v>
      </c>
      <c r="BH157" s="43">
        <f t="shared" si="199"/>
        <v>4.0905413714463315</v>
      </c>
      <c r="BI157" s="41" t="str">
        <f t="shared" si="152"/>
        <v>180.594037286615+81.7176278529606i</v>
      </c>
      <c r="BJ157" s="20">
        <f t="shared" si="200"/>
        <v>45.943038812152786</v>
      </c>
      <c r="BK157" s="43">
        <f t="shared" si="153"/>
        <v>24.346442685442877</v>
      </c>
      <c r="BL157">
        <f t="shared" si="201"/>
        <v>22.861019389276677</v>
      </c>
      <c r="BM157" s="43">
        <f t="shared" si="202"/>
        <v>4.0905413714463315</v>
      </c>
    </row>
    <row r="158" spans="14:65" x14ac:dyDescent="0.25">
      <c r="N158" s="9">
        <v>40</v>
      </c>
      <c r="O158" s="34">
        <f t="shared" si="154"/>
        <v>251.18864315095806</v>
      </c>
      <c r="P158" s="33" t="str">
        <f t="shared" si="155"/>
        <v>16.5157725627975</v>
      </c>
      <c r="Q158" s="4" t="str">
        <f t="shared" si="156"/>
        <v>1+4.08371443454419i</v>
      </c>
      <c r="R158" s="4">
        <f t="shared" si="168"/>
        <v>4.2043695821020028</v>
      </c>
      <c r="S158" s="4">
        <f t="shared" si="169"/>
        <v>1.3306468803267535</v>
      </c>
      <c r="T158" s="4" t="str">
        <f t="shared" si="157"/>
        <v>1+0.0259624558280131i</v>
      </c>
      <c r="U158" s="4">
        <f t="shared" si="170"/>
        <v>1.0003369677826675</v>
      </c>
      <c r="V158" s="4">
        <f t="shared" si="171"/>
        <v>2.5956624862608284E-2</v>
      </c>
      <c r="W158" t="str">
        <f t="shared" si="158"/>
        <v>1-0.39456619799412i</v>
      </c>
      <c r="X158" s="4">
        <f t="shared" si="172"/>
        <v>1.0750267366905508</v>
      </c>
      <c r="Y158" s="4">
        <f t="shared" si="173"/>
        <v>-0.37581330590486106</v>
      </c>
      <c r="Z158" t="str">
        <f t="shared" si="159"/>
        <v>0.999998696369123+0.00552392677191767i</v>
      </c>
      <c r="AA158" s="4">
        <f t="shared" si="174"/>
        <v>1.0000139531561183</v>
      </c>
      <c r="AB158" s="4">
        <f t="shared" si="175"/>
        <v>5.523877788626016E-3</v>
      </c>
      <c r="AC158" s="47" t="str">
        <f t="shared" si="176"/>
        <v>-0.485697370647027-4.19631230585461i</v>
      </c>
      <c r="AD158" s="20">
        <f t="shared" si="177"/>
        <v>12.515150653962543</v>
      </c>
      <c r="AE158" s="43">
        <f t="shared" si="178"/>
        <v>-96.602256406982548</v>
      </c>
      <c r="AF158" t="str">
        <f t="shared" si="160"/>
        <v>247.084651286898</v>
      </c>
      <c r="AG158" t="str">
        <f t="shared" si="161"/>
        <v>1+3.99357036137004i</v>
      </c>
      <c r="AH158">
        <f t="shared" si="179"/>
        <v>4.116868255265552</v>
      </c>
      <c r="AI158">
        <f t="shared" si="180"/>
        <v>1.325438876598718</v>
      </c>
      <c r="AJ158" t="str">
        <f t="shared" si="162"/>
        <v>1+0.0259624558280131i</v>
      </c>
      <c r="AK158">
        <f t="shared" si="181"/>
        <v>1.0003369677826675</v>
      </c>
      <c r="AL158">
        <f t="shared" si="182"/>
        <v>2.5956624862608284E-2</v>
      </c>
      <c r="AM158" t="str">
        <f t="shared" si="163"/>
        <v>1-0.0257912542896691i</v>
      </c>
      <c r="AN158">
        <f t="shared" si="183"/>
        <v>1.0003325391077882</v>
      </c>
      <c r="AO158">
        <f t="shared" si="184"/>
        <v>-2.5785537886509596E-2</v>
      </c>
      <c r="AP158" s="41" t="str">
        <f t="shared" si="185"/>
        <v>14.5981952238862-58.2566185032042i</v>
      </c>
      <c r="AQ158">
        <f t="shared" si="186"/>
        <v>35.571390268166752</v>
      </c>
      <c r="AR158" s="43">
        <f t="shared" si="187"/>
        <v>-75.932251070007581</v>
      </c>
      <c r="AS158" t="str">
        <f t="shared" si="164"/>
        <v>-0.0000166666666666667</v>
      </c>
      <c r="AT158" t="str">
        <f t="shared" si="165"/>
        <v>5.36610029272002E-06i</v>
      </c>
      <c r="AU158">
        <f t="shared" si="188"/>
        <v>5.3661002927200203E-6</v>
      </c>
      <c r="AV158">
        <f t="shared" si="189"/>
        <v>1.5707963267948966</v>
      </c>
      <c r="AW158" t="str">
        <f t="shared" si="166"/>
        <v>1+0.00545336905180579i</v>
      </c>
      <c r="AX158">
        <f t="shared" si="190"/>
        <v>1.0000148695064566</v>
      </c>
      <c r="AY158">
        <f t="shared" si="191"/>
        <v>5.453314993097585E-3</v>
      </c>
      <c r="AZ158" t="str">
        <f t="shared" si="167"/>
        <v>1+0.185414547761397i</v>
      </c>
      <c r="BA158">
        <f t="shared" si="192"/>
        <v>1.0170440278186403</v>
      </c>
      <c r="BB158">
        <f t="shared" si="193"/>
        <v>0.18333256586872484</v>
      </c>
      <c r="BC158" s="41" t="str">
        <f t="shared" si="194"/>
        <v>-0.558928014587179+3.10896588749759i</v>
      </c>
      <c r="BD158">
        <f t="shared" si="195"/>
        <v>9.9904652089962802</v>
      </c>
      <c r="BE158" s="43">
        <f t="shared" si="196"/>
        <v>100.19173033812218</v>
      </c>
      <c r="BF158" s="41" t="str">
        <f t="shared" si="197"/>
        <v>13.3176616792543+0.835419948710184i</v>
      </c>
      <c r="BG158" s="20">
        <f t="shared" si="198"/>
        <v>22.505615862958827</v>
      </c>
      <c r="BH158" s="43">
        <f t="shared" si="199"/>
        <v>3.5894739311396293</v>
      </c>
      <c r="BI158" s="41" t="str">
        <f t="shared" si="152"/>
        <v>172.95849937438+77.9465470866511i</v>
      </c>
      <c r="BJ158" s="20">
        <f t="shared" si="200"/>
        <v>45.561855477163029</v>
      </c>
      <c r="BK158" s="43">
        <f t="shared" si="153"/>
        <v>24.25947926811461</v>
      </c>
      <c r="BL158">
        <f t="shared" si="201"/>
        <v>22.505615862958827</v>
      </c>
      <c r="BM158" s="43">
        <f t="shared" si="202"/>
        <v>3.5894739311396293</v>
      </c>
    </row>
    <row r="159" spans="14:65" x14ac:dyDescent="0.25">
      <c r="N159" s="9">
        <v>41</v>
      </c>
      <c r="O159" s="34">
        <f t="shared" si="154"/>
        <v>257.03957827688663</v>
      </c>
      <c r="P159" s="33" t="str">
        <f t="shared" si="155"/>
        <v>16.5157725627975</v>
      </c>
      <c r="Q159" s="4" t="str">
        <f t="shared" si="156"/>
        <v>1+4.17883636334482i</v>
      </c>
      <c r="R159" s="4">
        <f t="shared" si="168"/>
        <v>4.2968213078522304</v>
      </c>
      <c r="S159" s="4">
        <f t="shared" si="169"/>
        <v>1.3359123179990506</v>
      </c>
      <c r="T159" s="4" t="str">
        <f t="shared" si="157"/>
        <v>1+0.0265671991112044i</v>
      </c>
      <c r="U159" s="4">
        <f t="shared" si="170"/>
        <v>1.0003528457842334</v>
      </c>
      <c r="V159" s="4">
        <f t="shared" si="171"/>
        <v>2.656095123822361E-2</v>
      </c>
      <c r="W159" t="str">
        <f t="shared" si="158"/>
        <v>1-0.403756825398242i</v>
      </c>
      <c r="X159" s="4">
        <f t="shared" si="172"/>
        <v>1.0784338524247403</v>
      </c>
      <c r="Y159" s="4">
        <f t="shared" si="173"/>
        <v>-0.38374081832362544</v>
      </c>
      <c r="Z159" t="str">
        <f t="shared" si="159"/>
        <v>0.999998634930893+0.00565259555557539i</v>
      </c>
      <c r="AA159" s="4">
        <f t="shared" si="174"/>
        <v>1.0000146107433452</v>
      </c>
      <c r="AB159" s="4">
        <f t="shared" si="175"/>
        <v>5.6525430690740688E-3</v>
      </c>
      <c r="AC159" s="47" t="str">
        <f t="shared" si="176"/>
        <v>-0.529104235925589-4.1127031591936i</v>
      </c>
      <c r="AD159" s="20">
        <f t="shared" si="177"/>
        <v>12.35383958555275</v>
      </c>
      <c r="AE159" s="43">
        <f t="shared" si="178"/>
        <v>-97.330903393295429</v>
      </c>
      <c r="AF159" t="str">
        <f t="shared" si="160"/>
        <v>247.084651286898</v>
      </c>
      <c r="AG159" t="str">
        <f t="shared" si="161"/>
        <v>1+4.08659256497007i</v>
      </c>
      <c r="AH159">
        <f t="shared" si="179"/>
        <v>4.2071651729007096</v>
      </c>
      <c r="AI159">
        <f t="shared" si="180"/>
        <v>1.3308095924920262</v>
      </c>
      <c r="AJ159" t="str">
        <f t="shared" si="162"/>
        <v>1+0.0265671991112044i</v>
      </c>
      <c r="AK159">
        <f t="shared" si="181"/>
        <v>1.0003528457842334</v>
      </c>
      <c r="AL159">
        <f t="shared" si="182"/>
        <v>2.656095123822361E-2</v>
      </c>
      <c r="AM159" t="str">
        <f t="shared" si="163"/>
        <v>1-0.0263920097767493i</v>
      </c>
      <c r="AN159">
        <f t="shared" si="183"/>
        <v>1.0003482084654602</v>
      </c>
      <c r="AO159">
        <f t="shared" si="184"/>
        <v>-2.6385884655554755E-2</v>
      </c>
      <c r="AP159" s="41" t="str">
        <f t="shared" si="185"/>
        <v>13.9791782013217-57.0839191062999i</v>
      </c>
      <c r="AQ159">
        <f t="shared" si="186"/>
        <v>35.383212322443569</v>
      </c>
      <c r="AR159" s="43">
        <f t="shared" si="187"/>
        <v>-76.239742408997373</v>
      </c>
      <c r="AS159" t="str">
        <f t="shared" si="164"/>
        <v>-0.0000166666666666667</v>
      </c>
      <c r="AT159" t="str">
        <f t="shared" si="165"/>
        <v>0.0000054910928254161i</v>
      </c>
      <c r="AU159">
        <f t="shared" si="188"/>
        <v>5.4910928254161002E-6</v>
      </c>
      <c r="AV159">
        <f t="shared" si="189"/>
        <v>1.5707963267948966</v>
      </c>
      <c r="AW159" t="str">
        <f t="shared" si="166"/>
        <v>1+0.00558039433503359i</v>
      </c>
      <c r="AX159">
        <f t="shared" si="190"/>
        <v>1.0000155702792506</v>
      </c>
      <c r="AY159">
        <f t="shared" si="191"/>
        <v>5.5803364101328417E-3</v>
      </c>
      <c r="AZ159" t="str">
        <f t="shared" si="167"/>
        <v>1+0.189733407391142i</v>
      </c>
      <c r="BA159">
        <f t="shared" si="192"/>
        <v>1.0178402457558127</v>
      </c>
      <c r="BB159">
        <f t="shared" si="193"/>
        <v>0.1875046300029059</v>
      </c>
      <c r="BC159" s="41" t="str">
        <f t="shared" si="194"/>
        <v>-0.558927231236556+3.03833755944032i</v>
      </c>
      <c r="BD159">
        <f t="shared" si="195"/>
        <v>9.7972564242653579</v>
      </c>
      <c r="BE159" s="43">
        <f t="shared" si="196"/>
        <v>100.4234942137648</v>
      </c>
      <c r="BF159" s="41" t="str">
        <f t="shared" si="197"/>
        <v>12.7915112450282+0.691104516794226i</v>
      </c>
      <c r="BG159" s="20">
        <f t="shared" si="198"/>
        <v>22.151096009818112</v>
      </c>
      <c r="BH159" s="43">
        <f t="shared" si="199"/>
        <v>3.0925908204693635</v>
      </c>
      <c r="BI159" s="41" t="str">
        <f t="shared" si="152"/>
        <v>165.626872093697+74.3792190334008i</v>
      </c>
      <c r="BJ159" s="20">
        <f t="shared" si="200"/>
        <v>45.180468746708939</v>
      </c>
      <c r="BK159" s="43">
        <f t="shared" si="153"/>
        <v>24.183751804767393</v>
      </c>
      <c r="BL159">
        <f t="shared" si="201"/>
        <v>22.151096009818112</v>
      </c>
      <c r="BM159" s="43">
        <f t="shared" si="202"/>
        <v>3.0925908204693635</v>
      </c>
    </row>
    <row r="160" spans="14:65" x14ac:dyDescent="0.25">
      <c r="N160" s="9">
        <v>42</v>
      </c>
      <c r="O160" s="34">
        <f t="shared" si="154"/>
        <v>263.02679918953817</v>
      </c>
      <c r="P160" s="33" t="str">
        <f t="shared" si="155"/>
        <v>16.5157725627975</v>
      </c>
      <c r="Q160" s="4" t="str">
        <f t="shared" si="156"/>
        <v>1+4.27617396649874i</v>
      </c>
      <c r="R160" s="4">
        <f t="shared" si="168"/>
        <v>4.3915445792752195</v>
      </c>
      <c r="S160" s="4">
        <f t="shared" si="169"/>
        <v>1.3410707532696877</v>
      </c>
      <c r="T160" s="4" t="str">
        <f t="shared" si="157"/>
        <v>1+0.0271860286750229i</v>
      </c>
      <c r="U160" s="4">
        <f t="shared" si="170"/>
        <v>1.0003694718228457</v>
      </c>
      <c r="V160" s="4">
        <f t="shared" si="171"/>
        <v>2.7179334092042227E-2</v>
      </c>
      <c r="W160" t="str">
        <f t="shared" si="158"/>
        <v>1-0.413161530015545i</v>
      </c>
      <c r="X160" s="4">
        <f t="shared" si="172"/>
        <v>1.0819900414905796</v>
      </c>
      <c r="Y160" s="4">
        <f t="shared" si="173"/>
        <v>-0.3918007820322511</v>
      </c>
      <c r="Z160" t="str">
        <f t="shared" si="159"/>
        <v>0.999998570597168+0.00578426142021762i</v>
      </c>
      <c r="AA160" s="4">
        <f t="shared" si="174"/>
        <v>1.0000152993212437</v>
      </c>
      <c r="AB160" s="4">
        <f t="shared" si="175"/>
        <v>5.7842051799645543E-3</v>
      </c>
      <c r="AC160" s="47" t="str">
        <f t="shared" si="176"/>
        <v>-0.570765605110398-4.03038803112196i</v>
      </c>
      <c r="AD160" s="20">
        <f t="shared" si="177"/>
        <v>12.193172941648289</v>
      </c>
      <c r="AE160" s="43">
        <f t="shared" si="178"/>
        <v>-98.060374822355953</v>
      </c>
      <c r="AF160" t="str">
        <f t="shared" si="160"/>
        <v>247.084651286898</v>
      </c>
      <c r="AG160" t="str">
        <f t="shared" si="161"/>
        <v>1+4.1817815340405i</v>
      </c>
      <c r="AH160">
        <f t="shared" si="179"/>
        <v>4.2996856627481641</v>
      </c>
      <c r="AI160">
        <f t="shared" si="180"/>
        <v>1.3360717320039959</v>
      </c>
      <c r="AJ160" t="str">
        <f t="shared" si="162"/>
        <v>1+0.0271860286750229i</v>
      </c>
      <c r="AK160">
        <f t="shared" si="181"/>
        <v>1.0003694718228457</v>
      </c>
      <c r="AL160">
        <f t="shared" si="182"/>
        <v>2.7179334092042227E-2</v>
      </c>
      <c r="AM160" t="str">
        <f t="shared" si="163"/>
        <v>1-0.0270067586567527i</v>
      </c>
      <c r="AN160">
        <f t="shared" si="183"/>
        <v>1.0003646160341459</v>
      </c>
      <c r="AO160">
        <f t="shared" si="184"/>
        <v>-2.7000195600337396E-2</v>
      </c>
      <c r="AP160" s="41" t="str">
        <f t="shared" si="185"/>
        <v>13.3849365115271-55.9285854682579i</v>
      </c>
      <c r="AQ160">
        <f t="shared" si="186"/>
        <v>35.194556264824087</v>
      </c>
      <c r="AR160" s="43">
        <f t="shared" si="187"/>
        <v>-76.54100749103992</v>
      </c>
      <c r="AS160" t="str">
        <f t="shared" si="164"/>
        <v>-0.0000166666666666667</v>
      </c>
      <c r="AT160" t="str">
        <f t="shared" si="165"/>
        <v>5.61899680821142E-06i</v>
      </c>
      <c r="AU160">
        <f t="shared" si="188"/>
        <v>5.6189968082114196E-6</v>
      </c>
      <c r="AV160">
        <f t="shared" si="189"/>
        <v>1.5707963267948966</v>
      </c>
      <c r="AW160" t="str">
        <f t="shared" si="166"/>
        <v>1+0.00571037841720308i</v>
      </c>
      <c r="AX160">
        <f t="shared" si="190"/>
        <v>1.0000163040779224</v>
      </c>
      <c r="AY160">
        <f t="shared" si="191"/>
        <v>5.7103163496083275E-3</v>
      </c>
      <c r="AZ160" t="str">
        <f t="shared" si="167"/>
        <v>1+0.194152866184905i</v>
      </c>
      <c r="BA160">
        <f t="shared" si="192"/>
        <v>1.0186733212604586</v>
      </c>
      <c r="BB160">
        <f t="shared" si="193"/>
        <v>0.19176704619275128</v>
      </c>
      <c r="BC160" s="41" t="str">
        <f t="shared" si="194"/>
        <v>-0.558926410970111+2.96932019776211i</v>
      </c>
      <c r="BD160">
        <f t="shared" si="195"/>
        <v>9.6043563154325895</v>
      </c>
      <c r="BE160" s="43">
        <f t="shared" si="196"/>
        <v>100.6602653700178</v>
      </c>
      <c r="BF160" s="41" t="str">
        <f t="shared" si="197"/>
        <v>12.2865285567986+0.557904477609672i</v>
      </c>
      <c r="BG160" s="20">
        <f t="shared" si="198"/>
        <v>21.79752925708085</v>
      </c>
      <c r="BH160" s="43">
        <f t="shared" si="199"/>
        <v>2.5998905476618579</v>
      </c>
      <c r="BI160" s="41" t="str">
        <f t="shared" si="152"/>
        <v>158.588683937712+71.0041258758494i</v>
      </c>
      <c r="BJ160" s="20">
        <f t="shared" si="200"/>
        <v>44.798912580256676</v>
      </c>
      <c r="BK160" s="43">
        <f t="shared" si="153"/>
        <v>24.119257878977876</v>
      </c>
      <c r="BL160">
        <f t="shared" si="201"/>
        <v>21.79752925708085</v>
      </c>
      <c r="BM160" s="43">
        <f t="shared" si="202"/>
        <v>2.5998905476618579</v>
      </c>
    </row>
    <row r="161" spans="14:65" x14ac:dyDescent="0.25">
      <c r="N161" s="9">
        <v>43</v>
      </c>
      <c r="O161" s="34">
        <f t="shared" si="154"/>
        <v>269.15348039269179</v>
      </c>
      <c r="P161" s="33" t="str">
        <f t="shared" si="155"/>
        <v>16.5157725627975</v>
      </c>
      <c r="Q161" s="4" t="str">
        <f t="shared" si="156"/>
        <v>1+4.37577885369157i</v>
      </c>
      <c r="R161" s="4">
        <f t="shared" si="168"/>
        <v>4.4885900432557122</v>
      </c>
      <c r="S161" s="4">
        <f t="shared" si="169"/>
        <v>1.3461238226194903</v>
      </c>
      <c r="T161" s="4" t="str">
        <f t="shared" si="157"/>
        <v>1+0.0278192726310946i</v>
      </c>
      <c r="U161" s="4">
        <f t="shared" si="170"/>
        <v>1.0003868811263585</v>
      </c>
      <c r="V161" s="4">
        <f t="shared" si="171"/>
        <v>2.7812099406011648E-2</v>
      </c>
      <c r="W161" t="str">
        <f t="shared" si="158"/>
        <v>1-0.422785298344903i</v>
      </c>
      <c r="X161" s="4">
        <f t="shared" si="172"/>
        <v>1.0857013440613346</v>
      </c>
      <c r="Y161" s="4">
        <f t="shared" si="173"/>
        <v>-0.39999328068872003</v>
      </c>
      <c r="Z161" t="str">
        <f t="shared" si="159"/>
        <v>0.999998503231487+0.00591899417682863i</v>
      </c>
      <c r="AA161" s="4">
        <f t="shared" si="174"/>
        <v>1.0000160203503139</v>
      </c>
      <c r="AB161" s="4">
        <f t="shared" si="175"/>
        <v>5.9189339143637656E-3</v>
      </c>
      <c r="AC161" s="47" t="str">
        <f t="shared" si="176"/>
        <v>-0.61074322381618-3.94937636825351i</v>
      </c>
      <c r="AD161" s="20">
        <f t="shared" si="177"/>
        <v>12.033207153472008</v>
      </c>
      <c r="AE161" s="43">
        <f t="shared" si="178"/>
        <v>-98.790754572316288</v>
      </c>
      <c r="AF161" t="str">
        <f t="shared" si="160"/>
        <v>247.084651286898</v>
      </c>
      <c r="AG161" t="str">
        <f t="shared" si="161"/>
        <v>1+4.27918773903271i</v>
      </c>
      <c r="AH161">
        <f t="shared" si="179"/>
        <v>4.3944792303397993</v>
      </c>
      <c r="AI161">
        <f t="shared" si="180"/>
        <v>1.3412269190086117</v>
      </c>
      <c r="AJ161" t="str">
        <f t="shared" si="162"/>
        <v>1+0.0278192726310946i</v>
      </c>
      <c r="AK161">
        <f t="shared" si="181"/>
        <v>1.0003868811263585</v>
      </c>
      <c r="AL161">
        <f t="shared" si="182"/>
        <v>2.7812099406011648E-2</v>
      </c>
      <c r="AM161" t="str">
        <f t="shared" si="163"/>
        <v>1-0.0276358268776727i</v>
      </c>
      <c r="AN161">
        <f t="shared" si="183"/>
        <v>1.0003817965792923</v>
      </c>
      <c r="AO161">
        <f t="shared" si="184"/>
        <v>-2.7628794580970718E-2</v>
      </c>
      <c r="AP161" s="41" t="str">
        <f t="shared" si="185"/>
        <v>12.8146049442094-54.7907737277945i</v>
      </c>
      <c r="AQ161">
        <f t="shared" si="186"/>
        <v>35.005442406720753</v>
      </c>
      <c r="AR161" s="43">
        <f t="shared" si="187"/>
        <v>-76.836139235688918</v>
      </c>
      <c r="AS161" t="str">
        <f t="shared" si="164"/>
        <v>-0.0000166666666666667</v>
      </c>
      <c r="AT161" t="str">
        <f t="shared" si="165"/>
        <v>5.74988005749067E-06i</v>
      </c>
      <c r="AU161">
        <f t="shared" si="188"/>
        <v>5.7498800574906699E-6</v>
      </c>
      <c r="AV161">
        <f t="shared" si="189"/>
        <v>1.5707963267948966</v>
      </c>
      <c r="AW161" t="str">
        <f t="shared" si="166"/>
        <v>1+0.00584339021759519i</v>
      </c>
      <c r="AX161">
        <f t="shared" si="190"/>
        <v>1.000017072458883</v>
      </c>
      <c r="AY161">
        <f t="shared" si="191"/>
        <v>5.8433237110305054E-3</v>
      </c>
      <c r="AZ161" t="str">
        <f t="shared" si="167"/>
        <v>1+0.198675267398237i</v>
      </c>
      <c r="BA161">
        <f t="shared" si="192"/>
        <v>1.0195449288166565</v>
      </c>
      <c r="BB161">
        <f t="shared" si="193"/>
        <v>0.19612145460499439</v>
      </c>
      <c r="BC161" s="41" t="str">
        <f t="shared" si="194"/>
        <v>-0.558925552048281+2.90187720851472i</v>
      </c>
      <c r="BD161">
        <f t="shared" si="195"/>
        <v>9.411778372425367</v>
      </c>
      <c r="BE161" s="43">
        <f t="shared" si="196"/>
        <v>100.90213383386194</v>
      </c>
      <c r="BF161" s="41" t="str">
        <f t="shared" si="197"/>
        <v>11.8019652644127+0.435105525425551i</v>
      </c>
      <c r="BG161" s="20">
        <f t="shared" si="198"/>
        <v>21.444985525897373</v>
      </c>
      <c r="BH161" s="43">
        <f t="shared" si="199"/>
        <v>2.1113792615456481</v>
      </c>
      <c r="BI161" s="41" t="str">
        <f t="shared" si="152"/>
        <v>151.833687374851+67.8103734766813i</v>
      </c>
      <c r="BJ161" s="20">
        <f t="shared" si="200"/>
        <v>44.417220779146113</v>
      </c>
      <c r="BK161" s="43">
        <f t="shared" si="153"/>
        <v>24.065994598173056</v>
      </c>
      <c r="BL161">
        <f t="shared" si="201"/>
        <v>21.444985525897373</v>
      </c>
      <c r="BM161" s="43">
        <f t="shared" si="202"/>
        <v>2.1113792615456481</v>
      </c>
    </row>
    <row r="162" spans="14:65" x14ac:dyDescent="0.25">
      <c r="N162" s="9">
        <v>44</v>
      </c>
      <c r="O162" s="34">
        <f t="shared" si="154"/>
        <v>275.42287033381683</v>
      </c>
      <c r="P162" s="33" t="str">
        <f t="shared" si="155"/>
        <v>16.5157725627975</v>
      </c>
      <c r="Q162" s="4" t="str">
        <f t="shared" si="156"/>
        <v>1+4.4777038367529i</v>
      </c>
      <c r="R162" s="4">
        <f t="shared" si="168"/>
        <v>4.5880095520466861</v>
      </c>
      <c r="S162" s="4">
        <f t="shared" si="169"/>
        <v>1.3510731726108345</v>
      </c>
      <c r="T162" s="4" t="str">
        <f t="shared" si="157"/>
        <v>1+0.0284672667337469i</v>
      </c>
      <c r="U162" s="4">
        <f t="shared" si="170"/>
        <v>1.000405110580354</v>
      </c>
      <c r="V162" s="4">
        <f t="shared" si="171"/>
        <v>2.8459580652683475E-2</v>
      </c>
      <c r="W162" t="str">
        <f t="shared" si="158"/>
        <v>1-0.432633233035667i</v>
      </c>
      <c r="X162" s="4">
        <f t="shared" si="172"/>
        <v>1.0895740058972101</v>
      </c>
      <c r="Y162" s="4">
        <f t="shared" si="173"/>
        <v>-0.40831825816441369</v>
      </c>
      <c r="Z162" t="str">
        <f t="shared" si="159"/>
        <v>0.999998432690961+0.00605686526249934i</v>
      </c>
      <c r="AA162" s="4">
        <f t="shared" si="174"/>
        <v>1.0000167753598868</v>
      </c>
      <c r="AB162" s="4">
        <f t="shared" si="175"/>
        <v>6.0568006901632202E-3</v>
      </c>
      <c r="AC162" s="47" t="str">
        <f t="shared" si="176"/>
        <v>-0.649097375483118-3.86967537422517i</v>
      </c>
      <c r="AD162" s="20">
        <f t="shared" si="177"/>
        <v>11.873998603049268</v>
      </c>
      <c r="AE162" s="43">
        <f t="shared" si="178"/>
        <v>-99.522118753692425</v>
      </c>
      <c r="AF162" t="str">
        <f t="shared" si="160"/>
        <v>247.084651286898</v>
      </c>
      <c r="AG162" t="str">
        <f t="shared" si="161"/>
        <v>1+4.37886282600591i</v>
      </c>
      <c r="AH162">
        <f t="shared" si="179"/>
        <v>4.4915965590173466</v>
      </c>
      <c r="AI162">
        <f t="shared" si="180"/>
        <v>1.3462767903382811</v>
      </c>
      <c r="AJ162" t="str">
        <f t="shared" si="162"/>
        <v>1+0.0284672667337469i</v>
      </c>
      <c r="AK162">
        <f t="shared" si="181"/>
        <v>1.000405110580354</v>
      </c>
      <c r="AL162">
        <f t="shared" si="182"/>
        <v>2.8459580652683475E-2</v>
      </c>
      <c r="AM162" t="str">
        <f t="shared" si="163"/>
        <v>1-0.0282795479798066i</v>
      </c>
      <c r="AN162">
        <f t="shared" si="183"/>
        <v>1.0003997865023473</v>
      </c>
      <c r="AO162">
        <f t="shared" si="184"/>
        <v>-2.8272012900756847E-2</v>
      </c>
      <c r="AP162" s="41" t="str">
        <f t="shared" si="185"/>
        <v>12.2673378414768-53.6706072252408i</v>
      </c>
      <c r="AQ162">
        <f t="shared" si="186"/>
        <v>34.815890395550987</v>
      </c>
      <c r="AR162" s="43">
        <f t="shared" si="187"/>
        <v>-77.125231302244117</v>
      </c>
      <c r="AS162" t="str">
        <f t="shared" si="164"/>
        <v>-0.0000166666666666667</v>
      </c>
      <c r="AT162" t="str">
        <f t="shared" si="165"/>
        <v>5.88381196928507E-06i</v>
      </c>
      <c r="AU162">
        <f t="shared" si="188"/>
        <v>5.8838119692850698E-6</v>
      </c>
      <c r="AV162">
        <f t="shared" si="189"/>
        <v>1.5707963267948966</v>
      </c>
      <c r="AW162" t="str">
        <f t="shared" si="166"/>
        <v>1+0.00597950026082708i</v>
      </c>
      <c r="AX162">
        <f t="shared" si="190"/>
        <v>1.0000178770518902</v>
      </c>
      <c r="AY162">
        <f t="shared" si="191"/>
        <v>5.9794289978279003E-3</v>
      </c>
      <c r="AZ162" t="str">
        <f t="shared" si="167"/>
        <v>1+0.203303008868121i</v>
      </c>
      <c r="BA162">
        <f t="shared" si="192"/>
        <v>1.0204568160460448</v>
      </c>
      <c r="BB162">
        <f t="shared" si="193"/>
        <v>0.20056950318075403</v>
      </c>
      <c r="BC162" s="41" t="str">
        <f t="shared" si="194"/>
        <v>-0.558924652649541+2.83597283250099i</v>
      </c>
      <c r="BD162">
        <f t="shared" si="195"/>
        <v>9.2195366247156656</v>
      </c>
      <c r="BE162" s="43">
        <f t="shared" si="196"/>
        <v>101.14918998581925</v>
      </c>
      <c r="BF162" s="41" t="str">
        <f t="shared" si="197"/>
        <v>11.3370907570283+0.322034441887469i</v>
      </c>
      <c r="BG162" s="20">
        <f t="shared" si="198"/>
        <v>21.093535227764924</v>
      </c>
      <c r="BH162" s="43">
        <f t="shared" si="199"/>
        <v>1.6270712321268335</v>
      </c>
      <c r="BI162" s="41" t="str">
        <f t="shared" si="152"/>
        <v>145.351866452632+64.7876623463972i</v>
      </c>
      <c r="BJ162" s="20">
        <f t="shared" si="200"/>
        <v>44.035427020266638</v>
      </c>
      <c r="BK162" s="43">
        <f t="shared" si="153"/>
        <v>24.023958683575188</v>
      </c>
      <c r="BL162">
        <f t="shared" si="201"/>
        <v>21.093535227764924</v>
      </c>
      <c r="BM162" s="43">
        <f t="shared" si="202"/>
        <v>1.6270712321268335</v>
      </c>
    </row>
    <row r="163" spans="14:65" x14ac:dyDescent="0.25">
      <c r="N163" s="9">
        <v>45</v>
      </c>
      <c r="O163" s="34">
        <f t="shared" si="154"/>
        <v>281.83829312644554</v>
      </c>
      <c r="P163" s="33" t="str">
        <f t="shared" si="155"/>
        <v>16.5157725627975</v>
      </c>
      <c r="Q163" s="4" t="str">
        <f t="shared" si="156"/>
        <v>1+4.58200295765789i</v>
      </c>
      <c r="R163" s="4">
        <f t="shared" si="168"/>
        <v>4.6898561922499988</v>
      </c>
      <c r="S163" s="4">
        <f t="shared" si="169"/>
        <v>1.3559204570994641</v>
      </c>
      <c r="T163" s="4" t="str">
        <f t="shared" si="157"/>
        <v>1+0.0291303545580303i</v>
      </c>
      <c r="U163" s="4">
        <f t="shared" si="170"/>
        <v>1.0004241988060247</v>
      </c>
      <c r="V163" s="4">
        <f t="shared" si="171"/>
        <v>2.9122118962383481E-2</v>
      </c>
      <c r="W163" t="str">
        <f t="shared" si="158"/>
        <v>1-0.442710555593165i</v>
      </c>
      <c r="X163" s="4">
        <f t="shared" si="172"/>
        <v>1.0936144823627789</v>
      </c>
      <c r="Y163" s="4">
        <f t="shared" si="173"/>
        <v>-0.41677551170401966</v>
      </c>
      <c r="Z163" t="str">
        <f t="shared" si="159"/>
        <v>0.999998358825961+0.0061979477783043i</v>
      </c>
      <c r="AA163" s="4">
        <f t="shared" si="174"/>
        <v>1.0000175659513577</v>
      </c>
      <c r="AB163" s="4">
        <f t="shared" si="175"/>
        <v>6.1978785878650583E-3</v>
      </c>
      <c r="AC163" s="47" t="str">
        <f t="shared" si="176"/>
        <v>-0.685886851365513-3.7912901502966i</v>
      </c>
      <c r="AD163" s="20">
        <f t="shared" si="177"/>
        <v>11.71560359870522</v>
      </c>
      <c r="AE163" s="43">
        <f t="shared" si="178"/>
        <v>-100.25453515029092</v>
      </c>
      <c r="AF163" t="str">
        <f t="shared" si="160"/>
        <v>247.084651286898</v>
      </c>
      <c r="AG163" t="str">
        <f t="shared" si="161"/>
        <v>1+4.48085964401054i</v>
      </c>
      <c r="AH163">
        <f t="shared" si="179"/>
        <v>4.5910895383691068</v>
      </c>
      <c r="AI163">
        <f t="shared" si="180"/>
        <v>1.3512229928189754</v>
      </c>
      <c r="AJ163" t="str">
        <f t="shared" si="162"/>
        <v>1+0.0291303545580303i</v>
      </c>
      <c r="AK163">
        <f t="shared" si="181"/>
        <v>1.0004241988060247</v>
      </c>
      <c r="AL163">
        <f t="shared" si="182"/>
        <v>2.9122118962383481E-2</v>
      </c>
      <c r="AM163" t="str">
        <f t="shared" si="163"/>
        <v>1-0.0289382632726035i</v>
      </c>
      <c r="AN163">
        <f t="shared" si="183"/>
        <v>1.0004186239176249</v>
      </c>
      <c r="AO163">
        <f t="shared" si="184"/>
        <v>-2.8930189472395632E-2</v>
      </c>
      <c r="AP163" s="41" t="str">
        <f t="shared" si="185"/>
        <v>11.7423096185149-52.5681784888054i</v>
      </c>
      <c r="AQ163">
        <f t="shared" si="186"/>
        <v>34.625919232120019</v>
      </c>
      <c r="AR163" s="43">
        <f t="shared" si="187"/>
        <v>-77.408377919822868</v>
      </c>
      <c r="AS163" t="str">
        <f t="shared" si="164"/>
        <v>-0.0000166666666666667</v>
      </c>
      <c r="AT163" t="str">
        <f t="shared" si="165"/>
        <v>6.02086355606703E-06i</v>
      </c>
      <c r="AU163">
        <f t="shared" si="188"/>
        <v>6.0208635560670297E-6</v>
      </c>
      <c r="AV163">
        <f t="shared" si="189"/>
        <v>1.5707963267948966</v>
      </c>
      <c r="AW163" t="str">
        <f t="shared" si="166"/>
        <v>1+0.0061187807142453i</v>
      </c>
      <c r="AX163">
        <f t="shared" si="190"/>
        <v>1.0000187195635035</v>
      </c>
      <c r="AY163">
        <f t="shared" si="191"/>
        <v>6.1187043546431291E-3</v>
      </c>
      <c r="AZ163" t="str">
        <f t="shared" si="167"/>
        <v>1+0.20803854428434i</v>
      </c>
      <c r="BA163">
        <f t="shared" si="192"/>
        <v>1.0214108066336225</v>
      </c>
      <c r="BB163">
        <f t="shared" si="193"/>
        <v>0.20511284595752133</v>
      </c>
      <c r="BC163" s="41" t="str">
        <f t="shared" si="194"/>
        <v>-0.558923710866546+2.77157212631457i</v>
      </c>
      <c r="BD163">
        <f t="shared" si="195"/>
        <v>9.0276456582802389</v>
      </c>
      <c r="BE163" s="43">
        <f t="shared" si="196"/>
        <v>101.40152446167357</v>
      </c>
      <c r="BF163" s="41" t="str">
        <f t="shared" si="197"/>
        <v>10.8911925275328+0.21805708072524i</v>
      </c>
      <c r="BG163" s="20">
        <f t="shared" si="198"/>
        <v>20.743249256985443</v>
      </c>
      <c r="BH163" s="43">
        <f t="shared" si="199"/>
        <v>1.1469893113826617</v>
      </c>
      <c r="BI163" s="41" t="str">
        <f t="shared" si="152"/>
        <v>139.133442964578+61.9262594316894i</v>
      </c>
      <c r="BJ163" s="20">
        <f t="shared" si="200"/>
        <v>43.653564890400261</v>
      </c>
      <c r="BK163" s="43">
        <f t="shared" si="153"/>
        <v>23.993146541850706</v>
      </c>
      <c r="BL163">
        <f t="shared" si="201"/>
        <v>20.743249256985443</v>
      </c>
      <c r="BM163" s="43">
        <f t="shared" si="202"/>
        <v>1.1469893113826617</v>
      </c>
    </row>
    <row r="164" spans="14:65" x14ac:dyDescent="0.25">
      <c r="N164" s="9">
        <v>46</v>
      </c>
      <c r="O164" s="34">
        <f t="shared" si="154"/>
        <v>288.40315031266073</v>
      </c>
      <c r="P164" s="33" t="str">
        <f t="shared" si="155"/>
        <v>16.5157725627975</v>
      </c>
      <c r="Q164" s="4" t="str">
        <f t="shared" si="156"/>
        <v>1+4.68873151718101i</v>
      </c>
      <c r="R164" s="4">
        <f t="shared" si="168"/>
        <v>4.7941843143757561</v>
      </c>
      <c r="S164" s="4">
        <f t="shared" si="169"/>
        <v>1.3606673346226088</v>
      </c>
      <c r="T164" s="4" t="str">
        <f t="shared" si="157"/>
        <v>1+0.0298088876818861i</v>
      </c>
      <c r="U164" s="4">
        <f t="shared" si="170"/>
        <v>1.0004441862417071</v>
      </c>
      <c r="V164" s="4">
        <f t="shared" si="171"/>
        <v>2.9800063293754835E-2</v>
      </c>
      <c r="W164" t="str">
        <f t="shared" si="158"/>
        <v>1-0.453022609147205i</v>
      </c>
      <c r="X164" s="4">
        <f t="shared" si="172"/>
        <v>1.0978294423081125</v>
      </c>
      <c r="Y164" s="4">
        <f t="shared" si="173"/>
        <v>-0.42536468515692927</v>
      </c>
      <c r="Z164" t="str">
        <f t="shared" si="159"/>
        <v>0.999998281479812+0.00634231652806086i</v>
      </c>
      <c r="AA164" s="4">
        <f t="shared" si="174"/>
        <v>1.0000183938015936</v>
      </c>
      <c r="AB164" s="4">
        <f t="shared" si="175"/>
        <v>6.3422423892429535E-3</v>
      </c>
      <c r="AC164" s="47" t="str">
        <f t="shared" si="176"/>
        <v>-0.721168928045876-3.71422383114227i</v>
      </c>
      <c r="AD164" s="20">
        <f t="shared" si="177"/>
        <v>11.558078346233586</v>
      </c>
      <c r="AE164" s="43">
        <f t="shared" si="178"/>
        <v>-100.98806267419123</v>
      </c>
      <c r="AF164" t="str">
        <f t="shared" si="160"/>
        <v>247.084651286898</v>
      </c>
      <c r="AG164" t="str">
        <f t="shared" si="161"/>
        <v>1+4.58523227310962i</v>
      </c>
      <c r="AH164">
        <f t="shared" si="179"/>
        <v>4.6930112932280501</v>
      </c>
      <c r="AI164">
        <f t="shared" si="180"/>
        <v>1.3560671804875355</v>
      </c>
      <c r="AJ164" t="str">
        <f t="shared" si="162"/>
        <v>1+0.0298088876818861i</v>
      </c>
      <c r="AK164">
        <f t="shared" si="181"/>
        <v>1.0004441862417071</v>
      </c>
      <c r="AL164">
        <f t="shared" si="182"/>
        <v>2.9800063293754835E-2</v>
      </c>
      <c r="AM164" t="str">
        <f t="shared" si="163"/>
        <v>1-0.0296123220156306i</v>
      </c>
      <c r="AN164">
        <f t="shared" si="183"/>
        <v>1.000438348732773</v>
      </c>
      <c r="AO164">
        <f t="shared" si="184"/>
        <v>-2.9603670987553937E-2</v>
      </c>
      <c r="AP164" s="41" t="str">
        <f t="shared" si="185"/>
        <v>11.2387151723415-51.4835511574052i</v>
      </c>
      <c r="AQ164">
        <f t="shared" si="186"/>
        <v>34.435547288440709</v>
      </c>
      <c r="AR164" s="43">
        <f t="shared" si="187"/>
        <v>-77.68567372786687</v>
      </c>
      <c r="AS164" t="str">
        <f t="shared" si="164"/>
        <v>-0.0000166666666666667</v>
      </c>
      <c r="AT164" t="str">
        <f t="shared" si="165"/>
        <v>6.16110748440197E-06i</v>
      </c>
      <c r="AU164">
        <f t="shared" si="188"/>
        <v>6.1611074844019703E-6</v>
      </c>
      <c r="AV164">
        <f t="shared" si="189"/>
        <v>1.5707963267948966</v>
      </c>
      <c r="AW164" t="str">
        <f t="shared" si="166"/>
        <v>1+0.00626130542618984i</v>
      </c>
      <c r="AX164">
        <f t="shared" si="190"/>
        <v>1.000019601780705</v>
      </c>
      <c r="AY164">
        <f t="shared" si="191"/>
        <v>6.2612236054885939E-3</v>
      </c>
      <c r="AZ164" t="str">
        <f t="shared" si="167"/>
        <v>1+0.212884384490455i</v>
      </c>
      <c r="BA164">
        <f t="shared" si="192"/>
        <v>1.0224088033462349</v>
      </c>
      <c r="BB164">
        <f t="shared" si="193"/>
        <v>0.20975314125411482</v>
      </c>
      <c r="BC164" s="41" t="str">
        <f t="shared" si="194"/>
        <v>-0.558922724702088+2.70864094381232i</v>
      </c>
      <c r="BD164">
        <f t="shared" si="195"/>
        <v>8.8361206326556534</v>
      </c>
      <c r="BE164" s="43">
        <f t="shared" si="196"/>
        <v>101.65922804629</v>
      </c>
      <c r="BF164" s="41" t="str">
        <f t="shared" si="197"/>
        <v>10.4635764457493+0.122576417945166i</v>
      </c>
      <c r="BG164" s="20">
        <f t="shared" si="198"/>
        <v>20.394198978889246</v>
      </c>
      <c r="BH164" s="43">
        <f t="shared" si="199"/>
        <v>0.67116537209876659</v>
      </c>
      <c r="BI164" s="41" t="str">
        <f t="shared" si="152"/>
        <v>133.168881291528+59.2169707618852i</v>
      </c>
      <c r="BJ164" s="20">
        <f t="shared" si="200"/>
        <v>43.271667921096359</v>
      </c>
      <c r="BK164" s="43">
        <f t="shared" si="153"/>
        <v>23.973554318423137</v>
      </c>
      <c r="BL164">
        <f t="shared" si="201"/>
        <v>20.394198978889246</v>
      </c>
      <c r="BM164" s="43">
        <f t="shared" si="202"/>
        <v>0.67116537209876659</v>
      </c>
    </row>
    <row r="165" spans="14:65" x14ac:dyDescent="0.25">
      <c r="N165" s="9">
        <v>47</v>
      </c>
      <c r="O165" s="34">
        <f t="shared" si="154"/>
        <v>295.12092266663871</v>
      </c>
      <c r="P165" s="33" t="str">
        <f t="shared" si="155"/>
        <v>16.5157725627975</v>
      </c>
      <c r="Q165" s="4" t="str">
        <f t="shared" si="156"/>
        <v>1+4.79794610421723i</v>
      </c>
      <c r="R165" s="4">
        <f t="shared" si="168"/>
        <v>4.901049562999062</v>
      </c>
      <c r="S165" s="4">
        <f t="shared" si="169"/>
        <v>1.365315465957164</v>
      </c>
      <c r="T165" s="4" t="str">
        <f t="shared" si="157"/>
        <v>1+0.0305032258725581i</v>
      </c>
      <c r="U165" s="4">
        <f t="shared" si="170"/>
        <v>1.0004651152282282</v>
      </c>
      <c r="V165" s="4">
        <f t="shared" si="171"/>
        <v>3.0493770607717529E-2</v>
      </c>
      <c r="W165" t="str">
        <f t="shared" si="158"/>
        <v>1-0.463574861285077i</v>
      </c>
      <c r="X165" s="4">
        <f t="shared" si="172"/>
        <v>1.1022257717979009</v>
      </c>
      <c r="Y165" s="4">
        <f t="shared" si="173"/>
        <v>-0.43408526232052785</v>
      </c>
      <c r="Z165" t="str">
        <f t="shared" si="159"/>
        <v>0.99999820048845+0.00649004805799108i</v>
      </c>
      <c r="AA165" s="4">
        <f t="shared" si="174"/>
        <v>1.0000192606664799</v>
      </c>
      <c r="AB165" s="4">
        <f t="shared" si="175"/>
        <v>6.4899686168988771E-3</v>
      </c>
      <c r="AC165" s="47" t="str">
        <f t="shared" si="176"/>
        <v>-0.754999351841464-3.63847771569442i</v>
      </c>
      <c r="AD165" s="20">
        <f t="shared" si="177"/>
        <v>11.401478915541459</v>
      </c>
      <c r="AE165" s="43">
        <f t="shared" si="178"/>
        <v>-101.72275083673671</v>
      </c>
      <c r="AF165" t="str">
        <f t="shared" si="160"/>
        <v>247.084651286898</v>
      </c>
      <c r="AG165" t="str">
        <f t="shared" si="161"/>
        <v>1+4.69203605305263i</v>
      </c>
      <c r="AH165">
        <f t="shared" si="179"/>
        <v>4.7974162132491376</v>
      </c>
      <c r="AI165">
        <f t="shared" si="180"/>
        <v>1.3608110119850827</v>
      </c>
      <c r="AJ165" t="str">
        <f t="shared" si="162"/>
        <v>1+0.0305032258725581i</v>
      </c>
      <c r="AK165">
        <f t="shared" si="181"/>
        <v>1.0004651152282282</v>
      </c>
      <c r="AL165">
        <f t="shared" si="182"/>
        <v>3.0493770607717529E-2</v>
      </c>
      <c r="AM165" t="str">
        <f t="shared" si="163"/>
        <v>1-0.0303020816037559i</v>
      </c>
      <c r="AN165">
        <f t="shared" si="183"/>
        <v>1.0004590027330058</v>
      </c>
      <c r="AO165">
        <f t="shared" si="184"/>
        <v>-3.0292812089839784E-2</v>
      </c>
      <c r="AP165" s="41" t="str">
        <f t="shared" si="185"/>
        <v>10.7557701876864-50.4167618374579i</v>
      </c>
      <c r="AQ165">
        <f t="shared" si="186"/>
        <v>34.244792325907646</v>
      </c>
      <c r="AR165" s="43">
        <f t="shared" si="187"/>
        <v>-77.957213626740128</v>
      </c>
      <c r="AS165" t="str">
        <f t="shared" si="164"/>
        <v>-0.0000166666666666667</v>
      </c>
      <c r="AT165" t="str">
        <f t="shared" si="165"/>
        <v>6.30461811347705E-06i</v>
      </c>
      <c r="AU165">
        <f t="shared" si="188"/>
        <v>6.3046181134770503E-6</v>
      </c>
      <c r="AV165">
        <f t="shared" si="189"/>
        <v>1.5707963267948966</v>
      </c>
      <c r="AW165" t="str">
        <f t="shared" si="166"/>
        <v>1+0.00640714996514952i</v>
      </c>
      <c r="AX165">
        <f t="shared" si="190"/>
        <v>1.0000205255746883</v>
      </c>
      <c r="AY165">
        <f t="shared" si="191"/>
        <v>6.4070622927857547E-3</v>
      </c>
      <c r="AZ165" t="str">
        <f t="shared" si="167"/>
        <v>1+0.217843098815084i</v>
      </c>
      <c r="BA165">
        <f t="shared" si="192"/>
        <v>1.0234527911444466</v>
      </c>
      <c r="BB165">
        <f t="shared" si="193"/>
        <v>0.21449204971208663</v>
      </c>
      <c r="BC165" s="41" t="str">
        <f t="shared" si="194"/>
        <v>-0.55892169206486+2.64714591800946i</v>
      </c>
      <c r="BD165">
        <f t="shared" si="195"/>
        <v>8.6449772980393575</v>
      </c>
      <c r="BE165" s="43">
        <f t="shared" si="196"/>
        <v>101.92239155915874</v>
      </c>
      <c r="BF165" s="41" t="str">
        <f t="shared" si="197"/>
        <v>10.053566948108+0.0350306690692921i</v>
      </c>
      <c r="BG165" s="20">
        <f t="shared" si="198"/>
        <v>20.046456213580836</v>
      </c>
      <c r="BH165" s="43">
        <f t="shared" si="199"/>
        <v>0.19964072242202813</v>
      </c>
      <c r="BI165" s="41" t="str">
        <f t="shared" si="152"/>
        <v>127.448892024519+56.6511149820049i</v>
      </c>
      <c r="BJ165" s="20">
        <f t="shared" si="200"/>
        <v>42.889769623946982</v>
      </c>
      <c r="BK165" s="43">
        <f t="shared" si="153"/>
        <v>23.965177932418655</v>
      </c>
      <c r="BL165">
        <f t="shared" si="201"/>
        <v>20.046456213580836</v>
      </c>
      <c r="BM165" s="43">
        <f t="shared" si="202"/>
        <v>0.19964072242202813</v>
      </c>
    </row>
    <row r="166" spans="14:65" x14ac:dyDescent="0.25">
      <c r="N166" s="9">
        <v>48</v>
      </c>
      <c r="O166" s="34">
        <f t="shared" si="154"/>
        <v>301.99517204020168</v>
      </c>
      <c r="P166" s="33" t="str">
        <f t="shared" si="155"/>
        <v>16.5157725627975</v>
      </c>
      <c r="Q166" s="4" t="str">
        <f t="shared" si="156"/>
        <v>1+4.90970462578623i</v>
      </c>
      <c r="R166" s="4">
        <f t="shared" si="168"/>
        <v>5.0105089075329161</v>
      </c>
      <c r="S166" s="4">
        <f t="shared" si="169"/>
        <v>1.3698665118415341</v>
      </c>
      <c r="T166" s="4" t="str">
        <f t="shared" si="157"/>
        <v>1+0.0312137372773457i</v>
      </c>
      <c r="U166" s="4">
        <f t="shared" si="170"/>
        <v>1.0004870300982514</v>
      </c>
      <c r="V166" s="4">
        <f t="shared" si="171"/>
        <v>3.1203606044882645E-2</v>
      </c>
      <c r="W166" t="str">
        <f t="shared" si="158"/>
        <v>1-0.474372906950542i</v>
      </c>
      <c r="X166" s="4">
        <f t="shared" si="172"/>
        <v>1.1068105776729402</v>
      </c>
      <c r="Y166" s="4">
        <f t="shared" si="173"/>
        <v>-0.44293656043849511</v>
      </c>
      <c r="Z166" t="str">
        <f t="shared" si="159"/>
        <v>0.999998115680084+0.00664122069730759i</v>
      </c>
      <c r="AA166" s="4">
        <f t="shared" si="174"/>
        <v>1.0000201683846526</v>
      </c>
      <c r="AB166" s="4">
        <f t="shared" si="175"/>
        <v>6.6411355747361695E-3</v>
      </c>
      <c r="AC166" s="47" t="str">
        <f t="shared" si="176"/>
        <v>-0.787432329499231-3.56405139293898i</v>
      </c>
      <c r="AD166" s="20">
        <f t="shared" si="177"/>
        <v>11.24586120260294</v>
      </c>
      <c r="AE166" s="43">
        <f t="shared" si="178"/>
        <v>-102.45863923764067</v>
      </c>
      <c r="AF166" t="str">
        <f t="shared" si="160"/>
        <v>247.084651286898</v>
      </c>
      <c r="AG166" t="str">
        <f t="shared" si="161"/>
        <v>1+4.8013276126174i</v>
      </c>
      <c r="AH166">
        <f t="shared" si="179"/>
        <v>4.9043599830846736</v>
      </c>
      <c r="AI166">
        <f t="shared" si="180"/>
        <v>1.365456148120304</v>
      </c>
      <c r="AJ166" t="str">
        <f t="shared" si="162"/>
        <v>1+0.0312137372773457i</v>
      </c>
      <c r="AK166">
        <f t="shared" si="181"/>
        <v>1.0004870300982514</v>
      </c>
      <c r="AL166">
        <f t="shared" si="182"/>
        <v>3.1203606044882645E-2</v>
      </c>
      <c r="AM166" t="str">
        <f t="shared" si="163"/>
        <v>1-0.031007907756643i</v>
      </c>
      <c r="AN166">
        <f t="shared" si="183"/>
        <v>1.0004806296692828</v>
      </c>
      <c r="AO166">
        <f t="shared" si="184"/>
        <v>-3.0997975551219307E-2</v>
      </c>
      <c r="AP166" s="41" t="str">
        <f t="shared" si="185"/>
        <v>10.2927113486655-49.3678218917009i</v>
      </c>
      <c r="AQ166">
        <f t="shared" si="186"/>
        <v>34.053671513748064</v>
      </c>
      <c r="AR166" s="43">
        <f t="shared" si="187"/>
        <v>-78.223092638057551</v>
      </c>
      <c r="AS166" t="str">
        <f t="shared" si="164"/>
        <v>-0.0000166666666666667</v>
      </c>
      <c r="AT166" t="str">
        <f t="shared" si="165"/>
        <v>6.45147153452737E-06i</v>
      </c>
      <c r="AU166">
        <f t="shared" si="188"/>
        <v>6.4514715345273698E-6</v>
      </c>
      <c r="AV166">
        <f t="shared" si="189"/>
        <v>1.5707963267948966</v>
      </c>
      <c r="AW166" t="str">
        <f t="shared" si="166"/>
        <v>1+0.00655639165982938i</v>
      </c>
      <c r="AX166">
        <f t="shared" si="190"/>
        <v>1.0000214929048261</v>
      </c>
      <c r="AY166">
        <f t="shared" si="191"/>
        <v>6.5562977173081165E-3</v>
      </c>
      <c r="AZ166" t="str">
        <f t="shared" si="167"/>
        <v>1+0.222917316434199i</v>
      </c>
      <c r="BA166">
        <f t="shared" si="192"/>
        <v>1.0245448403882695</v>
      </c>
      <c r="BB166">
        <f t="shared" si="193"/>
        <v>0.21933123218704015</v>
      </c>
      <c r="BC166" s="41" t="str">
        <f t="shared" si="194"/>
        <v>-0.558920610765028+2.58705444338766i</v>
      </c>
      <c r="BD166">
        <f t="shared" si="195"/>
        <v>8.4542320123819685</v>
      </c>
      <c r="BE166" s="43">
        <f t="shared" si="196"/>
        <v>102.19110573128832</v>
      </c>
      <c r="BF166" s="41" t="str">
        <f t="shared" si="197"/>
        <v>9.66050715110461-0.0451085255586781i</v>
      </c>
      <c r="BG166" s="20">
        <f t="shared" si="198"/>
        <v>19.700093214984914</v>
      </c>
      <c r="BH166" s="43">
        <f t="shared" si="199"/>
        <v>-0.26753350635235384</v>
      </c>
      <c r="BI166" s="41" t="str">
        <f t="shared" si="152"/>
        <v>121.964434471871+54.2204977929203i</v>
      </c>
      <c r="BJ166" s="20">
        <f t="shared" si="200"/>
        <v>42.507903526130022</v>
      </c>
      <c r="BK166" s="43">
        <f t="shared" si="153"/>
        <v>23.968013093230812</v>
      </c>
      <c r="BL166">
        <f t="shared" si="201"/>
        <v>19.700093214984914</v>
      </c>
      <c r="BM166" s="43">
        <f t="shared" si="202"/>
        <v>-0.26753350635235384</v>
      </c>
    </row>
    <row r="167" spans="14:65" x14ac:dyDescent="0.25">
      <c r="N167" s="9">
        <v>49</v>
      </c>
      <c r="O167" s="34">
        <f t="shared" si="154"/>
        <v>309.02954325135937</v>
      </c>
      <c r="P167" s="33" t="str">
        <f t="shared" si="155"/>
        <v>16.5157725627975</v>
      </c>
      <c r="Q167" s="4" t="str">
        <f t="shared" si="156"/>
        <v>1+5.02406633773545i</v>
      </c>
      <c r="R167" s="4">
        <f t="shared" si="168"/>
        <v>5.1226206736363462</v>
      </c>
      <c r="S167" s="4">
        <f t="shared" si="169"/>
        <v>1.3743221308546409</v>
      </c>
      <c r="T167" s="4" t="str">
        <f t="shared" si="157"/>
        <v>1+0.0319407986188004i</v>
      </c>
      <c r="U167" s="4">
        <f t="shared" si="170"/>
        <v>1.0005099772697954</v>
      </c>
      <c r="V167" s="4">
        <f t="shared" si="171"/>
        <v>3.1929943106460572E-2</v>
      </c>
      <c r="W167" t="str">
        <f t="shared" si="158"/>
        <v>1-0.48542247141034i</v>
      </c>
      <c r="X167" s="4">
        <f t="shared" si="172"/>
        <v>1.1115911909286267</v>
      </c>
      <c r="Y167" s="4">
        <f t="shared" si="173"/>
        <v>-0.45191772389985646</v>
      </c>
      <c r="Z167" t="str">
        <f t="shared" si="159"/>
        <v>0.999998026874822+0.00679591459974475i</v>
      </c>
      <c r="AA167" s="4">
        <f t="shared" si="174"/>
        <v>1.0000211188813886</v>
      </c>
      <c r="AB167" s="4">
        <f t="shared" si="175"/>
        <v>6.7958233893699576E-3</v>
      </c>
      <c r="AC167" s="47" t="str">
        <f t="shared" si="176"/>
        <v>-0.818520524604963-3.49094286260836i</v>
      </c>
      <c r="AD167" s="20">
        <f t="shared" si="177"/>
        <v>11.09128088659244</v>
      </c>
      <c r="AE167" s="43">
        <f t="shared" si="178"/>
        <v>-103.19575707445128</v>
      </c>
      <c r="AF167" t="str">
        <f t="shared" si="160"/>
        <v>247.084651286898</v>
      </c>
      <c r="AG167" t="str">
        <f t="shared" si="161"/>
        <v>1+4.91316489963547i</v>
      </c>
      <c r="AH167">
        <f t="shared" si="179"/>
        <v>5.0138996131763562</v>
      </c>
      <c r="AI167">
        <f t="shared" si="180"/>
        <v>1.370004249596201</v>
      </c>
      <c r="AJ167" t="str">
        <f t="shared" si="162"/>
        <v>1+0.0319407986188004i</v>
      </c>
      <c r="AK167">
        <f t="shared" si="181"/>
        <v>1.0005099772697954</v>
      </c>
      <c r="AL167">
        <f t="shared" si="182"/>
        <v>3.1929943106460572E-2</v>
      </c>
      <c r="AM167" t="str">
        <f t="shared" si="163"/>
        <v>1-0.0317301747126608i</v>
      </c>
      <c r="AN167">
        <f t="shared" si="183"/>
        <v>1.0005032753506087</v>
      </c>
      <c r="AO167">
        <f t="shared" si="184"/>
        <v>-3.1719532451917686E-2</v>
      </c>
      <c r="AP167" s="41" t="str">
        <f t="shared" si="185"/>
        <v>9.84879646451772-48.3367191587212i</v>
      </c>
      <c r="AQ167">
        <f t="shared" si="186"/>
        <v>33.862201447679482</v>
      </c>
      <c r="AR167" s="43">
        <f t="shared" si="187"/>
        <v>-78.483405774379847</v>
      </c>
      <c r="AS167" t="str">
        <f t="shared" si="164"/>
        <v>-0.0000166666666666667</v>
      </c>
      <c r="AT167" t="str">
        <f t="shared" si="165"/>
        <v>6.60174561118062E-06i</v>
      </c>
      <c r="AU167">
        <f t="shared" si="188"/>
        <v>6.6017456111806198E-6</v>
      </c>
      <c r="AV167">
        <f t="shared" si="189"/>
        <v>1.5707963267948966</v>
      </c>
      <c r="AW167" t="str">
        <f t="shared" si="166"/>
        <v>1+0.00670910964015138i</v>
      </c>
      <c r="AX167">
        <f t="shared" si="190"/>
        <v>1.0000225058228258</v>
      </c>
      <c r="AY167">
        <f t="shared" si="191"/>
        <v>6.7090089790486154E-3</v>
      </c>
      <c r="AZ167" t="str">
        <f t="shared" si="167"/>
        <v>1+0.228109727765147i</v>
      </c>
      <c r="BA167">
        <f t="shared" si="192"/>
        <v>1.0256871101369509</v>
      </c>
      <c r="BB167">
        <f t="shared" si="193"/>
        <v>0.22427234748329664</v>
      </c>
      <c r="BC167" s="41" t="str">
        <f t="shared" si="194"/>
        <v>-0.558919478509588+2.52833465860709i</v>
      </c>
      <c r="BD167">
        <f t="shared" si="195"/>
        <v>8.2639017584121408</v>
      </c>
      <c r="BE167" s="43">
        <f t="shared" si="196"/>
        <v>102.46546107306948</v>
      </c>
      <c r="BF167" s="41" t="str">
        <f t="shared" si="197"/>
        <v>9.28375889551137-0.118337846864153i</v>
      </c>
      <c r="BG167" s="20">
        <f t="shared" si="198"/>
        <v>19.355182645004586</v>
      </c>
      <c r="BH167" s="43">
        <f t="shared" si="199"/>
        <v>-0.73029600138181494</v>
      </c>
      <c r="BI167" s="41" t="str">
        <f t="shared" si="152"/>
        <v>116.706718148457+51.917387311864i</v>
      </c>
      <c r="BJ167" s="20">
        <f t="shared" si="200"/>
        <v>42.126103206091628</v>
      </c>
      <c r="BK167" s="43">
        <f t="shared" si="153"/>
        <v>23.982055298689605</v>
      </c>
      <c r="BL167">
        <f t="shared" si="201"/>
        <v>19.355182645004586</v>
      </c>
      <c r="BM167" s="43">
        <f t="shared" si="202"/>
        <v>-0.73029600138181494</v>
      </c>
    </row>
    <row r="168" spans="14:65" x14ac:dyDescent="0.25">
      <c r="N168" s="9">
        <v>50</v>
      </c>
      <c r="O168" s="34">
        <f t="shared" si="154"/>
        <v>316.22776601683825</v>
      </c>
      <c r="P168" s="33" t="str">
        <f t="shared" si="155"/>
        <v>16.5157725627975</v>
      </c>
      <c r="Q168" s="4" t="str">
        <f t="shared" si="156"/>
        <v>1+5.14109187615831i</v>
      </c>
      <c r="R168" s="4">
        <f t="shared" si="168"/>
        <v>5.2374445752772383</v>
      </c>
      <c r="S168" s="4">
        <f t="shared" si="169"/>
        <v>1.378683977445555</v>
      </c>
      <c r="T168" s="4" t="str">
        <f t="shared" si="157"/>
        <v>1+0.0326847953944692i</v>
      </c>
      <c r="U168" s="4">
        <f t="shared" si="170"/>
        <v>1.0005340053441354</v>
      </c>
      <c r="V168" s="4">
        <f t="shared" si="171"/>
        <v>3.267316383869933E-2</v>
      </c>
      <c r="W168" t="str">
        <f t="shared" si="158"/>
        <v>1-0.496729413289805i</v>
      </c>
      <c r="X168" s="4">
        <f t="shared" si="172"/>
        <v>1.1165751698955311</v>
      </c>
      <c r="Y168" s="4">
        <f t="shared" si="173"/>
        <v>-0.46102771818695348</v>
      </c>
      <c r="Z168" t="str">
        <f t="shared" si="159"/>
        <v>0.999997933884297+0.00695421178605726i</v>
      </c>
      <c r="AA168" s="4">
        <f t="shared" si="174"/>
        <v>1.0000221141726957</v>
      </c>
      <c r="AB168" s="4">
        <f t="shared" si="175"/>
        <v>6.9541140524962937E-3</v>
      </c>
      <c r="AC168" s="47" t="str">
        <f t="shared" si="176"/>
        <v>-0.84831505916317-3.41914865074924i</v>
      </c>
      <c r="AD168" s="20">
        <f t="shared" si="177"/>
        <v>10.937793382102823</v>
      </c>
      <c r="AE168" s="43">
        <f t="shared" si="178"/>
        <v>-103.93412267476273</v>
      </c>
      <c r="AF168" t="str">
        <f t="shared" si="160"/>
        <v>247.084651286898</v>
      </c>
      <c r="AG168" t="str">
        <f t="shared" si="161"/>
        <v>1+5.02760721171674i</v>
      </c>
      <c r="AH168">
        <f t="shared" si="179"/>
        <v>5.1260934711831165</v>
      </c>
      <c r="AI168">
        <f t="shared" si="180"/>
        <v>1.3744569748938031</v>
      </c>
      <c r="AJ168" t="str">
        <f t="shared" si="162"/>
        <v>1+0.0326847953944692i</v>
      </c>
      <c r="AK168">
        <f t="shared" si="181"/>
        <v>1.0005340053441354</v>
      </c>
      <c r="AL168">
        <f t="shared" si="182"/>
        <v>3.267316383869933E-2</v>
      </c>
      <c r="AM168" t="str">
        <f t="shared" si="163"/>
        <v>1-0.0324692654273097i</v>
      </c>
      <c r="AN168">
        <f t="shared" si="183"/>
        <v>1.0005269877406551</v>
      </c>
      <c r="AO168">
        <f t="shared" si="184"/>
        <v>-3.2457862363839567E-2</v>
      </c>
      <c r="AP168" s="41" t="str">
        <f t="shared" si="185"/>
        <v>9.42330451726674-47.3234196024357i</v>
      </c>
      <c r="AQ168">
        <f t="shared" si="186"/>
        <v>33.670398168712012</v>
      </c>
      <c r="AR168" s="43">
        <f t="shared" si="187"/>
        <v>-78.738247917901063</v>
      </c>
      <c r="AS168" t="str">
        <f t="shared" si="164"/>
        <v>-0.0000166666666666667</v>
      </c>
      <c r="AT168" t="str">
        <f t="shared" si="165"/>
        <v>6.75552002074136E-06i</v>
      </c>
      <c r="AU168">
        <f t="shared" si="188"/>
        <v>6.7555200207413598E-6</v>
      </c>
      <c r="AV168">
        <f t="shared" si="189"/>
        <v>1.5707963267948966</v>
      </c>
      <c r="AW168" t="str">
        <f t="shared" si="166"/>
        <v>1+0.00686538487921015i</v>
      </c>
      <c r="AX168">
        <f t="shared" si="190"/>
        <v>1.0000235664770805</v>
      </c>
      <c r="AY168">
        <f t="shared" si="191"/>
        <v>6.865277019032532E-3</v>
      </c>
      <c r="AZ168" t="str">
        <f t="shared" si="167"/>
        <v>1+0.233423085893145i</v>
      </c>
      <c r="BA168">
        <f t="shared" si="192"/>
        <v>1.0268818515427558</v>
      </c>
      <c r="BB168">
        <f t="shared" si="193"/>
        <v>0.22931704992541857</v>
      </c>
      <c r="BC168" s="41" t="str">
        <f t="shared" si="194"/>
        <v>-0.558918292897509+2.47095542961281i</v>
      </c>
      <c r="BD168">
        <f t="shared" si="195"/>
        <v>8.0740041605264494</v>
      </c>
      <c r="BE168" s="43">
        <f t="shared" si="196"/>
        <v>102.7455477327385</v>
      </c>
      <c r="BF168" s="41" t="str">
        <f t="shared" si="197"/>
        <v>8.92270272792888-0.18512397442196i</v>
      </c>
      <c r="BG168" s="20">
        <f t="shared" si="198"/>
        <v>19.011797542629278</v>
      </c>
      <c r="BH168" s="43">
        <f t="shared" si="199"/>
        <v>-1.1885749420242278</v>
      </c>
      <c r="BI168" s="41" t="str">
        <f t="shared" si="152"/>
        <v>111.66720334024+49.734490360101i</v>
      </c>
      <c r="BJ168" s="20">
        <f t="shared" si="200"/>
        <v>41.74440232923849</v>
      </c>
      <c r="BK168" s="43">
        <f t="shared" si="153"/>
        <v>24.00729981483736</v>
      </c>
      <c r="BL168">
        <f t="shared" si="201"/>
        <v>19.011797542629278</v>
      </c>
      <c r="BM168" s="43">
        <f t="shared" si="202"/>
        <v>-1.1885749420242278</v>
      </c>
    </row>
    <row r="169" spans="14:65" x14ac:dyDescent="0.25">
      <c r="N169" s="9">
        <v>51</v>
      </c>
      <c r="O169" s="34">
        <f t="shared" si="154"/>
        <v>323.59365692962825</v>
      </c>
      <c r="P169" s="33" t="str">
        <f t="shared" si="155"/>
        <v>16.5157725627975</v>
      </c>
      <c r="Q169" s="4" t="str">
        <f t="shared" si="156"/>
        <v>1+5.26084328954431i</v>
      </c>
      <c r="R169" s="4">
        <f t="shared" si="168"/>
        <v>5.3550417474697056</v>
      </c>
      <c r="S169" s="4">
        <f t="shared" si="169"/>
        <v>1.3829537001071968</v>
      </c>
      <c r="T169" s="4" t="str">
        <f t="shared" si="157"/>
        <v>1+0.0334461220812905i</v>
      </c>
      <c r="U169" s="4">
        <f t="shared" si="170"/>
        <v>1.0005591652082733</v>
      </c>
      <c r="V169" s="4">
        <f t="shared" si="171"/>
        <v>3.3433659020886394E-2</v>
      </c>
      <c r="W169" t="str">
        <f t="shared" si="158"/>
        <v>1-0.508299727679188i</v>
      </c>
      <c r="X169" s="4">
        <f t="shared" si="172"/>
        <v>1.1217703032077184</v>
      </c>
      <c r="Y169" s="4">
        <f t="shared" si="173"/>
        <v>-0.47026532412264627</v>
      </c>
      <c r="Z169" t="str">
        <f t="shared" si="159"/>
        <v>0.999997836511264+0.00711619618750862i</v>
      </c>
      <c r="AA169" s="4">
        <f t="shared" si="174"/>
        <v>1.0000231563695852</v>
      </c>
      <c r="AB169" s="4">
        <f t="shared" si="175"/>
        <v>7.1160914642419424E-3</v>
      </c>
      <c r="AC169" s="47" t="str">
        <f t="shared" si="176"/>
        <v>-0.876865519834728-3.34866392017587i</v>
      </c>
      <c r="AD169" s="20">
        <f t="shared" si="177"/>
        <v>10.785453786396351</v>
      </c>
      <c r="AE169" s="43">
        <f t="shared" si="178"/>
        <v>-104.67374305367652</v>
      </c>
      <c r="AF169" t="str">
        <f t="shared" si="160"/>
        <v>247.084651286898</v>
      </c>
      <c r="AG169" t="str">
        <f t="shared" si="161"/>
        <v>1+5.14471522768992i</v>
      </c>
      <c r="AH169">
        <f t="shared" si="179"/>
        <v>5.2410013140643787</v>
      </c>
      <c r="AI169">
        <f t="shared" si="180"/>
        <v>1.3788159783063063</v>
      </c>
      <c r="AJ169" t="str">
        <f t="shared" si="162"/>
        <v>1+0.0334461220812905i</v>
      </c>
      <c r="AK169">
        <f t="shared" si="181"/>
        <v>1.0005591652082733</v>
      </c>
      <c r="AL169">
        <f t="shared" si="182"/>
        <v>3.3433659020886394E-2</v>
      </c>
      <c r="AM169" t="str">
        <f t="shared" si="163"/>
        <v>1-0.0332255717762698i</v>
      </c>
      <c r="AN169">
        <f t="shared" si="183"/>
        <v>1.0005518170588967</v>
      </c>
      <c r="AO169">
        <f t="shared" si="184"/>
        <v>-3.3213353537543781E-2</v>
      </c>
      <c r="AP169" s="41" t="str">
        <f t="shared" si="185"/>
        <v>9.01553563874715-46.3278688912364i</v>
      </c>
      <c r="AQ169">
        <f t="shared" si="186"/>
        <v>33.478277182037388</v>
      </c>
      <c r="AR169" s="43">
        <f t="shared" si="187"/>
        <v>-78.987713707753912</v>
      </c>
      <c r="AS169" t="str">
        <f t="shared" si="164"/>
        <v>-0.0000166666666666667</v>
      </c>
      <c r="AT169" t="str">
        <f t="shared" si="165"/>
        <v>6.91287629643696E-06i</v>
      </c>
      <c r="AU169">
        <f t="shared" si="188"/>
        <v>6.9128762964369596E-6</v>
      </c>
      <c r="AV169">
        <f t="shared" si="189"/>
        <v>1.5707963267948966</v>
      </c>
      <c r="AW169" t="str">
        <f t="shared" si="166"/>
        <v>1+0.00702530023620599i</v>
      </c>
      <c r="AX169">
        <f t="shared" si="190"/>
        <v>1.0000246771172243</v>
      </c>
      <c r="AY169">
        <f t="shared" si="191"/>
        <v>7.0251846620974362E-3</v>
      </c>
      <c r="AZ169" t="str">
        <f t="shared" si="167"/>
        <v>1+0.238860208031004i</v>
      </c>
      <c r="BA169">
        <f t="shared" si="192"/>
        <v>1.0281314113383633</v>
      </c>
      <c r="BB169">
        <f t="shared" si="193"/>
        <v>0.23446698676018279</v>
      </c>
      <c r="BC169" s="41" t="str">
        <f t="shared" si="194"/>
        <v>-0.558917051414651+2.41488633312687i</v>
      </c>
      <c r="BD169">
        <f t="shared" si="195"/>
        <v>7.8845575014726945</v>
      </c>
      <c r="BE169" s="43">
        <f t="shared" si="196"/>
        <v>103.03145534507006</v>
      </c>
      <c r="BF169" s="41" t="str">
        <f t="shared" si="197"/>
        <v>8.57673782590096-0.24590519539575i</v>
      </c>
      <c r="BG169" s="20">
        <f t="shared" si="198"/>
        <v>18.670011287869041</v>
      </c>
      <c r="BH169" s="43">
        <f t="shared" si="199"/>
        <v>-1.6422877086064669</v>
      </c>
      <c r="BI169" s="41" t="str">
        <f t="shared" si="152"/>
        <v>106.837600832208+47.6649296788431i</v>
      </c>
      <c r="BJ169" s="20">
        <f t="shared" si="200"/>
        <v>41.362834683510087</v>
      </c>
      <c r="BK169" s="43">
        <f t="shared" si="153"/>
        <v>24.043741637316156</v>
      </c>
      <c r="BL169">
        <f t="shared" si="201"/>
        <v>18.670011287869041</v>
      </c>
      <c r="BM169" s="43">
        <f t="shared" si="202"/>
        <v>-1.6422877086064669</v>
      </c>
    </row>
    <row r="170" spans="14:65" x14ac:dyDescent="0.25">
      <c r="N170" s="9">
        <v>52</v>
      </c>
      <c r="O170" s="34">
        <f t="shared" si="154"/>
        <v>331.13112148259137</v>
      </c>
      <c r="P170" s="33" t="str">
        <f t="shared" si="155"/>
        <v>16.5157725627975</v>
      </c>
      <c r="Q170" s="4" t="str">
        <f t="shared" si="156"/>
        <v>1+5.38338407167794i</v>
      </c>
      <c r="R170" s="4">
        <f t="shared" si="168"/>
        <v>5.4754747797059355</v>
      </c>
      <c r="S170" s="4">
        <f t="shared" si="169"/>
        <v>1.3871329396875858</v>
      </c>
      <c r="T170" s="4" t="str">
        <f t="shared" si="157"/>
        <v>1+0.0342251823447513i</v>
      </c>
      <c r="U170" s="4">
        <f t="shared" si="170"/>
        <v>1.0005855101422025</v>
      </c>
      <c r="V170" s="4">
        <f t="shared" si="171"/>
        <v>3.421182835694582E-2</v>
      </c>
      <c r="W170" t="str">
        <f t="shared" si="158"/>
        <v>1-0.52013954931233i</v>
      </c>
      <c r="X170" s="4">
        <f t="shared" si="172"/>
        <v>1.1271846125452714</v>
      </c>
      <c r="Y170" s="4">
        <f t="shared" si="173"/>
        <v>-0.47962913246892175</v>
      </c>
      <c r="Z170" t="str">
        <f t="shared" si="159"/>
        <v>0.999997734549182+0.00728195369037261i</v>
      </c>
      <c r="AA170" s="4">
        <f t="shared" si="174"/>
        <v>1.0000242476825474</v>
      </c>
      <c r="AB170" s="4">
        <f t="shared" si="175"/>
        <v>7.2818414775172634E-3</v>
      </c>
      <c r="AC170" s="47" t="str">
        <f t="shared" si="176"/>
        <v>-0.904219968350121-3.27948257584644i</v>
      </c>
      <c r="AD170" s="20">
        <f t="shared" si="177"/>
        <v>10.634316821679075</v>
      </c>
      <c r="AE170" s="43">
        <f t="shared" si="178"/>
        <v>-105.41461349912991</v>
      </c>
      <c r="AF170" t="str">
        <f t="shared" si="160"/>
        <v>247.084651286898</v>
      </c>
      <c r="AG170" t="str">
        <f t="shared" si="161"/>
        <v>1+5.2645510397752i</v>
      </c>
      <c r="AH170">
        <f t="shared" si="179"/>
        <v>5.3586843208382913</v>
      </c>
      <c r="AI170">
        <f t="shared" si="180"/>
        <v>1.3830829081170775</v>
      </c>
      <c r="AJ170" t="str">
        <f t="shared" si="162"/>
        <v>1+0.0342251823447513i</v>
      </c>
      <c r="AK170">
        <f t="shared" si="181"/>
        <v>1.0005855101422025</v>
      </c>
      <c r="AL170">
        <f t="shared" si="182"/>
        <v>3.421182835694582E-2</v>
      </c>
      <c r="AM170" t="str">
        <f t="shared" si="163"/>
        <v>1-0.0339994947631782i</v>
      </c>
      <c r="AN170">
        <f t="shared" si="183"/>
        <v>1.0005778158864764</v>
      </c>
      <c r="AO170">
        <f t="shared" si="184"/>
        <v>-3.3986403092803791E-2</v>
      </c>
      <c r="AP170" s="41" t="str">
        <f t="shared" si="185"/>
        <v>8.62481102401613-45.3499939069559i</v>
      </c>
      <c r="AQ170">
        <f t="shared" si="186"/>
        <v>33.285853475954717</v>
      </c>
      <c r="AR170" s="43">
        <f t="shared" si="187"/>
        <v>-79.231897435557798</v>
      </c>
      <c r="AS170" t="str">
        <f t="shared" si="164"/>
        <v>-0.0000166666666666667</v>
      </c>
      <c r="AT170" t="str">
        <f t="shared" si="165"/>
        <v>7.07389787064768E-06i</v>
      </c>
      <c r="AU170">
        <f t="shared" si="188"/>
        <v>7.0738978706476798E-6</v>
      </c>
      <c r="AV170">
        <f t="shared" si="189"/>
        <v>1.5707963267948966</v>
      </c>
      <c r="AW170" t="str">
        <f t="shared" si="166"/>
        <v>1+0.00718894050037794i</v>
      </c>
      <c r="AX170">
        <f t="shared" si="190"/>
        <v>1.0000258400989037</v>
      </c>
      <c r="AY170">
        <f t="shared" si="191"/>
        <v>7.1888166606622643E-3</v>
      </c>
      <c r="AZ170" t="str">
        <f t="shared" si="167"/>
        <v>1+0.24442397701285i</v>
      </c>
      <c r="BA170">
        <f t="shared" si="192"/>
        <v>1.0294382354171512</v>
      </c>
      <c r="BB170">
        <f t="shared" si="193"/>
        <v>0.23972379538273719</v>
      </c>
      <c r="BC170" s="41" t="str">
        <f t="shared" si="194"/>
        <v>-0.558915751428416+2.36009764051731i</v>
      </c>
      <c r="BD170">
        <f t="shared" si="195"/>
        <v>7.6955807387469433</v>
      </c>
      <c r="BE170" s="43">
        <f t="shared" si="196"/>
        <v>103.32327286993925</v>
      </c>
      <c r="BF170" s="41" t="str">
        <f t="shared" si="197"/>
        <v>8.2452818724398-0.301092945636147i</v>
      </c>
      <c r="BG170" s="20">
        <f t="shared" si="198"/>
        <v>18.329897560426023</v>
      </c>
      <c r="BH170" s="43">
        <f t="shared" si="199"/>
        <v>-2.0913406291906687</v>
      </c>
      <c r="BI170" s="41" t="str">
        <f t="shared" si="152"/>
        <v>102.209870882865+45.7022220694685i</v>
      </c>
      <c r="BJ170" s="20">
        <f t="shared" si="200"/>
        <v>40.981434214701665</v>
      </c>
      <c r="BK170" s="43">
        <f t="shared" si="153"/>
        <v>24.091375434381447</v>
      </c>
      <c r="BL170">
        <f t="shared" si="201"/>
        <v>18.329897560426023</v>
      </c>
      <c r="BM170" s="43">
        <f t="shared" si="202"/>
        <v>-2.0913406291906687</v>
      </c>
    </row>
    <row r="171" spans="14:65" x14ac:dyDescent="0.25">
      <c r="N171" s="9">
        <v>53</v>
      </c>
      <c r="O171" s="34">
        <f t="shared" si="154"/>
        <v>338.84415613920277</v>
      </c>
      <c r="P171" s="33" t="str">
        <f t="shared" si="155"/>
        <v>16.5157725627975</v>
      </c>
      <c r="Q171" s="4" t="str">
        <f t="shared" si="156"/>
        <v>1+5.50877919530385i</v>
      </c>
      <c r="R171" s="4">
        <f t="shared" si="168"/>
        <v>5.598807750102921</v>
      </c>
      <c r="S171" s="4">
        <f t="shared" si="169"/>
        <v>1.3912233278321777</v>
      </c>
      <c r="T171" s="4" t="str">
        <f t="shared" si="157"/>
        <v>1+0.0350223892529149i</v>
      </c>
      <c r="U171" s="4">
        <f t="shared" si="170"/>
        <v>1.000613095931181</v>
      </c>
      <c r="V171" s="4">
        <f t="shared" si="171"/>
        <v>3.5008080670657034E-2</v>
      </c>
      <c r="W171" t="str">
        <f t="shared" si="158"/>
        <v>1-0.532255155819375i</v>
      </c>
      <c r="X171" s="4">
        <f t="shared" si="172"/>
        <v>1.1328263551384683</v>
      </c>
      <c r="Y171" s="4">
        <f t="shared" si="173"/>
        <v>-0.48911753893058174</v>
      </c>
      <c r="Z171" t="str">
        <f t="shared" si="159"/>
        <v>0.999997627781774+0.00745157218147124i</v>
      </c>
      <c r="AA171" s="4">
        <f t="shared" si="174"/>
        <v>1.0000253904262388</v>
      </c>
      <c r="AB171" s="4">
        <f t="shared" si="175"/>
        <v>7.4514519433949433E-3</v>
      </c>
      <c r="AC171" s="47" t="str">
        <f t="shared" si="176"/>
        <v>-0.930424955646295-3.21159736522383i</v>
      </c>
      <c r="AD171" s="20">
        <f t="shared" si="177"/>
        <v>10.484436772435586</v>
      </c>
      <c r="AE171" s="43">
        <f t="shared" si="178"/>
        <v>-106.156717187796</v>
      </c>
      <c r="AF171" t="str">
        <f t="shared" si="160"/>
        <v>247.084651286898</v>
      </c>
      <c r="AG171" t="str">
        <f t="shared" si="161"/>
        <v>1+5.38717818650629i</v>
      </c>
      <c r="AH171">
        <f t="shared" si="179"/>
        <v>5.4792051260350894</v>
      </c>
      <c r="AI171">
        <f t="shared" si="180"/>
        <v>1.3872594049150069</v>
      </c>
      <c r="AJ171" t="str">
        <f t="shared" si="162"/>
        <v>1+0.0350223892529149i</v>
      </c>
      <c r="AK171">
        <f t="shared" si="181"/>
        <v>1.000613095931181</v>
      </c>
      <c r="AL171">
        <f t="shared" si="182"/>
        <v>3.5008080670657034E-2</v>
      </c>
      <c r="AM171" t="str">
        <f t="shared" si="163"/>
        <v>1-0.0347914447322463i</v>
      </c>
      <c r="AN171">
        <f t="shared" si="183"/>
        <v>1.0006050392770152</v>
      </c>
      <c r="AO171">
        <f t="shared" si="184"/>
        <v>-3.477741721278374E-2</v>
      </c>
      <c r="AP171" s="41" t="str">
        <f t="shared" si="185"/>
        <v>8.25047278775053-44.3897041841774i</v>
      </c>
      <c r="AQ171">
        <f t="shared" si="186"/>
        <v>33.09314154078799</v>
      </c>
      <c r="AR171" s="43">
        <f t="shared" si="187"/>
        <v>-79.47089294883601</v>
      </c>
      <c r="AS171" t="str">
        <f t="shared" si="164"/>
        <v>-0.0000166666666666667</v>
      </c>
      <c r="AT171" t="str">
        <f t="shared" si="165"/>
        <v>7.23867011914352E-06i</v>
      </c>
      <c r="AU171">
        <f t="shared" si="188"/>
        <v>7.23867011914352E-6</v>
      </c>
      <c r="AV171">
        <f t="shared" si="189"/>
        <v>1.5707963267948966</v>
      </c>
      <c r="AW171" t="str">
        <f t="shared" si="166"/>
        <v>1+0.00735639243596002i</v>
      </c>
      <c r="AX171">
        <f t="shared" si="190"/>
        <v>1.0000270578887713</v>
      </c>
      <c r="AY171">
        <f t="shared" si="191"/>
        <v>7.3562597395078304E-3</v>
      </c>
      <c r="AZ171" t="str">
        <f t="shared" si="167"/>
        <v>1+0.250117342822641i</v>
      </c>
      <c r="BA171">
        <f t="shared" si="192"/>
        <v>1.0308048725052956</v>
      </c>
      <c r="BB171">
        <f t="shared" si="193"/>
        <v>0.24508910038089629</v>
      </c>
      <c r="BC171" s="41" t="str">
        <f t="shared" si="194"/>
        <v>-0.5589143901822+2.30656030203525i</v>
      </c>
      <c r="BD171">
        <f t="shared" si="195"/>
        <v>7.5070935206169445</v>
      </c>
      <c r="BE171" s="43">
        <f t="shared" si="196"/>
        <v>103.62108842040777</v>
      </c>
      <c r="BF171" s="41" t="str">
        <f t="shared" si="197"/>
        <v>7.92777088544164-0.351073283821815i</v>
      </c>
      <c r="BG171" s="20">
        <f t="shared" si="198"/>
        <v>17.991530293052531</v>
      </c>
      <c r="BH171" s="43">
        <f t="shared" si="199"/>
        <v>-2.5356287673882378</v>
      </c>
      <c r="BI171" s="41" t="str">
        <f t="shared" si="152"/>
        <v>97.7762215234312+43.8402574497152i</v>
      </c>
      <c r="BJ171" s="20">
        <f t="shared" si="200"/>
        <v>40.600235061404931</v>
      </c>
      <c r="BK171" s="43">
        <f t="shared" si="153"/>
        <v>24.150195471571759</v>
      </c>
      <c r="BL171">
        <f t="shared" si="201"/>
        <v>17.991530293052531</v>
      </c>
      <c r="BM171" s="43">
        <f t="shared" si="202"/>
        <v>-2.5356287673882378</v>
      </c>
    </row>
    <row r="172" spans="14:65" x14ac:dyDescent="0.25">
      <c r="N172" s="9">
        <v>54</v>
      </c>
      <c r="O172" s="34">
        <f t="shared" si="154"/>
        <v>346.73685045253183</v>
      </c>
      <c r="P172" s="33" t="str">
        <f t="shared" si="155"/>
        <v>16.5157725627975</v>
      </c>
      <c r="Q172" s="4" t="str">
        <f t="shared" si="156"/>
        <v>1+5.63709514657645i</v>
      </c>
      <c r="R172" s="4">
        <f t="shared" si="168"/>
        <v>5.725106260285111</v>
      </c>
      <c r="S172" s="4">
        <f t="shared" si="169"/>
        <v>1.3952264855509355</v>
      </c>
      <c r="T172" s="4" t="str">
        <f t="shared" si="157"/>
        <v>1+0.0358381654954366i</v>
      </c>
      <c r="U172" s="4">
        <f t="shared" si="170"/>
        <v>1.0006419809832479</v>
      </c>
      <c r="V172" s="4">
        <f t="shared" si="171"/>
        <v>3.5822834104524505E-2</v>
      </c>
      <c r="W172" t="str">
        <f t="shared" si="158"/>
        <v>1-0.544652971055267i</v>
      </c>
      <c r="X172" s="4">
        <f t="shared" si="172"/>
        <v>1.1387040260222712</v>
      </c>
      <c r="Y172" s="4">
        <f t="shared" si="173"/>
        <v>-0.4987287396187714</v>
      </c>
      <c r="Z172" t="str">
        <f t="shared" si="159"/>
        <v>0.999997515982573+0.00762514159477374i</v>
      </c>
      <c r="AA172" s="4">
        <f t="shared" si="174"/>
        <v>1.0000265870243934</v>
      </c>
      <c r="AB172" s="4">
        <f t="shared" si="175"/>
        <v>7.6250127575383398E-3</v>
      </c>
      <c r="AC172" s="47" t="str">
        <f t="shared" si="176"/>
        <v>-0.955525539304893-3.14499997370268i</v>
      </c>
      <c r="AD172" s="20">
        <f t="shared" si="177"/>
        <v>10.33586741791056</v>
      </c>
      <c r="AE172" s="43">
        <f t="shared" si="178"/>
        <v>-106.90002483432752</v>
      </c>
      <c r="AF172" t="str">
        <f t="shared" si="160"/>
        <v>247.084651286898</v>
      </c>
      <c r="AG172" t="str">
        <f t="shared" si="161"/>
        <v>1+5.51266168641963i</v>
      </c>
      <c r="AH172">
        <f t="shared" si="179"/>
        <v>5.6026278538663377</v>
      </c>
      <c r="AI172">
        <f t="shared" si="180"/>
        <v>1.3913471000407678</v>
      </c>
      <c r="AJ172" t="str">
        <f t="shared" si="162"/>
        <v>1+0.0358381654954366i</v>
      </c>
      <c r="AK172">
        <f t="shared" si="181"/>
        <v>1.0006419809832479</v>
      </c>
      <c r="AL172">
        <f t="shared" si="182"/>
        <v>3.5822834104524505E-2</v>
      </c>
      <c r="AM172" t="str">
        <f t="shared" si="163"/>
        <v>1-0.0356018415858308i</v>
      </c>
      <c r="AN172">
        <f t="shared" si="183"/>
        <v>1.0006335448725985</v>
      </c>
      <c r="AO172">
        <f t="shared" si="184"/>
        <v>-3.5586811341856983E-2</v>
      </c>
      <c r="AP172" s="41" t="str">
        <f t="shared" si="185"/>
        <v>7.8918837698137-43.4468932807332i</v>
      </c>
      <c r="AQ172">
        <f t="shared" si="186"/>
        <v>32.900155387754225</v>
      </c>
      <c r="AR172" s="43">
        <f t="shared" si="187"/>
        <v>-79.704793561932448</v>
      </c>
      <c r="AS172" t="str">
        <f t="shared" si="164"/>
        <v>-0.0000166666666666667</v>
      </c>
      <c r="AT172" t="str">
        <f t="shared" si="165"/>
        <v>7.40728040635165E-06i</v>
      </c>
      <c r="AU172">
        <f t="shared" si="188"/>
        <v>7.4072804063516496E-6</v>
      </c>
      <c r="AV172">
        <f t="shared" si="189"/>
        <v>1.5707963267948966</v>
      </c>
      <c r="AW172" t="str">
        <f t="shared" si="166"/>
        <v>1+0.00752774482818504i</v>
      </c>
      <c r="AX172">
        <f t="shared" si="190"/>
        <v>1.0000283330697177</v>
      </c>
      <c r="AY172">
        <f t="shared" si="191"/>
        <v>7.5276026415923552E-3</v>
      </c>
      <c r="AZ172" t="str">
        <f t="shared" si="167"/>
        <v>1+0.255943324158291i</v>
      </c>
      <c r="BA172">
        <f t="shared" si="192"/>
        <v>1.0322339779241894</v>
      </c>
      <c r="BB172">
        <f t="shared" si="193"/>
        <v>0.25056451039180083</v>
      </c>
      <c r="BC172" s="41" t="str">
        <f t="shared" si="194"/>
        <v>-0.558912964789531+2.2542459314122i</v>
      </c>
      <c r="BD172">
        <f t="shared" si="195"/>
        <v>7.3191162016792504</v>
      </c>
      <c r="BE172" s="43">
        <f t="shared" si="196"/>
        <v>103.92498907999729</v>
      </c>
      <c r="BF172" s="41" t="str">
        <f t="shared" si="197"/>
        <v>7.62365900711576-0.396208299773341i</v>
      </c>
      <c r="BG172" s="20">
        <f t="shared" si="198"/>
        <v>17.654983619589814</v>
      </c>
      <c r="BH172" s="43">
        <f t="shared" si="199"/>
        <v>-2.9750357543302304</v>
      </c>
      <c r="BI172" s="41" t="str">
        <f t="shared" si="152"/>
        <v>93.5291062550319+42.0732788137095i</v>
      </c>
      <c r="BJ172" s="20">
        <f t="shared" si="200"/>
        <v>40.219271589433475</v>
      </c>
      <c r="BK172" s="43">
        <f t="shared" si="153"/>
        <v>24.22019551806487</v>
      </c>
      <c r="BL172">
        <f t="shared" si="201"/>
        <v>17.654983619589814</v>
      </c>
      <c r="BM172" s="43">
        <f t="shared" si="202"/>
        <v>-2.9750357543302304</v>
      </c>
    </row>
    <row r="173" spans="14:65" x14ac:dyDescent="0.25">
      <c r="N173" s="9">
        <v>55</v>
      </c>
      <c r="O173" s="34">
        <f t="shared" si="154"/>
        <v>354.81338923357566</v>
      </c>
      <c r="P173" s="33" t="str">
        <f t="shared" si="155"/>
        <v>16.5157725627975</v>
      </c>
      <c r="Q173" s="4" t="str">
        <f t="shared" si="156"/>
        <v>1+5.76839996031153i</v>
      </c>
      <c r="R173" s="4">
        <f t="shared" si="168"/>
        <v>5.8544374710233322</v>
      </c>
      <c r="S173" s="4">
        <f t="shared" si="169"/>
        <v>1.3991440219038622</v>
      </c>
      <c r="T173" s="4" t="str">
        <f t="shared" si="157"/>
        <v>1+0.0366729436076782i</v>
      </c>
      <c r="U173" s="4">
        <f t="shared" si="170"/>
        <v>1.0006722264522245</v>
      </c>
      <c r="V173" s="4">
        <f t="shared" si="171"/>
        <v>3.6656516322314363E-2</v>
      </c>
      <c r="W173" t="str">
        <f t="shared" si="158"/>
        <v>1-0.557339568505748i</v>
      </c>
      <c r="X173" s="4">
        <f t="shared" si="172"/>
        <v>1.1448263600311506</v>
      </c>
      <c r="Y173" s="4">
        <f t="shared" si="173"/>
        <v>-0.50846072702964618</v>
      </c>
      <c r="Z173" t="str">
        <f t="shared" si="159"/>
        <v>0.999997398914438+0.00780275395908046i</v>
      </c>
      <c r="AA173" s="4">
        <f t="shared" si="174"/>
        <v>1.0000278400149605</v>
      </c>
      <c r="AB173" s="4">
        <f t="shared" si="175"/>
        <v>7.8026159077025916E-3</v>
      </c>
      <c r="AC173" s="47" t="str">
        <f t="shared" si="176"/>
        <v>-0.979565303898537-3.07968111520221i</v>
      </c>
      <c r="AD173" s="20">
        <f t="shared" si="177"/>
        <v>10.188661959875338</v>
      </c>
      <c r="AE173" s="43">
        <f t="shared" si="178"/>
        <v>-107.64449437675501</v>
      </c>
      <c r="AF173" t="str">
        <f t="shared" si="160"/>
        <v>247.084651286898</v>
      </c>
      <c r="AG173" t="str">
        <f t="shared" si="161"/>
        <v>1+5.64106807252781i</v>
      </c>
      <c r="AH173">
        <f t="shared" si="179"/>
        <v>5.7290181531299602</v>
      </c>
      <c r="AI173">
        <f t="shared" si="180"/>
        <v>1.3953476141575871</v>
      </c>
      <c r="AJ173" t="str">
        <f t="shared" si="162"/>
        <v>1+0.0366729436076782i</v>
      </c>
      <c r="AK173">
        <f t="shared" si="181"/>
        <v>1.0006722264522245</v>
      </c>
      <c r="AL173">
        <f t="shared" si="182"/>
        <v>3.6656516322314363E-2</v>
      </c>
      <c r="AM173" t="str">
        <f t="shared" si="163"/>
        <v>1-0.0364311150070702i</v>
      </c>
      <c r="AN173">
        <f t="shared" si="183"/>
        <v>1.0006633930251763</v>
      </c>
      <c r="AO173">
        <f t="shared" si="184"/>
        <v>-3.6415010387086236E-2</v>
      </c>
      <c r="AP173" s="41" t="str">
        <f t="shared" si="185"/>
        <v>7.54842729577314-42.5214400805308i</v>
      </c>
      <c r="AQ173">
        <f t="shared" si="186"/>
        <v>32.706908567749679</v>
      </c>
      <c r="AR173" s="43">
        <f t="shared" si="187"/>
        <v>-79.933691974062626</v>
      </c>
      <c r="AS173" t="str">
        <f t="shared" si="164"/>
        <v>-0.0000166666666666667</v>
      </c>
      <c r="AT173" t="str">
        <f t="shared" si="165"/>
        <v>7.57981813167818E-06i</v>
      </c>
      <c r="AU173">
        <f t="shared" si="188"/>
        <v>7.57981813167818E-6</v>
      </c>
      <c r="AV173">
        <f t="shared" si="189"/>
        <v>1.5707963267948966</v>
      </c>
      <c r="AW173" t="str">
        <f t="shared" si="166"/>
        <v>1+0.00770308853035944i</v>
      </c>
      <c r="AX173">
        <f t="shared" si="190"/>
        <v>1.0000296683463479</v>
      </c>
      <c r="AY173">
        <f t="shared" si="191"/>
        <v>7.7029361749245519E-3</v>
      </c>
      <c r="AZ173" t="str">
        <f t="shared" si="167"/>
        <v>1+0.261905010032221i</v>
      </c>
      <c r="BA173">
        <f t="shared" si="192"/>
        <v>1.033728317441279</v>
      </c>
      <c r="BB173">
        <f t="shared" si="193"/>
        <v>0.2561516147655033</v>
      </c>
      <c r="BC173" s="41" t="str">
        <f t="shared" si="194"/>
        <v>-0.55891147222797+2.20312679080887i</v>
      </c>
      <c r="BD173">
        <f t="shared" si="195"/>
        <v>7.1316698578465418</v>
      </c>
      <c r="BE173" s="43">
        <f t="shared" si="196"/>
        <v>104.23506070884247</v>
      </c>
      <c r="BF173" s="41" t="str">
        <f t="shared" si="197"/>
        <v>7.3324182581955-0.436837458275356i</v>
      </c>
      <c r="BG173" s="20">
        <f t="shared" si="198"/>
        <v>17.320331817721886</v>
      </c>
      <c r="BH173" s="43">
        <f t="shared" si="199"/>
        <v>-3.4094336679125257</v>
      </c>
      <c r="BI173" s="41" t="str">
        <f t="shared" si="152"/>
        <v>89.4612212123051+40.3958630804536i</v>
      </c>
      <c r="BJ173" s="20">
        <f t="shared" si="200"/>
        <v>39.838578425596218</v>
      </c>
      <c r="BK173" s="43">
        <f t="shared" si="153"/>
        <v>24.301368734779846</v>
      </c>
      <c r="BL173">
        <f t="shared" si="201"/>
        <v>17.320331817721886</v>
      </c>
      <c r="BM173" s="43">
        <f t="shared" si="202"/>
        <v>-3.4094336679125257</v>
      </c>
    </row>
    <row r="174" spans="14:65" x14ac:dyDescent="0.25">
      <c r="N174" s="9">
        <v>56</v>
      </c>
      <c r="O174" s="34">
        <f t="shared" si="154"/>
        <v>363.07805477010152</v>
      </c>
      <c r="P174" s="33" t="str">
        <f t="shared" si="155"/>
        <v>16.5157725627975</v>
      </c>
      <c r="Q174" s="4" t="str">
        <f t="shared" si="156"/>
        <v>1+5.90276325605938i</v>
      </c>
      <c r="R174" s="4">
        <f t="shared" si="168"/>
        <v>5.9868701386521437</v>
      </c>
      <c r="S174" s="4">
        <f t="shared" si="169"/>
        <v>1.4029775327989038</v>
      </c>
      <c r="T174" s="4" t="str">
        <f t="shared" si="157"/>
        <v>1+0.0375271662000445i</v>
      </c>
      <c r="U174" s="4">
        <f t="shared" si="170"/>
        <v>1.0007038963664556</v>
      </c>
      <c r="V174" s="4">
        <f t="shared" si="171"/>
        <v>3.7509564715279914E-2</v>
      </c>
      <c r="W174" t="str">
        <f t="shared" si="158"/>
        <v>1-0.570321674772713i</v>
      </c>
      <c r="X174" s="4">
        <f t="shared" si="172"/>
        <v>1.1512023335259325</v>
      </c>
      <c r="Y174" s="4">
        <f t="shared" si="173"/>
        <v>-0.51831128659361281</v>
      </c>
      <c r="Z174" t="str">
        <f t="shared" si="159"/>
        <v>0.999997276329053+0.00798450344681797i</v>
      </c>
      <c r="AA174" s="4">
        <f t="shared" si="174"/>
        <v>1.0000291520554871</v>
      </c>
      <c r="AB174" s="4">
        <f t="shared" si="175"/>
        <v>7.984355522333824E-3</v>
      </c>
      <c r="AC174" s="47" t="str">
        <f t="shared" si="176"/>
        <v>-1.00258638388-3.01563061803799i</v>
      </c>
      <c r="AD174" s="20">
        <f t="shared" si="177"/>
        <v>10.042872945869254</v>
      </c>
      <c r="AE174" s="43">
        <f t="shared" si="178"/>
        <v>-108.39007070086718</v>
      </c>
      <c r="AF174" t="str">
        <f t="shared" si="160"/>
        <v>247.084651286898</v>
      </c>
      <c r="AG174" t="str">
        <f t="shared" si="161"/>
        <v>1+5.77246542759643i</v>
      </c>
      <c r="AH174">
        <f t="shared" si="179"/>
        <v>5.8584432328730491</v>
      </c>
      <c r="AI174">
        <f t="shared" si="180"/>
        <v>1.39926255594032</v>
      </c>
      <c r="AJ174" t="str">
        <f t="shared" si="162"/>
        <v>1+0.0375271662000445i</v>
      </c>
      <c r="AK174">
        <f t="shared" si="181"/>
        <v>1.0007038963664556</v>
      </c>
      <c r="AL174">
        <f t="shared" si="182"/>
        <v>3.7509564715279914E-2</v>
      </c>
      <c r="AM174" t="str">
        <f t="shared" si="163"/>
        <v>1-0.0372797046877093i</v>
      </c>
      <c r="AN174">
        <f t="shared" si="183"/>
        <v>1.0006946469236271</v>
      </c>
      <c r="AO174">
        <f t="shared" si="184"/>
        <v>-3.7262448923388349E-2</v>
      </c>
      <c r="AP174" s="41" t="str">
        <f t="shared" si="185"/>
        <v>7.21950689774815-41.6132100300629i</v>
      </c>
      <c r="AQ174">
        <f t="shared" si="186"/>
        <v>32.513414190022182</v>
      </c>
      <c r="AR174" s="43">
        <f t="shared" si="187"/>
        <v>-80.157680194142173</v>
      </c>
      <c r="AS174" t="str">
        <f t="shared" si="164"/>
        <v>-0.0000166666666666667</v>
      </c>
      <c r="AT174" t="str">
        <f t="shared" si="165"/>
        <v>7.75637477690888E-06i</v>
      </c>
      <c r="AU174">
        <f t="shared" si="188"/>
        <v>7.7563747769088799E-6</v>
      </c>
      <c r="AV174">
        <f t="shared" si="189"/>
        <v>1.5707963267948966</v>
      </c>
      <c r="AW174" t="str">
        <f t="shared" si="166"/>
        <v>1+0.00788251651203509i</v>
      </c>
      <c r="AX174">
        <f t="shared" si="190"/>
        <v>1.0000310665507159</v>
      </c>
      <c r="AY174">
        <f t="shared" si="191"/>
        <v>7.8823532605192554E-3</v>
      </c>
      <c r="AZ174" t="str">
        <f t="shared" si="167"/>
        <v>1+0.268005561409193i</v>
      </c>
      <c r="BA174">
        <f t="shared" si="192"/>
        <v>1.0352907712069381</v>
      </c>
      <c r="BB174">
        <f t="shared" si="193"/>
        <v>0.26185198003049065</v>
      </c>
      <c r="BC174" s="41" t="str">
        <f t="shared" si="194"/>
        <v>-0.558909909332693+2.15317577610794i</v>
      </c>
      <c r="BD174">
        <f t="shared" si="195"/>
        <v>6.9447763006567653</v>
      </c>
      <c r="BE174" s="43">
        <f t="shared" si="196"/>
        <v>104.55138773843203</v>
      </c>
      <c r="BF174" s="41" t="str">
        <f t="shared" si="197"/>
        <v>7.05353826136138-0.473278879917566i</v>
      </c>
      <c r="BG174" s="20">
        <f t="shared" si="198"/>
        <v>16.987649246526018</v>
      </c>
      <c r="BH174" s="43">
        <f t="shared" si="199"/>
        <v>-3.8386829624351515</v>
      </c>
      <c r="BI174" s="41" t="str">
        <f t="shared" si="152"/>
        <v>85.5655018571762+38.8029028126203i</v>
      </c>
      <c r="BJ174" s="20">
        <f t="shared" si="200"/>
        <v>39.458190490678945</v>
      </c>
      <c r="BK174" s="43">
        <f t="shared" si="153"/>
        <v>24.393707544289892</v>
      </c>
      <c r="BL174">
        <f t="shared" si="201"/>
        <v>16.987649246526018</v>
      </c>
      <c r="BM174" s="43">
        <f t="shared" si="202"/>
        <v>-3.8386829624351515</v>
      </c>
    </row>
    <row r="175" spans="14:65" x14ac:dyDescent="0.25">
      <c r="N175" s="9">
        <v>57</v>
      </c>
      <c r="O175" s="34">
        <f t="shared" si="154"/>
        <v>371.53522909717265</v>
      </c>
      <c r="P175" s="33" t="str">
        <f t="shared" si="155"/>
        <v>16.5157725627975</v>
      </c>
      <c r="Q175" s="4" t="str">
        <f t="shared" si="156"/>
        <v>1+6.04025627501789i</v>
      </c>
      <c r="R175" s="4">
        <f t="shared" si="168"/>
        <v>6.1224746522866873</v>
      </c>
      <c r="S175" s="4">
        <f t="shared" si="169"/>
        <v>1.4067285998962475</v>
      </c>
      <c r="T175" s="4" t="str">
        <f t="shared" si="157"/>
        <v>1+0.0384012861926607i</v>
      </c>
      <c r="U175" s="4">
        <f t="shared" si="170"/>
        <v>1.0007370577635519</v>
      </c>
      <c r="V175" s="4">
        <f t="shared" si="171"/>
        <v>3.8382426612086427E-2</v>
      </c>
      <c r="W175" t="str">
        <f t="shared" si="158"/>
        <v>1-0.58360617314074i</v>
      </c>
      <c r="X175" s="4">
        <f t="shared" si="172"/>
        <v>1.1578411658461534</v>
      </c>
      <c r="Y175" s="4">
        <f t="shared" si="173"/>
        <v>-0.52827799384998275</v>
      </c>
      <c r="Z175" t="str">
        <f t="shared" si="159"/>
        <v>0.999997147966395+0.00817048642397035i</v>
      </c>
      <c r="AA175" s="4">
        <f t="shared" si="174"/>
        <v>1.0000305259287481</v>
      </c>
      <c r="AB175" s="4">
        <f t="shared" si="175"/>
        <v>8.1703279202905901E-3</v>
      </c>
      <c r="AC175" s="47" t="str">
        <f t="shared" si="176"/>
        <v>-1.02462948867604-2.95283750619911i</v>
      </c>
      <c r="AD175" s="20">
        <f t="shared" si="177"/>
        <v>9.8985521881634213</v>
      </c>
      <c r="AE175" s="43">
        <f t="shared" si="178"/>
        <v>-109.13668540637191</v>
      </c>
      <c r="AF175" t="str">
        <f t="shared" si="160"/>
        <v>247.084651286898</v>
      </c>
      <c r="AG175" t="str">
        <f t="shared" si="161"/>
        <v>1+5.90692342024235i</v>
      </c>
      <c r="AH175">
        <f t="shared" si="179"/>
        <v>5.9909718988330765</v>
      </c>
      <c r="AI175">
        <f t="shared" si="180"/>
        <v>1.4030935208766875</v>
      </c>
      <c r="AJ175" t="str">
        <f t="shared" si="162"/>
        <v>1+0.0384012861926607i</v>
      </c>
      <c r="AK175">
        <f t="shared" si="181"/>
        <v>1.0007370577635519</v>
      </c>
      <c r="AL175">
        <f t="shared" si="182"/>
        <v>3.8382426612086427E-2</v>
      </c>
      <c r="AM175" t="str">
        <f t="shared" si="163"/>
        <v>1-0.0381480605612289i</v>
      </c>
      <c r="AN175">
        <f t="shared" si="183"/>
        <v>1.0007273727267498</v>
      </c>
      <c r="AO175">
        <f t="shared" si="184"/>
        <v>-3.8129571402394619E-2</v>
      </c>
      <c r="AP175" s="41" t="str">
        <f t="shared" si="185"/>
        <v>6.90454600058695-40.7220563101685i</v>
      </c>
      <c r="AQ175">
        <f t="shared" si="186"/>
        <v>32.319684940704782</v>
      </c>
      <c r="AR175" s="43">
        <f t="shared" si="187"/>
        <v>-80.376849472041826</v>
      </c>
      <c r="AS175" t="str">
        <f t="shared" si="164"/>
        <v>-0.0000166666666666667</v>
      </c>
      <c r="AT175" t="str">
        <f t="shared" si="165"/>
        <v>7.93704395471405E-06i</v>
      </c>
      <c r="AU175">
        <f t="shared" si="188"/>
        <v>7.93704395471405E-6</v>
      </c>
      <c r="AV175">
        <f t="shared" si="189"/>
        <v>1.5707963267948966</v>
      </c>
      <c r="AW175" t="str">
        <f t="shared" si="166"/>
        <v>1+0.00806612390830284i</v>
      </c>
      <c r="AX175">
        <f t="shared" si="190"/>
        <v>1.0000325306483304</v>
      </c>
      <c r="AY175">
        <f t="shared" si="191"/>
        <v>8.0659489814593407E-3</v>
      </c>
      <c r="AZ175" t="str">
        <f t="shared" si="167"/>
        <v>1+0.274248212882296i</v>
      </c>
      <c r="BA175">
        <f t="shared" si="192"/>
        <v>1.036924337774523</v>
      </c>
      <c r="BB175">
        <f t="shared" si="193"/>
        <v>0.26766714615666337</v>
      </c>
      <c r="BC175" s="41" t="str">
        <f t="shared" si="194"/>
        <v>-0.558908272789798+2.1043664025427i</v>
      </c>
      <c r="BD175">
        <f t="shared" si="195"/>
        <v>6.7584580907851048</v>
      </c>
      <c r="BE175" s="43">
        <f t="shared" si="196"/>
        <v>104.8740529546827</v>
      </c>
      <c r="BF175" s="41" t="str">
        <f t="shared" si="197"/>
        <v>6.7865259379788-0.505830560605685i</v>
      </c>
      <c r="BG175" s="20">
        <f t="shared" si="198"/>
        <v>16.65701027894853</v>
      </c>
      <c r="BH175" s="43">
        <f t="shared" si="199"/>
        <v>-4.2626324516892105</v>
      </c>
      <c r="BI175" s="41" t="str">
        <f t="shared" si="152"/>
        <v>81.8351192619848+37.2895887852109i</v>
      </c>
      <c r="BJ175" s="20">
        <f t="shared" si="200"/>
        <v>39.078143031489894</v>
      </c>
      <c r="BK175" s="43">
        <f t="shared" si="153"/>
        <v>24.49720348264086</v>
      </c>
      <c r="BL175">
        <f t="shared" si="201"/>
        <v>16.65701027894853</v>
      </c>
      <c r="BM175" s="43">
        <f t="shared" si="202"/>
        <v>-4.2626324516892105</v>
      </c>
    </row>
    <row r="176" spans="14:65" x14ac:dyDescent="0.25">
      <c r="N176" s="9">
        <v>58</v>
      </c>
      <c r="O176" s="34">
        <f t="shared" si="154"/>
        <v>380.18939632056163</v>
      </c>
      <c r="P176" s="33" t="str">
        <f t="shared" si="155"/>
        <v>16.5157725627975</v>
      </c>
      <c r="Q176" s="4" t="str">
        <f t="shared" si="156"/>
        <v>1+6.18095191780566i</v>
      </c>
      <c r="R176" s="4">
        <f t="shared" si="168"/>
        <v>6.2613230718615265</v>
      </c>
      <c r="S176" s="4">
        <f t="shared" si="169"/>
        <v>1.4103987896132277</v>
      </c>
      <c r="T176" s="4" t="str">
        <f t="shared" si="157"/>
        <v>1+0.0392957670555174i</v>
      </c>
      <c r="U176" s="4">
        <f t="shared" si="170"/>
        <v>1.0007717808314149</v>
      </c>
      <c r="V176" s="4">
        <f t="shared" si="171"/>
        <v>3.9275559492446002E-2</v>
      </c>
      <c r="W176" t="str">
        <f t="shared" si="158"/>
        <v>1-0.597200107226707i</v>
      </c>
      <c r="X176" s="4">
        <f t="shared" si="172"/>
        <v>1.1647523204834538</v>
      </c>
      <c r="Y176" s="4">
        <f t="shared" si="173"/>
        <v>-0.53835821230075298</v>
      </c>
      <c r="Z176" t="str">
        <f t="shared" si="159"/>
        <v>0.999997013554193+0.0083608015011739i</v>
      </c>
      <c r="AA176" s="4">
        <f t="shared" si="174"/>
        <v>1.0000319645486573</v>
      </c>
      <c r="AB176" s="4">
        <f t="shared" si="175"/>
        <v>8.3606316617136044E-3</v>
      </c>
      <c r="AC176" s="47" t="str">
        <f t="shared" si="176"/>
        <v>-1.04573392967374-2.89129007616566i</v>
      </c>
      <c r="AD176" s="20">
        <f t="shared" si="177"/>
        <v>9.7557506787477646</v>
      </c>
      <c r="AE176" s="43">
        <f t="shared" si="178"/>
        <v>-109.8842566175863</v>
      </c>
      <c r="AF176" t="str">
        <f t="shared" si="160"/>
        <v>247.084651286898</v>
      </c>
      <c r="AG176" t="str">
        <f t="shared" si="161"/>
        <v>1+6.04451334187306i</v>
      </c>
      <c r="AH176">
        <f t="shared" si="179"/>
        <v>6.1266745906797935</v>
      </c>
      <c r="AI176">
        <f t="shared" si="180"/>
        <v>1.4068420901747447</v>
      </c>
      <c r="AJ176" t="str">
        <f t="shared" si="162"/>
        <v>1+0.0392957670555174i</v>
      </c>
      <c r="AK176">
        <f t="shared" si="181"/>
        <v>1.0007717808314149</v>
      </c>
      <c r="AL176">
        <f t="shared" si="182"/>
        <v>3.9275559492446002E-2</v>
      </c>
      <c r="AM176" t="str">
        <f t="shared" si="163"/>
        <v>1-0.0390366430414073i</v>
      </c>
      <c r="AN176">
        <f t="shared" si="183"/>
        <v>1.000761639702453</v>
      </c>
      <c r="AO176">
        <f t="shared" si="184"/>
        <v>-3.9016832365019516E-2</v>
      </c>
      <c r="AP176" s="41" t="str">
        <f t="shared" si="185"/>
        <v>6.60298757799925-39.8478209447721i</v>
      </c>
      <c r="AQ176">
        <f t="shared" si="186"/>
        <v>32.12573310118897</v>
      </c>
      <c r="AR176" s="43">
        <f t="shared" si="187"/>
        <v>-80.59129023592898</v>
      </c>
      <c r="AS176" t="str">
        <f t="shared" si="164"/>
        <v>-0.0000166666666666667</v>
      </c>
      <c r="AT176" t="str">
        <f t="shared" si="165"/>
        <v>8.12192145828322E-06i</v>
      </c>
      <c r="AU176">
        <f t="shared" si="188"/>
        <v>8.1219214582832205E-6</v>
      </c>
      <c r="AV176">
        <f t="shared" si="189"/>
        <v>1.5707963267948966</v>
      </c>
      <c r="AW176" t="str">
        <f t="shared" si="166"/>
        <v>1+0.00825400807023454i</v>
      </c>
      <c r="AX176">
        <f t="shared" si="190"/>
        <v>1.0000340637444425</v>
      </c>
      <c r="AY176">
        <f t="shared" si="191"/>
        <v>8.2538206330895498E-3</v>
      </c>
      <c r="AZ176" t="str">
        <f t="shared" si="167"/>
        <v>1+0.280636274387974i</v>
      </c>
      <c r="BA176">
        <f t="shared" si="192"/>
        <v>1.0386321382002206</v>
      </c>
      <c r="BB176">
        <f t="shared" si="193"/>
        <v>0.27359862261190843</v>
      </c>
      <c r="BC176" s="41" t="str">
        <f t="shared" si="194"/>
        <v>-0.558906559129286+2.05667279065419i</v>
      </c>
      <c r="BD176">
        <f t="shared" si="195"/>
        <v>6.5727385506334759</v>
      </c>
      <c r="BE176" s="43">
        <f t="shared" si="196"/>
        <v>105.20313726912087</v>
      </c>
      <c r="BF176" s="41" t="str">
        <f t="shared" si="197"/>
        <v>6.53090518193709-0.534771531509463i</v>
      </c>
      <c r="BG176" s="20">
        <f t="shared" si="198"/>
        <v>16.328489229381237</v>
      </c>
      <c r="BH176" s="43">
        <f t="shared" si="199"/>
        <v>-4.6811193484654199</v>
      </c>
      <c r="BI176" s="41" t="str">
        <f t="shared" si="152"/>
        <v>78.2634760367799+35.8513933817411i</v>
      </c>
      <c r="BJ176" s="20">
        <f t="shared" si="200"/>
        <v>38.698471651822437</v>
      </c>
      <c r="BK176" s="43">
        <f t="shared" si="153"/>
        <v>24.611847033191896</v>
      </c>
      <c r="BL176">
        <f t="shared" si="201"/>
        <v>16.328489229381237</v>
      </c>
      <c r="BM176" s="43">
        <f t="shared" si="202"/>
        <v>-4.6811193484654199</v>
      </c>
    </row>
    <row r="177" spans="14:65" x14ac:dyDescent="0.25">
      <c r="N177" s="9">
        <v>59</v>
      </c>
      <c r="O177" s="34">
        <f t="shared" si="154"/>
        <v>389.04514499428063</v>
      </c>
      <c r="P177" s="33" t="str">
        <f t="shared" si="155"/>
        <v>16.5157725627975</v>
      </c>
      <c r="Q177" s="4" t="str">
        <f t="shared" si="156"/>
        <v>1+6.32492478311482i</v>
      </c>
      <c r="R177" s="4">
        <f t="shared" si="168"/>
        <v>6.4034891670135634</v>
      </c>
      <c r="S177" s="4">
        <f t="shared" si="169"/>
        <v>1.4139896522242199</v>
      </c>
      <c r="T177" s="4" t="str">
        <f t="shared" si="157"/>
        <v>1+0.0402110830542079i</v>
      </c>
      <c r="U177" s="4">
        <f t="shared" si="170"/>
        <v>1.0008081390558294</v>
      </c>
      <c r="V177" s="4">
        <f t="shared" si="171"/>
        <v>4.0189431204462937E-2</v>
      </c>
      <c r="W177" t="str">
        <f t="shared" si="158"/>
        <v>1-0.611110684714405i</v>
      </c>
      <c r="X177" s="4">
        <f t="shared" si="172"/>
        <v>1.1719455059737671</v>
      </c>
      <c r="Y177" s="4">
        <f t="shared" si="173"/>
        <v>-0.5485490919953393</v>
      </c>
      <c r="Z177" t="str">
        <f t="shared" si="159"/>
        <v>0.999996872807338+0.00855554958600166i</v>
      </c>
      <c r="AA177" s="4">
        <f t="shared" si="174"/>
        <v>1.000033470966434</v>
      </c>
      <c r="AB177" s="4">
        <f t="shared" si="175"/>
        <v>8.5553676000693826E-3</v>
      </c>
      <c r="AC177" s="47" t="str">
        <f t="shared" si="176"/>
        <v>-1.06593764881195-2.83097596940979i</v>
      </c>
      <c r="AD177" s="20">
        <f t="shared" si="177"/>
        <v>9.614518500700111</v>
      </c>
      <c r="AE177" s="43">
        <f t="shared" si="178"/>
        <v>-110.63268884130531</v>
      </c>
      <c r="AF177" t="str">
        <f t="shared" si="160"/>
        <v>247.084651286898</v>
      </c>
      <c r="AG177" t="str">
        <f t="shared" si="161"/>
        <v>1+6.18530814448623i</v>
      </c>
      <c r="AH177">
        <f t="shared" si="179"/>
        <v>6.2656234200794172</v>
      </c>
      <c r="AI177">
        <f t="shared" si="180"/>
        <v>1.4105098297707703</v>
      </c>
      <c r="AJ177" t="str">
        <f t="shared" si="162"/>
        <v>1+0.0402110830542079i</v>
      </c>
      <c r="AK177">
        <f t="shared" si="181"/>
        <v>1.0008081390558294</v>
      </c>
      <c r="AL177">
        <f t="shared" si="182"/>
        <v>4.0189431204462937E-2</v>
      </c>
      <c r="AM177" t="str">
        <f t="shared" si="163"/>
        <v>1-0.0399459232664374i</v>
      </c>
      <c r="AN177">
        <f t="shared" si="183"/>
        <v>1.0007975203734309</v>
      </c>
      <c r="AO177">
        <f t="shared" si="184"/>
        <v>-3.9924696657739747E-2</v>
      </c>
      <c r="AP177" s="41" t="str">
        <f t="shared" si="185"/>
        <v>6.31429378291705-38.990335848459i</v>
      </c>
      <c r="AQ177">
        <f t="shared" si="186"/>
        <v>31.931570566319564</v>
      </c>
      <c r="AR177" s="43">
        <f t="shared" si="187"/>
        <v>-80.801092035362785</v>
      </c>
      <c r="AS177" t="str">
        <f t="shared" si="164"/>
        <v>-0.0000166666666666667</v>
      </c>
      <c r="AT177" t="str">
        <f t="shared" si="165"/>
        <v>8.31110531211589E-06i</v>
      </c>
      <c r="AU177">
        <f t="shared" si="188"/>
        <v>8.3111053121158908E-6</v>
      </c>
      <c r="AV177">
        <f t="shared" si="189"/>
        <v>1.5707963267948966</v>
      </c>
      <c r="AW177" t="str">
        <f t="shared" si="166"/>
        <v>1+0.0084462686164998i</v>
      </c>
      <c r="AX177">
        <f t="shared" si="190"/>
        <v>1.0000356690906291</v>
      </c>
      <c r="AY177">
        <f t="shared" si="191"/>
        <v>8.4460677743673218E-3</v>
      </c>
      <c r="AZ177" t="str">
        <f t="shared" si="167"/>
        <v>1+0.287173132960993i</v>
      </c>
      <c r="BA177">
        <f t="shared" si="192"/>
        <v>1.0404174202187466</v>
      </c>
      <c r="BB177">
        <f t="shared" si="193"/>
        <v>0.27964788420910658</v>
      </c>
      <c r="BC177" s="41" t="str">
        <f t="shared" si="194"/>
        <v>-0.558904764717706+2.01006965256907i</v>
      </c>
      <c r="BD177">
        <f t="shared" si="195"/>
        <v>6.3876417758615043</v>
      </c>
      <c r="BE177" s="43">
        <f t="shared" si="196"/>
        <v>105.53871947799232</v>
      </c>
      <c r="BF177" s="41" t="str">
        <f t="shared" si="197"/>
        <v>6.28621651407591-0.560362961303269i</v>
      </c>
      <c r="BG177" s="20">
        <f t="shared" si="198"/>
        <v>16.002160276561614</v>
      </c>
      <c r="BH177" s="43">
        <f t="shared" si="199"/>
        <v>-5.093969363312981</v>
      </c>
      <c r="BI177" s="41" t="str">
        <f t="shared" si="152"/>
        <v>74.8442019513636+34.4840547940944i</v>
      </c>
      <c r="BJ177" s="20">
        <f t="shared" si="200"/>
        <v>38.319212342181068</v>
      </c>
      <c r="BK177" s="43">
        <f t="shared" si="153"/>
        <v>24.73762744262952</v>
      </c>
      <c r="BL177">
        <f t="shared" si="201"/>
        <v>16.002160276561614</v>
      </c>
      <c r="BM177" s="43">
        <f t="shared" si="202"/>
        <v>-5.093969363312981</v>
      </c>
    </row>
    <row r="178" spans="14:65" x14ac:dyDescent="0.25">
      <c r="N178" s="9">
        <v>60</v>
      </c>
      <c r="O178" s="34">
        <f t="shared" si="154"/>
        <v>398.10717055349761</v>
      </c>
      <c r="P178" s="33" t="str">
        <f t="shared" si="155"/>
        <v>16.5157725627975</v>
      </c>
      <c r="Q178" s="4" t="str">
        <f t="shared" si="156"/>
        <v>1+6.47225120726425i</v>
      </c>
      <c r="R178" s="4">
        <f t="shared" si="168"/>
        <v>6.5490484568319962</v>
      </c>
      <c r="S178" s="4">
        <f t="shared" si="169"/>
        <v>1.4175027210500952</v>
      </c>
      <c r="T178" s="4" t="str">
        <f t="shared" si="157"/>
        <v>1+0.0411477195013902i</v>
      </c>
      <c r="U178" s="4">
        <f t="shared" si="170"/>
        <v>1.0008462093749293</v>
      </c>
      <c r="V178" s="4">
        <f t="shared" si="171"/>
        <v>4.1124520185689226E-2</v>
      </c>
      <c r="W178" t="str">
        <f t="shared" si="158"/>
        <v>1-0.625345281176143i</v>
      </c>
      <c r="X178" s="4">
        <f t="shared" si="172"/>
        <v>1.1794306765084879</v>
      </c>
      <c r="Y178" s="4">
        <f t="shared" si="173"/>
        <v>-0.55884756889556297</v>
      </c>
      <c r="Z178" t="str">
        <f t="shared" si="159"/>
        <v>0.999996725427288+0.00875483393646599i</v>
      </c>
      <c r="AA178" s="4">
        <f t="shared" si="174"/>
        <v>1.0000350483770826</v>
      </c>
      <c r="AB178" s="4">
        <f t="shared" si="175"/>
        <v>8.7546389353945382E-3</v>
      </c>
      <c r="AC178" s="47" t="str">
        <f t="shared" si="176"/>
        <v>-1.08527724851399-2.77188224072928i</v>
      </c>
      <c r="AD178" s="20">
        <f t="shared" si="177"/>
        <v>9.4749047363521655</v>
      </c>
      <c r="AE178" s="43">
        <f t="shared" si="178"/>
        <v>-111.38187287436118</v>
      </c>
      <c r="AF178" t="str">
        <f t="shared" si="160"/>
        <v>247.084651286898</v>
      </c>
      <c r="AG178" t="str">
        <f t="shared" si="161"/>
        <v>1+6.32938247934982i</v>
      </c>
      <c r="AH178">
        <f t="shared" si="179"/>
        <v>6.4078922096037534</v>
      </c>
      <c r="AI178">
        <f t="shared" si="180"/>
        <v>1.4140982894319825</v>
      </c>
      <c r="AJ178" t="str">
        <f t="shared" si="162"/>
        <v>1+0.0411477195013902i</v>
      </c>
      <c r="AK178">
        <f t="shared" si="181"/>
        <v>1.0008462093749293</v>
      </c>
      <c r="AL178">
        <f t="shared" si="182"/>
        <v>4.1124520185689226E-2</v>
      </c>
      <c r="AM178" t="str">
        <f t="shared" si="163"/>
        <v>1-0.04087638334873i</v>
      </c>
      <c r="AN178">
        <f t="shared" si="183"/>
        <v>1.0008350906696228</v>
      </c>
      <c r="AO178">
        <f t="shared" si="184"/>
        <v>-4.0853639652583991E-2</v>
      </c>
      <c r="AP178" s="41" t="str">
        <f t="shared" si="185"/>
        <v>6.03794555601532-38.1494238148499i</v>
      </c>
      <c r="AQ178">
        <f t="shared" si="186"/>
        <v>31.737208862397321</v>
      </c>
      <c r="AR178" s="43">
        <f t="shared" si="187"/>
        <v>-81.006343489822555</v>
      </c>
      <c r="AS178" t="str">
        <f t="shared" si="164"/>
        <v>-0.0000166666666666667</v>
      </c>
      <c r="AT178" t="str">
        <f t="shared" si="165"/>
        <v>8.50469582399555E-06i</v>
      </c>
      <c r="AU178">
        <f t="shared" si="188"/>
        <v>8.5046958239955499E-6</v>
      </c>
      <c r="AV178">
        <f t="shared" si="189"/>
        <v>1.5707963267948966</v>
      </c>
      <c r="AW178" t="str">
        <f t="shared" si="166"/>
        <v>1+0.00864300748618508i</v>
      </c>
      <c r="AX178">
        <f t="shared" si="190"/>
        <v>1.0000373500916884</v>
      </c>
      <c r="AY178">
        <f t="shared" si="191"/>
        <v>8.642792280396926E-3</v>
      </c>
      <c r="AZ178" t="str">
        <f t="shared" si="167"/>
        <v>1+0.293862254530293i</v>
      </c>
      <c r="BA178">
        <f t="shared" si="192"/>
        <v>1.0422835624903748</v>
      </c>
      <c r="BB178">
        <f t="shared" si="193"/>
        <v>0.28581636674127003</v>
      </c>
      <c r="BC178" s="41" t="str">
        <f t="shared" si="194"/>
        <v>-0.558902885750459+1.96453227859134i</v>
      </c>
      <c r="BD178">
        <f t="shared" si="195"/>
        <v>6.2031926457174622</v>
      </c>
      <c r="BE178" s="43">
        <f t="shared" si="196"/>
        <v>105.88087600916303</v>
      </c>
      <c r="BF178" s="41" t="str">
        <f t="shared" si="197"/>
        <v>6.05201672040055-0.582849202622486i</v>
      </c>
      <c r="BG178" s="20">
        <f t="shared" si="198"/>
        <v>15.67809738206963</v>
      </c>
      <c r="BH178" s="43">
        <f t="shared" si="199"/>
        <v>-5.5009968651981431</v>
      </c>
      <c r="BI178" s="41" t="str">
        <f t="shared" ref="BI178:BI241" si="203">IMPRODUCT(AP178,BC178)</f>
        <v>71.5711492986727+33.1835620010061i</v>
      </c>
      <c r="BJ178" s="20">
        <f t="shared" si="200"/>
        <v>37.940401508114782</v>
      </c>
      <c r="BK178" s="43">
        <f t="shared" ref="BK178:BK241" si="204">(180/PI())*IMARGUMENT(BI178)</f>
        <v>24.87453251934047</v>
      </c>
      <c r="BL178">
        <f t="shared" si="201"/>
        <v>15.67809738206963</v>
      </c>
      <c r="BM178" s="43">
        <f t="shared" si="202"/>
        <v>-5.5009968651981431</v>
      </c>
    </row>
    <row r="179" spans="14:65" x14ac:dyDescent="0.25">
      <c r="N179" s="9">
        <v>61</v>
      </c>
      <c r="O179" s="34">
        <f t="shared" si="154"/>
        <v>407.38027780411272</v>
      </c>
      <c r="P179" s="33" t="str">
        <f t="shared" si="155"/>
        <v>16.5157725627975</v>
      </c>
      <c r="Q179" s="4" t="str">
        <f t="shared" si="156"/>
        <v>1+6.62300930467416i</v>
      </c>
      <c r="R179" s="4">
        <f t="shared" si="168"/>
        <v>6.6980782504984591</v>
      </c>
      <c r="S179" s="4">
        <f t="shared" si="169"/>
        <v>1.4209395117320001</v>
      </c>
      <c r="T179" s="4" t="str">
        <f t="shared" si="157"/>
        <v>1+0.0421061730141067i</v>
      </c>
      <c r="U179" s="4">
        <f t="shared" si="170"/>
        <v>1.0008860723408504</v>
      </c>
      <c r="V179" s="4">
        <f t="shared" si="171"/>
        <v>4.2081315687880948E-2</v>
      </c>
      <c r="W179" t="str">
        <f t="shared" si="158"/>
        <v>1-0.639911443983385i</v>
      </c>
      <c r="X179" s="4">
        <f t="shared" si="172"/>
        <v>1.18721803226741</v>
      </c>
      <c r="Y179" s="4">
        <f t="shared" si="173"/>
        <v>-0.56925036506688109</v>
      </c>
      <c r="Z179" t="str">
        <f t="shared" si="159"/>
        <v>0.999996571101431+0.00895876021576738i</v>
      </c>
      <c r="AA179" s="4">
        <f t="shared" si="174"/>
        <v>1.0000367001261616</v>
      </c>
      <c r="AB179" s="4">
        <f t="shared" si="175"/>
        <v>8.9585512687679683E-3</v>
      </c>
      <c r="AC179" s="47" t="str">
        <f t="shared" si="176"/>
        <v>-1.10378802272041-2.71399542256624i</v>
      </c>
      <c r="AD179" s="20">
        <f t="shared" si="177"/>
        <v>9.3369573727213151</v>
      </c>
      <c r="AE179" s="43">
        <f t="shared" si="178"/>
        <v>-112.13168576321587</v>
      </c>
      <c r="AF179" t="str">
        <f t="shared" si="160"/>
        <v>247.084651286898</v>
      </c>
      <c r="AG179" t="str">
        <f t="shared" si="161"/>
        <v>1+6.47681273658326i</v>
      </c>
      <c r="AH179">
        <f t="shared" si="179"/>
        <v>6.553556532507149</v>
      </c>
      <c r="AI179">
        <f t="shared" si="180"/>
        <v>1.4176090019486511</v>
      </c>
      <c r="AJ179" t="str">
        <f t="shared" si="162"/>
        <v>1+0.0421061730141067i</v>
      </c>
      <c r="AK179">
        <f t="shared" si="181"/>
        <v>1.0008860723408504</v>
      </c>
      <c r="AL179">
        <f t="shared" si="182"/>
        <v>4.2081315687880948E-2</v>
      </c>
      <c r="AM179" t="str">
        <f t="shared" si="163"/>
        <v>1-0.0418285166305371i</v>
      </c>
      <c r="AN179">
        <f t="shared" si="183"/>
        <v>1.0008744300877663</v>
      </c>
      <c r="AO179">
        <f t="shared" si="184"/>
        <v>-4.1804147470827807E-2</v>
      </c>
      <c r="AP179" s="41" t="str">
        <f t="shared" si="185"/>
        <v>5.77344221600149-37.324899447814i</v>
      </c>
      <c r="AQ179">
        <f t="shared" si="186"/>
        <v>31.5426591649776</v>
      </c>
      <c r="AR179" s="43">
        <f t="shared" si="187"/>
        <v>-81.20713224235827</v>
      </c>
      <c r="AS179" t="str">
        <f t="shared" si="164"/>
        <v>-0.0000166666666666667</v>
      </c>
      <c r="AT179" t="str">
        <f t="shared" si="165"/>
        <v>8.70279563817403E-06i</v>
      </c>
      <c r="AU179">
        <f t="shared" si="188"/>
        <v>8.7027956381740301E-6</v>
      </c>
      <c r="AV179">
        <f t="shared" si="189"/>
        <v>1.5707963267948966</v>
      </c>
      <c r="AW179" t="str">
        <f t="shared" si="166"/>
        <v>1+0.0088443289928433i</v>
      </c>
      <c r="AX179">
        <f t="shared" si="190"/>
        <v>1.0000391103128585</v>
      </c>
      <c r="AY179">
        <f t="shared" si="191"/>
        <v>8.8440983961737638E-3</v>
      </c>
      <c r="AZ179" t="str">
        <f t="shared" si="167"/>
        <v>1+0.300707185756672i</v>
      </c>
      <c r="BA179">
        <f t="shared" si="192"/>
        <v>1.0442340789141569</v>
      </c>
      <c r="BB179">
        <f t="shared" si="193"/>
        <v>0.2921054624034351</v>
      </c>
      <c r="BC179" s="41" t="str">
        <f t="shared" si="194"/>
        <v>-0.558900918243758+1.92003652410035i</v>
      </c>
      <c r="BD179">
        <f t="shared" si="195"/>
        <v>6.0194168320157448</v>
      </c>
      <c r="BE179" s="43">
        <f t="shared" si="196"/>
        <v>106.22968065673498</v>
      </c>
      <c r="BF179" s="41" t="str">
        <f t="shared" si="197"/>
        <v>5.82787847701324-0.602458784706067i</v>
      </c>
      <c r="BG179" s="20">
        <f t="shared" si="198"/>
        <v>15.356374204737053</v>
      </c>
      <c r="BH179" s="43">
        <f t="shared" si="199"/>
        <v>-5.9020051064809014</v>
      </c>
      <c r="BI179" s="41" t="str">
        <f t="shared" si="203"/>
        <v>68.4383880422253+31.9461404992449i</v>
      </c>
      <c r="BJ179" s="20">
        <f t="shared" si="200"/>
        <v>37.562075996993336</v>
      </c>
      <c r="BK179" s="43">
        <f t="shared" si="204"/>
        <v>25.022548414376722</v>
      </c>
      <c r="BL179">
        <f t="shared" si="201"/>
        <v>15.356374204737053</v>
      </c>
      <c r="BM179" s="43">
        <f t="shared" si="202"/>
        <v>-5.9020051064809014</v>
      </c>
    </row>
    <row r="180" spans="14:65" x14ac:dyDescent="0.25">
      <c r="N180" s="9">
        <v>62</v>
      </c>
      <c r="O180" s="34">
        <f t="shared" si="154"/>
        <v>416.86938347033572</v>
      </c>
      <c r="P180" s="33" t="str">
        <f t="shared" si="155"/>
        <v>16.5157725627975</v>
      </c>
      <c r="Q180" s="4" t="str">
        <f t="shared" si="156"/>
        <v>1+6.77727900928331i</v>
      </c>
      <c r="R180" s="4">
        <f t="shared" si="168"/>
        <v>6.8506576888406983</v>
      </c>
      <c r="S180" s="4">
        <f t="shared" si="169"/>
        <v>1.4243015215844161</v>
      </c>
      <c r="T180" s="4" t="str">
        <f t="shared" si="157"/>
        <v>1+0.0430869517770965i</v>
      </c>
      <c r="U180" s="4">
        <f t="shared" si="170"/>
        <v>1.0009278122888992</v>
      </c>
      <c r="V180" s="4">
        <f t="shared" si="171"/>
        <v>4.3060318005438532E-2</v>
      </c>
      <c r="W180" t="str">
        <f t="shared" si="158"/>
        <v>1-0.654816896308457i</v>
      </c>
      <c r="X180" s="4">
        <f t="shared" si="172"/>
        <v>1.1953180194789337</v>
      </c>
      <c r="Y180" s="4">
        <f t="shared" si="173"/>
        <v>-0.57975398973776215</v>
      </c>
      <c r="Z180" t="str">
        <f t="shared" si="159"/>
        <v>0.99999640950242+0.0091674365483184i</v>
      </c>
      <c r="AA180" s="4">
        <f t="shared" si="174"/>
        <v>1.0000384297168778</v>
      </c>
      <c r="AB180" s="4">
        <f t="shared" si="175"/>
        <v>9.167212658038373E-3</v>
      </c>
      <c r="AC180" s="47" t="str">
        <f t="shared" si="176"/>
        <v>-1.12150398880131-2.65730158546701i</v>
      </c>
      <c r="AD180" s="20">
        <f t="shared" si="177"/>
        <v>9.200723204732224</v>
      </c>
      <c r="AE180" s="43">
        <f t="shared" si="178"/>
        <v>-112.88199081769476</v>
      </c>
      <c r="AF180" t="str">
        <f t="shared" si="160"/>
        <v>247.084651286898</v>
      </c>
      <c r="AG180" t="str">
        <f t="shared" si="161"/>
        <v>1+6.6276770856604i</v>
      </c>
      <c r="AH180">
        <f t="shared" si="179"/>
        <v>6.7026937533940734</v>
      </c>
      <c r="AI180">
        <f t="shared" si="180"/>
        <v>1.4210434824103746</v>
      </c>
      <c r="AJ180" t="str">
        <f t="shared" si="162"/>
        <v>1+0.0430869517770965i</v>
      </c>
      <c r="AK180">
        <f t="shared" si="181"/>
        <v>1.0009278122888992</v>
      </c>
      <c r="AL180">
        <f t="shared" si="182"/>
        <v>4.3060318005438532E-2</v>
      </c>
      <c r="AM180" t="str">
        <f t="shared" si="163"/>
        <v>1-0.0428028279455277i</v>
      </c>
      <c r="AN180">
        <f t="shared" si="183"/>
        <v>1.0009156218583735</v>
      </c>
      <c r="AO180">
        <f t="shared" si="184"/>
        <v>-4.2776717210376916E-2</v>
      </c>
      <c r="AP180" s="41" t="str">
        <f t="shared" si="185"/>
        <v>5.52030103497719-36.5165700376202i</v>
      </c>
      <c r="AQ180">
        <f t="shared" si="186"/>
        <v>31.347932316458007</v>
      </c>
      <c r="AR180" s="43">
        <f t="shared" si="187"/>
        <v>-81.403544918063915</v>
      </c>
      <c r="AS180" t="str">
        <f t="shared" si="164"/>
        <v>-0.0000166666666666667</v>
      </c>
      <c r="AT180" t="str">
        <f t="shared" si="165"/>
        <v>8.90550978979501E-06i</v>
      </c>
      <c r="AU180">
        <f t="shared" si="188"/>
        <v>8.9055097897950102E-6</v>
      </c>
      <c r="AV180">
        <f t="shared" si="189"/>
        <v>1.5707963267948966</v>
      </c>
      <c r="AW180" t="str">
        <f t="shared" si="166"/>
        <v>1+0.00905033987980207i</v>
      </c>
      <c r="AX180">
        <f t="shared" si="190"/>
        <v>1.000040953487376</v>
      </c>
      <c r="AY180">
        <f t="shared" si="191"/>
        <v>9.0500927915654374E-3</v>
      </c>
      <c r="AZ180" t="str">
        <f t="shared" si="167"/>
        <v>1+0.30771155591327i</v>
      </c>
      <c r="BA180">
        <f t="shared" si="192"/>
        <v>1.0462726230015604</v>
      </c>
      <c r="BB180">
        <f t="shared" si="193"/>
        <v>0.2985165150010059</v>
      </c>
      <c r="BC180" s="41" t="str">
        <f t="shared" si="194"/>
        <v>-0.558898858026169+1.87655879674864i</v>
      </c>
      <c r="BD180">
        <f t="shared" si="195"/>
        <v>5.8363408066030198</v>
      </c>
      <c r="BE180" s="43">
        <f t="shared" si="196"/>
        <v>106.5852043033528</v>
      </c>
      <c r="BF180" s="41" t="str">
        <f t="shared" si="197"/>
        <v>5.61338996443507-0.619405354225147i</v>
      </c>
      <c r="BG180" s="20">
        <f t="shared" si="198"/>
        <v>15.037064011335241</v>
      </c>
      <c r="BH180" s="43">
        <f t="shared" si="199"/>
        <v>-6.2967865143419672</v>
      </c>
      <c r="BI180" s="41" t="str">
        <f t="shared" si="203"/>
        <v>65.4402007867746+30.7682387609456i</v>
      </c>
      <c r="BJ180" s="20">
        <f t="shared" si="200"/>
        <v>37.184273123061033</v>
      </c>
      <c r="BK180" s="43">
        <f t="shared" si="204"/>
        <v>25.181659385288871</v>
      </c>
      <c r="BL180">
        <f t="shared" si="201"/>
        <v>15.037064011335241</v>
      </c>
      <c r="BM180" s="43">
        <f t="shared" si="202"/>
        <v>-6.2967865143419672</v>
      </c>
    </row>
    <row r="181" spans="14:65" x14ac:dyDescent="0.25">
      <c r="N181" s="9">
        <v>63</v>
      </c>
      <c r="O181" s="34">
        <f t="shared" si="154"/>
        <v>426.57951880159294</v>
      </c>
      <c r="P181" s="33" t="str">
        <f t="shared" si="155"/>
        <v>16.5157725627975</v>
      </c>
      <c r="Q181" s="4" t="str">
        <f t="shared" si="156"/>
        <v>1+6.93514211693107i</v>
      </c>
      <c r="R181" s="4">
        <f t="shared" si="168"/>
        <v>7.0068677868239506</v>
      </c>
      <c r="S181" s="4">
        <f t="shared" si="169"/>
        <v>1.4275902290226663</v>
      </c>
      <c r="T181" s="4" t="str">
        <f t="shared" si="157"/>
        <v>1+0.0440905758122416i</v>
      </c>
      <c r="U181" s="4">
        <f t="shared" si="170"/>
        <v>1.0009715175145868</v>
      </c>
      <c r="V181" s="4">
        <f t="shared" si="171"/>
        <v>4.4062038707509348E-2</v>
      </c>
      <c r="W181" t="str">
        <f t="shared" si="158"/>
        <v>1-0.670069541219477i</v>
      </c>
      <c r="X181" s="4">
        <f t="shared" si="172"/>
        <v>1.2037413302159565</v>
      </c>
      <c r="Y181" s="4">
        <f t="shared" si="173"/>
        <v>-0.59035474126434029</v>
      </c>
      <c r="Z181" t="str">
        <f t="shared" si="159"/>
        <v>0.999996240287482+0.00938097357707268i</v>
      </c>
      <c r="AA181" s="4">
        <f t="shared" si="174"/>
        <v>1.0000402408175151</v>
      </c>
      <c r="AB181" s="4">
        <f t="shared" si="175"/>
        <v>9.3807336748355577E-3</v>
      </c>
      <c r="AC181" s="47" t="str">
        <f t="shared" si="176"/>
        <v>-1.13845792014817-2.60178639483995i</v>
      </c>
      <c r="AD181" s="20">
        <f t="shared" si="177"/>
        <v>9.0662477368014258</v>
      </c>
      <c r="AE181" s="43">
        <f t="shared" si="178"/>
        <v>-113.63263768071975</v>
      </c>
      <c r="AF181" t="str">
        <f t="shared" si="160"/>
        <v>247.084651286898</v>
      </c>
      <c r="AG181" t="str">
        <f t="shared" si="161"/>
        <v>1+6.78205551685601i</v>
      </c>
      <c r="AH181">
        <f t="shared" si="179"/>
        <v>6.855383069801209</v>
      </c>
      <c r="AI181">
        <f t="shared" si="180"/>
        <v>1.4244032275614895</v>
      </c>
      <c r="AJ181" t="str">
        <f t="shared" si="162"/>
        <v>1+0.0440905758122416i</v>
      </c>
      <c r="AK181">
        <f t="shared" si="181"/>
        <v>1.0009715175145868</v>
      </c>
      <c r="AL181">
        <f t="shared" si="182"/>
        <v>4.4062038707509348E-2</v>
      </c>
      <c r="AM181" t="str">
        <f t="shared" si="163"/>
        <v>1-0.0437998338864573i</v>
      </c>
      <c r="AN181">
        <f t="shared" si="183"/>
        <v>1.0009587531204676</v>
      </c>
      <c r="AO181">
        <f t="shared" si="184"/>
        <v>-4.3771857176820507E-2</v>
      </c>
      <c r="AP181" s="41" t="str">
        <f t="shared" si="185"/>
        <v>5.27805680188477-35.7242363841551i</v>
      </c>
      <c r="AQ181">
        <f t="shared" si="186"/>
        <v>31.153038843448794</v>
      </c>
      <c r="AR181" s="43">
        <f t="shared" si="187"/>
        <v>-81.59566708708482</v>
      </c>
      <c r="AS181" t="str">
        <f t="shared" si="164"/>
        <v>-0.0000166666666666667</v>
      </c>
      <c r="AT181" t="str">
        <f t="shared" si="165"/>
        <v>9.11294576058488E-06i</v>
      </c>
      <c r="AU181">
        <f t="shared" si="188"/>
        <v>9.1129457605848801E-6</v>
      </c>
      <c r="AV181">
        <f t="shared" si="189"/>
        <v>1.5707963267948966</v>
      </c>
      <c r="AW181" t="str">
        <f t="shared" si="166"/>
        <v>1+0.00926114937676049i</v>
      </c>
      <c r="AX181">
        <f t="shared" si="190"/>
        <v>1.0000428835243911</v>
      </c>
      <c r="AY181">
        <f t="shared" si="191"/>
        <v>9.2608846175580191E-3</v>
      </c>
      <c r="AZ181" t="str">
        <f t="shared" si="167"/>
        <v>1+0.314879078809857i</v>
      </c>
      <c r="BA181">
        <f t="shared" si="192"/>
        <v>1.0484029923040776</v>
      </c>
      <c r="BB181">
        <f t="shared" si="193"/>
        <v>0.30505081494546249</v>
      </c>
      <c r="BC181" s="41" t="str">
        <f t="shared" si="194"/>
        <v>-0.558896700729798+1.83407604395234i</v>
      </c>
      <c r="BD181">
        <f t="shared" si="195"/>
        <v>5.6539918471433017</v>
      </c>
      <c r="BE181" s="43">
        <f t="shared" si="196"/>
        <v>106.94751463025761</v>
      </c>
      <c r="BF181" s="41" t="str">
        <f t="shared" si="197"/>
        <v>5.4081544737476-0.633888566311841i</v>
      </c>
      <c r="BG181" s="20">
        <f t="shared" si="198"/>
        <v>14.720239583944732</v>
      </c>
      <c r="BH181" s="43">
        <f t="shared" si="199"/>
        <v>-6.6851230504621295</v>
      </c>
      <c r="BI181" s="41" t="str">
        <f t="shared" si="203"/>
        <v>62.5710776078316+29.6465153901523i</v>
      </c>
      <c r="BJ181" s="20">
        <f t="shared" si="200"/>
        <v>36.8070306905921</v>
      </c>
      <c r="BK181" s="43">
        <f t="shared" si="204"/>
        <v>25.351847543172834</v>
      </c>
      <c r="BL181">
        <f t="shared" si="201"/>
        <v>14.720239583944732</v>
      </c>
      <c r="BM181" s="43">
        <f t="shared" si="202"/>
        <v>-6.6851230504621295</v>
      </c>
    </row>
    <row r="182" spans="14:65" x14ac:dyDescent="0.25">
      <c r="N182" s="9">
        <v>64</v>
      </c>
      <c r="O182" s="34">
        <f t="shared" si="154"/>
        <v>436.51583224016622</v>
      </c>
      <c r="P182" s="33" t="str">
        <f t="shared" si="155"/>
        <v>16.5157725627975</v>
      </c>
      <c r="Q182" s="4" t="str">
        <f t="shared" si="156"/>
        <v>1+7.09668232872666i</v>
      </c>
      <c r="R182" s="4">
        <f t="shared" si="168"/>
        <v>7.1667914770042849</v>
      </c>
      <c r="S182" s="4">
        <f t="shared" si="169"/>
        <v>1.4308070930602252</v>
      </c>
      <c r="T182" s="4" t="str">
        <f t="shared" si="157"/>
        <v>1+0.0451175772542901i</v>
      </c>
      <c r="U182" s="4">
        <f t="shared" si="170"/>
        <v>1.0010172804588824</v>
      </c>
      <c r="V182" s="4">
        <f t="shared" si="171"/>
        <v>4.508700087372175E-2</v>
      </c>
      <c r="W182" t="str">
        <f t="shared" si="158"/>
        <v>1-0.68567746587067i</v>
      </c>
      <c r="X182" s="4">
        <f t="shared" si="172"/>
        <v>1.2124989019388117</v>
      </c>
      <c r="Y182" s="4">
        <f t="shared" si="173"/>
        <v>-0.60104871003189042</v>
      </c>
      <c r="Z182" t="str">
        <f t="shared" si="159"/>
        <v>0.99999606309769+0.00959948452218937i</v>
      </c>
      <c r="AA182" s="4">
        <f t="shared" si="174"/>
        <v>1.0000421372692108</v>
      </c>
      <c r="AB182" s="4">
        <f t="shared" si="175"/>
        <v>9.5992274628945683E-3</v>
      </c>
      <c r="AC182" s="47" t="str">
        <f t="shared" si="176"/>
        <v>-1.15468137926352-2.54743516416848i</v>
      </c>
      <c r="AD182" s="20">
        <f t="shared" si="177"/>
        <v>8.9335750834059802</v>
      </c>
      <c r="AE182" s="43">
        <f t="shared" si="178"/>
        <v>-114.38346245558569</v>
      </c>
      <c r="AF182" t="str">
        <f t="shared" si="160"/>
        <v>247.084651286898</v>
      </c>
      <c r="AG182" t="str">
        <f t="shared" si="161"/>
        <v>1+6.94002988365777i</v>
      </c>
      <c r="AH182">
        <f t="shared" si="179"/>
        <v>7.011705554717973</v>
      </c>
      <c r="AI182">
        <f t="shared" si="180"/>
        <v>1.4276897152307824</v>
      </c>
      <c r="AJ182" t="str">
        <f t="shared" si="162"/>
        <v>1+0.0451175772542901i</v>
      </c>
      <c r="AK182">
        <f t="shared" si="181"/>
        <v>1.0010172804588824</v>
      </c>
      <c r="AL182">
        <f t="shared" si="182"/>
        <v>4.508700087372175E-2</v>
      </c>
      <c r="AM182" t="str">
        <f t="shared" si="163"/>
        <v>1-0.0448200630790728i</v>
      </c>
      <c r="AN182">
        <f t="shared" si="183"/>
        <v>1.0010039151044376</v>
      </c>
      <c r="AO182">
        <f t="shared" si="184"/>
        <v>-4.4790087118125675E-2</v>
      </c>
      <c r="AP182" s="41" t="str">
        <f t="shared" si="185"/>
        <v>5.04626137677964-34.9476935693622i</v>
      </c>
      <c r="AQ182">
        <f t="shared" si="186"/>
        <v>30.95798897392406</v>
      </c>
      <c r="AR182" s="43">
        <f t="shared" si="187"/>
        <v>-81.783583231883156</v>
      </c>
      <c r="AS182" t="str">
        <f t="shared" si="164"/>
        <v>-0.0000166666666666667</v>
      </c>
      <c r="AT182" t="str">
        <f t="shared" si="165"/>
        <v>9.32521353584112E-06i</v>
      </c>
      <c r="AU182">
        <f t="shared" si="188"/>
        <v>9.3252135358411204E-6</v>
      </c>
      <c r="AV182">
        <f t="shared" si="189"/>
        <v>1.5707963267948966</v>
      </c>
      <c r="AW182" t="str">
        <f t="shared" si="166"/>
        <v>1+0.00947686925770427i</v>
      </c>
      <c r="AX182">
        <f t="shared" si="190"/>
        <v>1.0000449045172559</v>
      </c>
      <c r="AY182">
        <f t="shared" si="191"/>
        <v>9.4765855637955754E-3</v>
      </c>
      <c r="AZ182" t="str">
        <f t="shared" si="167"/>
        <v>1+0.322213554761945i</v>
      </c>
      <c r="BA182">
        <f t="shared" si="192"/>
        <v>1.0506291328876851</v>
      </c>
      <c r="BB182">
        <f t="shared" si="193"/>
        <v>0.3117095940396839</v>
      </c>
      <c r="BC182" s="41" t="str">
        <f t="shared" si="194"/>
        <v>-0.558894441781026+1.79256574066792i</v>
      </c>
      <c r="BD182">
        <f t="shared" si="195"/>
        <v>5.4723980410480557</v>
      </c>
      <c r="BE182" s="43">
        <f t="shared" si="196"/>
        <v>107.31667581521006</v>
      </c>
      <c r="BF182" s="41" t="str">
        <f t="shared" si="197"/>
        <v>5.21179000675961-0.646094927803669i</v>
      </c>
      <c r="BG182" s="20">
        <f t="shared" si="198"/>
        <v>14.405973124454043</v>
      </c>
      <c r="BH182" s="43">
        <f t="shared" si="199"/>
        <v>-7.0667866403756294</v>
      </c>
      <c r="BI182" s="41" t="str">
        <f t="shared" si="203"/>
        <v>59.8257107725429+28.577826951454i</v>
      </c>
      <c r="BJ182" s="20">
        <f t="shared" si="200"/>
        <v>36.430387014972126</v>
      </c>
      <c r="BK182" s="43">
        <f t="shared" si="204"/>
        <v>25.533092583326933</v>
      </c>
      <c r="BL182">
        <f t="shared" si="201"/>
        <v>14.405973124454043</v>
      </c>
      <c r="BM182" s="43">
        <f t="shared" si="202"/>
        <v>-7.0667866403756294</v>
      </c>
    </row>
    <row r="183" spans="14:65" x14ac:dyDescent="0.25">
      <c r="N183" s="9">
        <v>65</v>
      </c>
      <c r="O183" s="34">
        <f t="shared" si="154"/>
        <v>446.68359215096331</v>
      </c>
      <c r="P183" s="33" t="str">
        <f t="shared" si="155"/>
        <v>16.5157725627975</v>
      </c>
      <c r="Q183" s="4" t="str">
        <f t="shared" si="156"/>
        <v>1+7.26198529542865i</v>
      </c>
      <c r="R183" s="4">
        <f t="shared" si="168"/>
        <v>7.330513653968727</v>
      </c>
      <c r="S183" s="4">
        <f t="shared" si="169"/>
        <v>1.433953552871396</v>
      </c>
      <c r="T183" s="4" t="str">
        <f t="shared" si="157"/>
        <v>1+0.0461685006330006i</v>
      </c>
      <c r="U183" s="4">
        <f t="shared" si="170"/>
        <v>1.0010651979020644</v>
      </c>
      <c r="V183" s="4">
        <f t="shared" si="171"/>
        <v>4.6135739333508646E-2</v>
      </c>
      <c r="W183" t="str">
        <f t="shared" si="158"/>
        <v>1-0.701648945790282i</v>
      </c>
      <c r="X183" s="4">
        <f t="shared" si="172"/>
        <v>1.2216019167996643</v>
      </c>
      <c r="Y183" s="4">
        <f t="shared" si="173"/>
        <v>-0.61183178231838986</v>
      </c>
      <c r="Z183" t="str">
        <f t="shared" si="159"/>
        <v>0.9999958775572+0.00982308524106395i</v>
      </c>
      <c r="AA183" s="4">
        <f t="shared" si="174"/>
        <v>1.0000441230941002</v>
      </c>
      <c r="AB183" s="4">
        <f t="shared" si="175"/>
        <v>9.8228097977218418E-3</v>
      </c>
      <c r="AC183" s="47" t="str">
        <f t="shared" si="176"/>
        <v>-1.1702047511843-2.49423290483604i</v>
      </c>
      <c r="AD183" s="20">
        <f t="shared" si="177"/>
        <v>8.802747869300072</v>
      </c>
      <c r="AE183" s="43">
        <f t="shared" si="178"/>
        <v>-115.13428789197452</v>
      </c>
      <c r="AF183" t="str">
        <f t="shared" si="160"/>
        <v>247.084651286898</v>
      </c>
      <c r="AG183" t="str">
        <f t="shared" si="161"/>
        <v>1+7.10168394616602i</v>
      </c>
      <c r="AH183">
        <f t="shared" si="179"/>
        <v>7.1717442000696163</v>
      </c>
      <c r="AI183">
        <f t="shared" si="180"/>
        <v>1.4309044038308627</v>
      </c>
      <c r="AJ183" t="str">
        <f t="shared" si="162"/>
        <v>1+0.0461685006330006i</v>
      </c>
      <c r="AK183">
        <f t="shared" si="181"/>
        <v>1.0010651979020644</v>
      </c>
      <c r="AL183">
        <f t="shared" si="182"/>
        <v>4.6135739333508646E-2</v>
      </c>
      <c r="AM183" t="str">
        <f t="shared" si="163"/>
        <v>1-0.0458640564623966i</v>
      </c>
      <c r="AN183">
        <f t="shared" si="183"/>
        <v>1.0010512033233794</v>
      </c>
      <c r="AO183">
        <f t="shared" si="184"/>
        <v>-4.5831938462934173E-2</v>
      </c>
      <c r="AP183" s="41" t="str">
        <f t="shared" si="185"/>
        <v>4.82448323841318-34.1867316810559i</v>
      </c>
      <c r="AQ183">
        <f t="shared" si="186"/>
        <v>30.762792654153319</v>
      </c>
      <c r="AR183" s="43">
        <f t="shared" si="187"/>
        <v>-81.967376718495302</v>
      </c>
      <c r="AS183" t="str">
        <f t="shared" si="164"/>
        <v>-0.0000166666666666667</v>
      </c>
      <c r="AT183" t="str">
        <f t="shared" si="165"/>
        <v>9.54242566274785E-06i</v>
      </c>
      <c r="AU183">
        <f t="shared" si="188"/>
        <v>9.5424256627478501E-6</v>
      </c>
      <c r="AV183">
        <f t="shared" si="189"/>
        <v>1.5707963267948966</v>
      </c>
      <c r="AW183" t="str">
        <f t="shared" si="166"/>
        <v>1+0.00969761390016969i</v>
      </c>
      <c r="AX183">
        <f t="shared" si="190"/>
        <v>1.0000470207522028</v>
      </c>
      <c r="AY183">
        <f t="shared" si="191"/>
        <v>9.6973099174416811E-3</v>
      </c>
      <c r="AZ183" t="str">
        <f t="shared" si="167"/>
        <v>1+0.329718872605769i</v>
      </c>
      <c r="BA183">
        <f t="shared" si="192"/>
        <v>1.0529551438463176</v>
      </c>
      <c r="BB183">
        <f t="shared" si="193"/>
        <v>0.31849402005662247</v>
      </c>
      <c r="BC183" s="41" t="str">
        <f t="shared" si="194"/>
        <v>-0.558892076390853+1.75200587744845i</v>
      </c>
      <c r="BD183">
        <f t="shared" si="195"/>
        <v>5.2915882873672517</v>
      </c>
      <c r="BE183" s="43">
        <f t="shared" si="196"/>
        <v>107.69274821849964</v>
      </c>
      <c r="BF183" s="41" t="str">
        <f t="shared" si="197"/>
        <v>5.0239288721899-0.656198594706791i</v>
      </c>
      <c r="BG183" s="20">
        <f t="shared" si="198"/>
        <v>14.094336156667325</v>
      </c>
      <c r="BH183" s="43">
        <f t="shared" si="199"/>
        <v>-7.4415396734748613</v>
      </c>
      <c r="BI183" s="41" t="str">
        <f t="shared" si="203"/>
        <v>57.1989893813335+27.5592164435937i</v>
      </c>
      <c r="BJ183" s="20">
        <f t="shared" si="200"/>
        <v>36.05438094152057</v>
      </c>
      <c r="BK183" s="43">
        <f t="shared" si="204"/>
        <v>25.725371500004336</v>
      </c>
      <c r="BL183">
        <f t="shared" si="201"/>
        <v>14.094336156667325</v>
      </c>
      <c r="BM183" s="43">
        <f t="shared" si="202"/>
        <v>-7.4415396734748613</v>
      </c>
    </row>
    <row r="184" spans="14:65" x14ac:dyDescent="0.25">
      <c r="N184" s="9">
        <v>66</v>
      </c>
      <c r="O184" s="34">
        <f t="shared" ref="O184:O218" si="205">10^(2+(N184/100))</f>
        <v>457.0881896148756</v>
      </c>
      <c r="P184" s="33" t="str">
        <f t="shared" si="155"/>
        <v>16.5157725627975</v>
      </c>
      <c r="Q184" s="4" t="str">
        <f t="shared" si="156"/>
        <v>1+7.43113866285803i</v>
      </c>
      <c r="R184" s="4">
        <f t="shared" si="168"/>
        <v>7.4981212197872233</v>
      </c>
      <c r="S184" s="4">
        <f t="shared" si="169"/>
        <v>1.4370310274151104</v>
      </c>
      <c r="T184" s="4" t="str">
        <f t="shared" si="157"/>
        <v>1+0.0472439031618591i</v>
      </c>
      <c r="U184" s="4">
        <f t="shared" si="170"/>
        <v>1.0011153711665639</v>
      </c>
      <c r="V184" s="4">
        <f t="shared" si="171"/>
        <v>4.7208800908972857E-2</v>
      </c>
      <c r="W184" t="str">
        <f t="shared" si="158"/>
        <v>1-0.717992449268375i</v>
      </c>
      <c r="X184" s="4">
        <f t="shared" si="172"/>
        <v>1.2310618007258614</v>
      </c>
      <c r="Y184" s="4">
        <f t="shared" si="173"/>
        <v>-0.62269964513847942</v>
      </c>
      <c r="Z184" t="str">
        <f t="shared" si="159"/>
        <v>0.999995683272457+0.0100518942897572i</v>
      </c>
      <c r="AA184" s="4">
        <f t="shared" si="174"/>
        <v>1.0000462025038446</v>
      </c>
      <c r="AB184" s="4">
        <f t="shared" si="175"/>
        <v>1.0051599147633383E-2</v>
      </c>
      <c r="AC184" s="47" t="str">
        <f t="shared" si="176"/>
        <v>-1.18505727709146-2.44216437271804i</v>
      </c>
      <c r="AD184" s="20">
        <f t="shared" si="177"/>
        <v>8.6738071300811885</v>
      </c>
      <c r="AE184" s="43">
        <f t="shared" si="178"/>
        <v>-115.88492363152255</v>
      </c>
      <c r="AF184" t="str">
        <f t="shared" si="160"/>
        <v>247.084651286898</v>
      </c>
      <c r="AG184" t="str">
        <f t="shared" si="161"/>
        <v>1+7.26710341550442i</v>
      </c>
      <c r="AH184">
        <f t="shared" si="179"/>
        <v>7.3355839611878224</v>
      </c>
      <c r="AI184">
        <f t="shared" si="180"/>
        <v>1.4340487319227704</v>
      </c>
      <c r="AJ184" t="str">
        <f t="shared" si="162"/>
        <v>1+0.0472439031618591i</v>
      </c>
      <c r="AK184">
        <f t="shared" si="181"/>
        <v>1.0011153711665639</v>
      </c>
      <c r="AL184">
        <f t="shared" si="182"/>
        <v>4.7208800908972857E-2</v>
      </c>
      <c r="AM184" t="str">
        <f t="shared" si="163"/>
        <v>1-0.0469323675755392i</v>
      </c>
      <c r="AN184">
        <f t="shared" si="183"/>
        <v>1.0011007177733144</v>
      </c>
      <c r="AO184">
        <f t="shared" si="184"/>
        <v>-4.6897954562415342E-2</v>
      </c>
      <c r="AP184" s="41" t="str">
        <f t="shared" si="185"/>
        <v>4.61230702737104-33.4411364902538i</v>
      </c>
      <c r="AQ184">
        <f t="shared" si="186"/>
        <v>30.567459565414911</v>
      </c>
      <c r="AR184" s="43">
        <f t="shared" si="187"/>
        <v>-82.147129771527545</v>
      </c>
      <c r="AS184" t="str">
        <f t="shared" si="164"/>
        <v>-0.0000166666666666667</v>
      </c>
      <c r="AT184" t="str">
        <f t="shared" si="165"/>
        <v>9.76469731004991E-06i</v>
      </c>
      <c r="AU184">
        <f t="shared" si="188"/>
        <v>9.7646973100499102E-6</v>
      </c>
      <c r="AV184">
        <f t="shared" si="189"/>
        <v>1.5707963267948966</v>
      </c>
      <c r="AW184" t="str">
        <f t="shared" si="166"/>
        <v>1+0.00992350034588808i</v>
      </c>
      <c r="AX184">
        <f t="shared" si="190"/>
        <v>1.0000492367174303</v>
      </c>
      <c r="AY184">
        <f t="shared" si="191"/>
        <v>9.9231746233926828E-3</v>
      </c>
      <c r="AZ184" t="str">
        <f t="shared" si="167"/>
        <v>1+0.337399011760195i</v>
      </c>
      <c r="BA184">
        <f t="shared" si="192"/>
        <v>1.0553852818458083</v>
      </c>
      <c r="BB184">
        <f t="shared" si="193"/>
        <v>0.32540519111669092</v>
      </c>
      <c r="BC184" s="41" t="str">
        <f t="shared" si="194"/>
        <v>-0.558889599544736+1.71237494877324i</v>
      </c>
      <c r="BD184">
        <f t="shared" si="195"/>
        <v>5.1115922964527556</v>
      </c>
      <c r="BE184" s="43">
        <f t="shared" si="196"/>
        <v>108.07578805734259</v>
      </c>
      <c r="BF184" s="41" t="str">
        <f t="shared" si="197"/>
        <v>4.84421727966011-0.664362125862037i</v>
      </c>
      <c r="BG184" s="20">
        <f t="shared" si="198"/>
        <v>13.785399426533949</v>
      </c>
      <c r="BH184" s="43">
        <f t="shared" si="199"/>
        <v>-7.8091355741799608</v>
      </c>
      <c r="BI184" s="41" t="str">
        <f t="shared" si="203"/>
        <v>54.6859939569125+26.5879023910797i</v>
      </c>
      <c r="BJ184" s="20">
        <f t="shared" si="200"/>
        <v>35.679051861867663</v>
      </c>
      <c r="BK184" s="43">
        <f t="shared" si="204"/>
        <v>25.928658285815015</v>
      </c>
      <c r="BL184">
        <f t="shared" si="201"/>
        <v>13.785399426533949</v>
      </c>
      <c r="BM184" s="43">
        <f t="shared" si="202"/>
        <v>-7.8091355741799608</v>
      </c>
    </row>
    <row r="185" spans="14:65" x14ac:dyDescent="0.25">
      <c r="N185" s="9">
        <v>67</v>
      </c>
      <c r="O185" s="34">
        <f t="shared" si="205"/>
        <v>467.7351412871983</v>
      </c>
      <c r="P185" s="33" t="str">
        <f t="shared" si="155"/>
        <v>16.5157725627975</v>
      </c>
      <c r="Q185" s="4" t="str">
        <f t="shared" si="156"/>
        <v>1+7.60423211836919i</v>
      </c>
      <c r="R185" s="4">
        <f t="shared" si="168"/>
        <v>7.6697031305023513</v>
      </c>
      <c r="S185" s="4">
        <f t="shared" si="169"/>
        <v>1.4400409151158129</v>
      </c>
      <c r="T185" s="4" t="str">
        <f t="shared" si="157"/>
        <v>1+0.0483443550335209i</v>
      </c>
      <c r="U185" s="4">
        <f t="shared" si="170"/>
        <v>1.0011679063292067</v>
      </c>
      <c r="V185" s="4">
        <f t="shared" si="171"/>
        <v>4.8306744661233691E-2</v>
      </c>
      <c r="W185" t="str">
        <f t="shared" si="158"/>
        <v>1-0.734716641846823i</v>
      </c>
      <c r="X185" s="4">
        <f t="shared" si="172"/>
        <v>1.2408902223027922</v>
      </c>
      <c r="Y185" s="4">
        <f t="shared" si="173"/>
        <v>-0.63364779207854904</v>
      </c>
      <c r="Z185" t="str">
        <f t="shared" si="159"/>
        <v>0.999995479831356+0.0102860329858555i</v>
      </c>
      <c r="AA185" s="4">
        <f t="shared" si="174"/>
        <v>1.0000483799085573</v>
      </c>
      <c r="AB185" s="4">
        <f t="shared" si="175"/>
        <v>1.0285716736196444E-2</v>
      </c>
      <c r="AC185" s="47" t="str">
        <f t="shared" si="176"/>
        <v>-1.19926708797307-2.39121411169362i</v>
      </c>
      <c r="AD185" s="20">
        <f t="shared" si="177"/>
        <v>8.5467922138381809</v>
      </c>
      <c r="AE185" s="43">
        <f t="shared" si="178"/>
        <v>-116.6351665133232</v>
      </c>
      <c r="AF185" t="str">
        <f t="shared" si="160"/>
        <v>247.084651286898</v>
      </c>
      <c r="AG185" t="str">
        <f t="shared" si="161"/>
        <v>1+7.4363759992652i</v>
      </c>
      <c r="AH185">
        <f t="shared" si="179"/>
        <v>7.5033118022942054</v>
      </c>
      <c r="AI185">
        <f t="shared" si="180"/>
        <v>1.4371241178415848</v>
      </c>
      <c r="AJ185" t="str">
        <f t="shared" si="162"/>
        <v>1+0.0483443550335209i</v>
      </c>
      <c r="AK185">
        <f t="shared" si="181"/>
        <v>1.0011679063292067</v>
      </c>
      <c r="AL185">
        <f t="shared" si="182"/>
        <v>4.8306744661233691E-2</v>
      </c>
      <c r="AM185" t="str">
        <f t="shared" si="163"/>
        <v>1-0.0480255628511938i</v>
      </c>
      <c r="AN185">
        <f t="shared" si="183"/>
        <v>1.0011525631426881</v>
      </c>
      <c r="AO185">
        <f t="shared" si="184"/>
        <v>-4.7988690935620158E-2</v>
      </c>
      <c r="AP185" s="41" t="str">
        <f t="shared" si="185"/>
        <v>4.40933308678807-32.7106900841535i</v>
      </c>
      <c r="AQ185">
        <f t="shared" si="186"/>
        <v>30.371999140495966</v>
      </c>
      <c r="AR185" s="43">
        <f t="shared" si="187"/>
        <v>-82.322923452648311</v>
      </c>
      <c r="AS185" t="str">
        <f t="shared" si="164"/>
        <v>-0.0000166666666666667</v>
      </c>
      <c r="AT185" t="str">
        <f t="shared" si="165"/>
        <v>9.99214632911679E-06i</v>
      </c>
      <c r="AU185">
        <f t="shared" si="188"/>
        <v>9.9921463291167892E-6</v>
      </c>
      <c r="AV185">
        <f t="shared" si="189"/>
        <v>1.5707963267948966</v>
      </c>
      <c r="AW185" t="str">
        <f t="shared" si="166"/>
        <v>1+0.0101546483628429i</v>
      </c>
      <c r="AX185">
        <f t="shared" si="190"/>
        <v>1.0000515571126185</v>
      </c>
      <c r="AY185">
        <f t="shared" si="191"/>
        <v>1.015429934587273E-2</v>
      </c>
      <c r="AZ185" t="str">
        <f t="shared" si="167"/>
        <v>1+0.345258044336659i</v>
      </c>
      <c r="BA185">
        <f t="shared" si="192"/>
        <v>1.057923965689016</v>
      </c>
      <c r="BB185">
        <f t="shared" si="193"/>
        <v>0.33244412987102295</v>
      </c>
      <c r="BC185" s="41" t="str">
        <f t="shared" si="194"/>
        <v>-0.558887005991986+1.67365194164472i</v>
      </c>
      <c r="BD185">
        <f t="shared" si="195"/>
        <v>4.9324405871993529</v>
      </c>
      <c r="BE185" s="43">
        <f t="shared" si="196"/>
        <v>108.46584706907761</v>
      </c>
      <c r="BF185" s="41" t="str">
        <f t="shared" si="197"/>
        <v>4.67231493310628-0.670737194766504i</v>
      </c>
      <c r="BG185" s="20">
        <f t="shared" si="198"/>
        <v>13.479232801037536</v>
      </c>
      <c r="BH185" s="43">
        <f t="shared" si="199"/>
        <v>-8.1693194442455646</v>
      </c>
      <c r="BI185" s="41" t="str">
        <f t="shared" si="203"/>
        <v>52.2819910045858+25.6612685271255i</v>
      </c>
      <c r="BJ185" s="20">
        <f t="shared" si="200"/>
        <v>35.304439727695318</v>
      </c>
      <c r="BK185" s="43">
        <f t="shared" si="204"/>
        <v>26.142923616429346</v>
      </c>
      <c r="BL185">
        <f t="shared" si="201"/>
        <v>13.479232801037536</v>
      </c>
      <c r="BM185" s="43">
        <f t="shared" si="202"/>
        <v>-8.1693194442455646</v>
      </c>
    </row>
    <row r="186" spans="14:65" x14ac:dyDescent="0.25">
      <c r="N186" s="9">
        <v>68</v>
      </c>
      <c r="O186" s="34">
        <f t="shared" si="205"/>
        <v>478.63009232263886</v>
      </c>
      <c r="P186" s="33" t="str">
        <f t="shared" si="155"/>
        <v>16.5157725627975</v>
      </c>
      <c r="Q186" s="4" t="str">
        <f t="shared" si="156"/>
        <v>1+7.78135743840343i</v>
      </c>
      <c r="R186" s="4">
        <f t="shared" si="168"/>
        <v>7.8453504436829578</v>
      </c>
      <c r="S186" s="4">
        <f t="shared" si="169"/>
        <v>1.4429845935975798</v>
      </c>
      <c r="T186" s="4" t="str">
        <f t="shared" si="157"/>
        <v>1+0.0494704397221348i</v>
      </c>
      <c r="U186" s="4">
        <f t="shared" si="170"/>
        <v>1.0012229144432829</v>
      </c>
      <c r="V186" s="4">
        <f t="shared" si="171"/>
        <v>4.9430142140184541E-2</v>
      </c>
      <c r="W186" t="str">
        <f t="shared" si="158"/>
        <v>1-0.751830390913903i</v>
      </c>
      <c r="X186" s="4">
        <f t="shared" si="172"/>
        <v>1.2510990914798683</v>
      </c>
      <c r="Y186" s="4">
        <f t="shared" si="173"/>
        <v>-0.6446715301255499</v>
      </c>
      <c r="Z186" t="str">
        <f t="shared" si="159"/>
        <v>0.99999526680237+0.0105256254727946i</v>
      </c>
      <c r="AA186" s="4">
        <f t="shared" si="174"/>
        <v>1.0000506599261543</v>
      </c>
      <c r="AB186" s="4">
        <f t="shared" si="175"/>
        <v>1.0525286606104651E-2</v>
      </c>
      <c r="AC186" s="47" t="str">
        <f t="shared" si="176"/>
        <v>-1.21286123822302-2.34136649422701i</v>
      </c>
      <c r="AD186" s="20">
        <f t="shared" si="177"/>
        <v>8.4217406846380811</v>
      </c>
      <c r="AE186" s="43">
        <f t="shared" si="178"/>
        <v>-117.3848009393076</v>
      </c>
      <c r="AF186" t="str">
        <f t="shared" si="160"/>
        <v>247.084651286898</v>
      </c>
      <c r="AG186" t="str">
        <f t="shared" si="161"/>
        <v>1+7.60959144801287i</v>
      </c>
      <c r="AH186">
        <f t="shared" si="179"/>
        <v>7.6750167430221676</v>
      </c>
      <c r="AI186">
        <f t="shared" si="180"/>
        <v>1.4401319593789925</v>
      </c>
      <c r="AJ186" t="str">
        <f t="shared" si="162"/>
        <v>1+0.0494704397221348i</v>
      </c>
      <c r="AK186">
        <f t="shared" si="181"/>
        <v>1.0012229144432829</v>
      </c>
      <c r="AL186">
        <f t="shared" si="182"/>
        <v>4.9430142140184541E-2</v>
      </c>
      <c r="AM186" t="str">
        <f t="shared" si="163"/>
        <v>1-0.0491442219159655i</v>
      </c>
      <c r="AN186">
        <f t="shared" si="183"/>
        <v>1.0012068490315702</v>
      </c>
      <c r="AO186">
        <f t="shared" si="184"/>
        <v>-4.9104715518265445E-2</v>
      </c>
      <c r="AP186" s="41" t="str">
        <f t="shared" si="185"/>
        <v>4.21517700245238-31.9951714568412i</v>
      </c>
      <c r="AQ186">
        <f t="shared" si="186"/>
        <v>30.176420579983127</v>
      </c>
      <c r="AR186" s="43">
        <f t="shared" si="187"/>
        <v>-82.494837642344805</v>
      </c>
      <c r="AS186" t="str">
        <f t="shared" si="164"/>
        <v>-0.0000166666666666667</v>
      </c>
      <c r="AT186" t="str">
        <f t="shared" si="165"/>
        <v>0.0000102248933164291i</v>
      </c>
      <c r="AU186">
        <f t="shared" si="188"/>
        <v>1.02248933164291E-5</v>
      </c>
      <c r="AV186">
        <f t="shared" si="189"/>
        <v>1.5707963267948966</v>
      </c>
      <c r="AW186" t="str">
        <f t="shared" si="166"/>
        <v>1+0.0103911805087724i</v>
      </c>
      <c r="AX186">
        <f t="shared" si="190"/>
        <v>1.0000539868588925</v>
      </c>
      <c r="AY186">
        <f t="shared" si="191"/>
        <v>1.0390806531441374E-2</v>
      </c>
      <c r="AZ186" t="str">
        <f t="shared" si="167"/>
        <v>1+0.353300137298261i</v>
      </c>
      <c r="BA186">
        <f t="shared" si="192"/>
        <v>1.0605757808921388</v>
      </c>
      <c r="BB186">
        <f t="shared" si="193"/>
        <v>0.3396117774996994</v>
      </c>
      <c r="BC186" s="41" t="str">
        <f t="shared" si="194"/>
        <v>-0.558884290234658+1.63581632444625i</v>
      </c>
      <c r="BD186">
        <f t="shared" si="195"/>
        <v>4.7541644816621602</v>
      </c>
      <c r="BE186" s="43">
        <f t="shared" si="196"/>
        <v>108.86297216368011</v>
      </c>
      <c r="BF186" s="41" t="str">
        <f t="shared" si="197"/>
        <v>4.50789462504543-0.675465261468036i</v>
      </c>
      <c r="BG186" s="20">
        <f t="shared" si="198"/>
        <v>13.175905166300241</v>
      </c>
      <c r="BH186" s="43">
        <f t="shared" si="199"/>
        <v>-8.5218287756274851</v>
      </c>
      <c r="BI186" s="41" t="str">
        <f t="shared" si="203"/>
        <v>49.9824275653285+24.7768540416349i</v>
      </c>
      <c r="BJ186" s="20">
        <f t="shared" si="200"/>
        <v>34.930585061645289</v>
      </c>
      <c r="BK186" s="43">
        <f t="shared" si="204"/>
        <v>26.368134521335314</v>
      </c>
      <c r="BL186">
        <f t="shared" si="201"/>
        <v>13.175905166300241</v>
      </c>
      <c r="BM186" s="43">
        <f t="shared" si="202"/>
        <v>-8.5218287756274851</v>
      </c>
    </row>
    <row r="187" spans="14:65" x14ac:dyDescent="0.25">
      <c r="N187" s="9">
        <v>69</v>
      </c>
      <c r="O187" s="34">
        <f t="shared" si="205"/>
        <v>489.77881936844625</v>
      </c>
      <c r="P187" s="33" t="str">
        <f t="shared" si="155"/>
        <v>16.5157725627975</v>
      </c>
      <c r="Q187" s="4" t="str">
        <f t="shared" si="156"/>
        <v>1+7.96260853714996i</v>
      </c>
      <c r="R187" s="4">
        <f t="shared" si="168"/>
        <v>8.0251563670680852</v>
      </c>
      <c r="S187" s="4">
        <f t="shared" si="169"/>
        <v>1.4458634194678062</v>
      </c>
      <c r="T187" s="4" t="str">
        <f t="shared" si="157"/>
        <v>1+0.0506227542927081i</v>
      </c>
      <c r="U187" s="4">
        <f t="shared" si="170"/>
        <v>1.0012805117708923</v>
      </c>
      <c r="V187" s="4">
        <f t="shared" si="171"/>
        <v>5.0579577637576444E-2</v>
      </c>
      <c r="W187" t="str">
        <f t="shared" si="158"/>
        <v>1-0.769342770405897i</v>
      </c>
      <c r="X187" s="4">
        <f t="shared" si="172"/>
        <v>1.2617005581261431</v>
      </c>
      <c r="Y187" s="4">
        <f t="shared" si="173"/>
        <v>-0.65576598748352477</v>
      </c>
      <c r="Z187" t="str">
        <f t="shared" si="159"/>
        <v>0.999995043733638+0.0107707987856826i</v>
      </c>
      <c r="AA187" s="4">
        <f t="shared" si="174"/>
        <v>1.0000530473921483</v>
      </c>
      <c r="AB187" s="4">
        <f t="shared" si="175"/>
        <v>1.0770435684520274E-2</v>
      </c>
      <c r="AC187" s="47" t="str">
        <f t="shared" si="176"/>
        <v>-1.22586573906986-2.29260575916565i</v>
      </c>
      <c r="AD187" s="20">
        <f t="shared" si="177"/>
        <v>8.2986882286264674</v>
      </c>
      <c r="AE187" s="43">
        <f t="shared" si="178"/>
        <v>-118.13359929894631</v>
      </c>
      <c r="AF187" t="str">
        <f t="shared" si="160"/>
        <v>247.084651286898</v>
      </c>
      <c r="AG187" t="str">
        <f t="shared" si="161"/>
        <v>1+7.78684160287114i</v>
      </c>
      <c r="AH187">
        <f t="shared" si="179"/>
        <v>7.8507899060033939</v>
      </c>
      <c r="AI187">
        <f t="shared" si="180"/>
        <v>1.4430736335189756</v>
      </c>
      <c r="AJ187" t="str">
        <f t="shared" si="162"/>
        <v>1+0.0506227542927081i</v>
      </c>
      <c r="AK187">
        <f t="shared" si="181"/>
        <v>1.0012805117708923</v>
      </c>
      <c r="AL187">
        <f t="shared" si="182"/>
        <v>5.0579577637576444E-2</v>
      </c>
      <c r="AM187" t="str">
        <f t="shared" si="163"/>
        <v>1-0.0502889378976978i</v>
      </c>
      <c r="AN187">
        <f t="shared" si="183"/>
        <v>1.0012636901810024</v>
      </c>
      <c r="AO187">
        <f t="shared" si="184"/>
        <v>-5.0246608914872148E-2</v>
      </c>
      <c r="AP187" s="41" t="str">
        <f t="shared" si="185"/>
        <v>4.02946914391812-31.2943570597922i</v>
      </c>
      <c r="AQ187">
        <f t="shared" si="186"/>
        <v>29.980732868353265</v>
      </c>
      <c r="AR187" s="43">
        <f t="shared" si="187"/>
        <v>-82.662951024724975</v>
      </c>
      <c r="AS187" t="str">
        <f t="shared" si="164"/>
        <v>-0.0000166666666666667</v>
      </c>
      <c r="AT187" t="str">
        <f t="shared" si="165"/>
        <v>0.0000104630616775202i</v>
      </c>
      <c r="AU187">
        <f t="shared" si="188"/>
        <v>1.0463061677520201E-5</v>
      </c>
      <c r="AV187">
        <f t="shared" si="189"/>
        <v>1.5707963267948966</v>
      </c>
      <c r="AW187" t="str">
        <f t="shared" si="166"/>
        <v>1+0.0106332221961512i</v>
      </c>
      <c r="AX187">
        <f t="shared" si="190"/>
        <v>1.0000565311092533</v>
      </c>
      <c r="AY187">
        <f t="shared" si="191"/>
        <v>1.0632821473444689E-2</v>
      </c>
      <c r="AZ187" t="str">
        <f t="shared" si="167"/>
        <v>1+0.361529554669139i</v>
      </c>
      <c r="BA187">
        <f t="shared" si="192"/>
        <v>1.0633454842614727</v>
      </c>
      <c r="BB187">
        <f t="shared" si="193"/>
        <v>0.34690898753608979</v>
      </c>
      <c r="BC187" s="41" t="str">
        <f t="shared" si="194"/>
        <v>-0.558881446515921+1.59884803605526i</v>
      </c>
      <c r="BD187">
        <f t="shared" si="195"/>
        <v>4.5767960968482013</v>
      </c>
      <c r="BE187" s="43">
        <f t="shared" si="196"/>
        <v>109.26720506622995</v>
      </c>
      <c r="BF187" s="41" t="str">
        <f t="shared" si="197"/>
        <v>4.35064183297665-0.678678206406046i</v>
      </c>
      <c r="BG187" s="20">
        <f t="shared" si="198"/>
        <v>12.87548432547467</v>
      </c>
      <c r="BH187" s="43">
        <f t="shared" si="199"/>
        <v>-8.8663942327163578</v>
      </c>
      <c r="BI187" s="41" t="str">
        <f t="shared" si="203"/>
        <v>47.7829257808166+23.9323443684611i</v>
      </c>
      <c r="BJ187" s="20">
        <f t="shared" si="200"/>
        <v>34.557528965201463</v>
      </c>
      <c r="BK187" s="43">
        <f t="shared" si="204"/>
        <v>26.604254041504937</v>
      </c>
      <c r="BL187">
        <f t="shared" si="201"/>
        <v>12.87548432547467</v>
      </c>
      <c r="BM187" s="43">
        <f t="shared" si="202"/>
        <v>-8.8663942327163578</v>
      </c>
    </row>
    <row r="188" spans="14:65" x14ac:dyDescent="0.25">
      <c r="N188" s="9">
        <v>70</v>
      </c>
      <c r="O188" s="34">
        <f t="shared" si="205"/>
        <v>501.18723362727269</v>
      </c>
      <c r="P188" s="33" t="str">
        <f t="shared" si="155"/>
        <v>16.5157725627975</v>
      </c>
      <c r="Q188" s="4" t="str">
        <f t="shared" si="156"/>
        <v>1+8.14808151634045i</v>
      </c>
      <c r="R188" s="4">
        <f t="shared" si="168"/>
        <v>8.2092163083286387</v>
      </c>
      <c r="S188" s="4">
        <f t="shared" si="169"/>
        <v>1.4486787281469931</v>
      </c>
      <c r="T188" s="4" t="str">
        <f t="shared" si="157"/>
        <v>1+0.0518019097176786i</v>
      </c>
      <c r="U188" s="4">
        <f t="shared" si="170"/>
        <v>1.0013408200260281</v>
      </c>
      <c r="V188" s="4">
        <f t="shared" si="171"/>
        <v>5.1755648443333663E-2</v>
      </c>
      <c r="W188" t="str">
        <f t="shared" si="158"/>
        <v>1-0.787263065618215i</v>
      </c>
      <c r="X188" s="4">
        <f t="shared" si="172"/>
        <v>1.2727070104649341</v>
      </c>
      <c r="Y188" s="4">
        <f t="shared" si="173"/>
        <v>-0.66692612236292226</v>
      </c>
      <c r="Z188" t="str">
        <f t="shared" si="159"/>
        <v>0.999994810152001+0.011021682918655i</v>
      </c>
      <c r="AA188" s="4">
        <f t="shared" si="174"/>
        <v>1.0000555473698927</v>
      </c>
      <c r="AB188" s="4">
        <f t="shared" si="175"/>
        <v>1.1021293849914293E-2</v>
      </c>
      <c r="AC188" s="47" t="str">
        <f t="shared" si="176"/>
        <v>-1.23830559174293-2.24491604689738i</v>
      </c>
      <c r="AD188" s="20">
        <f t="shared" si="177"/>
        <v>8.1776685635217721</v>
      </c>
      <c r="AE188" s="43">
        <f t="shared" si="178"/>
        <v>-118.88132245223144</v>
      </c>
      <c r="AF188" t="str">
        <f t="shared" si="160"/>
        <v>247.084651286898</v>
      </c>
      <c r="AG188" t="str">
        <f t="shared" si="161"/>
        <v>1+7.96822044421826i</v>
      </c>
      <c r="AH188">
        <f t="shared" si="179"/>
        <v>8.0307245655456168</v>
      </c>
      <c r="AI188">
        <f t="shared" si="180"/>
        <v>1.4459504962229603</v>
      </c>
      <c r="AJ188" t="str">
        <f t="shared" si="162"/>
        <v>1+0.0518019097176786i</v>
      </c>
      <c r="AK188">
        <f t="shared" si="181"/>
        <v>1.0013408200260281</v>
      </c>
      <c r="AL188">
        <f t="shared" si="182"/>
        <v>5.1755648443333663E-2</v>
      </c>
      <c r="AM188" t="str">
        <f t="shared" si="163"/>
        <v>1-0.0514603177399562i</v>
      </c>
      <c r="AN188">
        <f t="shared" si="183"/>
        <v>1.0013232067129461</v>
      </c>
      <c r="AO188">
        <f t="shared" si="184"/>
        <v>-5.1414964654162384E-2</v>
      </c>
      <c r="AP188" s="41" t="str">
        <f t="shared" si="185"/>
        <v>3.85185420806622-30.6080213141635i</v>
      </c>
      <c r="AQ188">
        <f t="shared" si="186"/>
        <v>29.784944789871155</v>
      </c>
      <c r="AR188" s="43">
        <f t="shared" si="187"/>
        <v>-82.827341075154678</v>
      </c>
      <c r="AS188" t="str">
        <f t="shared" si="164"/>
        <v>-0.0000166666666666667</v>
      </c>
      <c r="AT188" t="str">
        <f t="shared" si="165"/>
        <v>0.0000107067776924077i</v>
      </c>
      <c r="AU188">
        <f t="shared" si="188"/>
        <v>1.07067776924077E-5</v>
      </c>
      <c r="AV188">
        <f t="shared" si="189"/>
        <v>1.5707963267948966</v>
      </c>
      <c r="AW188" t="str">
        <f t="shared" si="166"/>
        <v>1+0.0108809017586856i</v>
      </c>
      <c r="AX188">
        <f t="shared" si="190"/>
        <v>1.0000591952595017</v>
      </c>
      <c r="AY188">
        <f t="shared" si="191"/>
        <v>1.0880472377942199E-2</v>
      </c>
      <c r="AZ188" t="str">
        <f t="shared" si="167"/>
        <v>1+0.369950659795311i</v>
      </c>
      <c r="BA188">
        <f t="shared" si="192"/>
        <v>1.0662380084591743</v>
      </c>
      <c r="BB188">
        <f t="shared" si="193"/>
        <v>0.35433651953072465</v>
      </c>
      <c r="BC188" s="41" t="str">
        <f t="shared" si="194"/>
        <v>-0.558878468807866+1.56272747520569i</v>
      </c>
      <c r="BD188">
        <f t="shared" si="195"/>
        <v>4.4003683334746988</v>
      </c>
      <c r="BE188" s="43">
        <f t="shared" si="196"/>
        <v>109.67858195010068</v>
      </c>
      <c r="BF188" s="41" t="str">
        <f t="shared" si="197"/>
        <v>4.20025431904619-0.680498928025302i</v>
      </c>
      <c r="BG188" s="20">
        <f t="shared" si="198"/>
        <v>12.578036896996474</v>
      </c>
      <c r="BH188" s="43">
        <f t="shared" si="199"/>
        <v>-9.2027405021307551</v>
      </c>
      <c r="BI188" s="41" t="str">
        <f t="shared" si="203"/>
        <v>45.6792774874495+23.12556248673i</v>
      </c>
      <c r="BJ188" s="20">
        <f t="shared" si="200"/>
        <v>34.185313123345857</v>
      </c>
      <c r="BK188" s="43">
        <f t="shared" si="204"/>
        <v>26.85124087494605</v>
      </c>
      <c r="BL188">
        <f t="shared" si="201"/>
        <v>12.578036896996474</v>
      </c>
      <c r="BM188" s="43">
        <f t="shared" si="202"/>
        <v>-9.2027405021307551</v>
      </c>
    </row>
    <row r="189" spans="14:65" x14ac:dyDescent="0.25">
      <c r="N189" s="9">
        <v>71</v>
      </c>
      <c r="O189" s="34">
        <f t="shared" si="205"/>
        <v>512.86138399136519</v>
      </c>
      <c r="P189" s="33" t="str">
        <f t="shared" si="155"/>
        <v>16.5157725627975</v>
      </c>
      <c r="Q189" s="4" t="str">
        <f t="shared" si="156"/>
        <v>1+8.33787471620352i</v>
      </c>
      <c r="R189" s="4">
        <f t="shared" si="168"/>
        <v>8.3976279259744491</v>
      </c>
      <c r="S189" s="4">
        <f t="shared" si="169"/>
        <v>1.4514318337413341</v>
      </c>
      <c r="T189" s="4" t="str">
        <f t="shared" si="157"/>
        <v>1+0.0530085312008607i</v>
      </c>
      <c r="U189" s="4">
        <f t="shared" si="170"/>
        <v>1.0014039666288888</v>
      </c>
      <c r="V189" s="4">
        <f t="shared" si="171"/>
        <v>5.295896510499002E-2</v>
      </c>
      <c r="W189" t="str">
        <f t="shared" si="158"/>
        <v>1-0.805600778128583i</v>
      </c>
      <c r="X189" s="4">
        <f t="shared" si="172"/>
        <v>1.284131073419446</v>
      </c>
      <c r="Y189" s="4">
        <f t="shared" si="173"/>
        <v>-0.67814673271855008</v>
      </c>
      <c r="Z189" t="str">
        <f t="shared" si="159"/>
        <v>0.999994565562+0.0112784108938001i</v>
      </c>
      <c r="AA189" s="4">
        <f t="shared" si="174"/>
        <v>1.0000581651613183</v>
      </c>
      <c r="AB189" s="4">
        <f t="shared" si="175"/>
        <v>1.1277994000439934E-2</v>
      </c>
      <c r="AC189" s="47" t="str">
        <f t="shared" si="176"/>
        <v>-1.25020482029405-2.19828143200596i</v>
      </c>
      <c r="AD189" s="20">
        <f t="shared" si="177"/>
        <v>8.058713352286178</v>
      </c>
      <c r="AE189" s="43">
        <f t="shared" si="178"/>
        <v>-119.62772026937404</v>
      </c>
      <c r="AF189" t="str">
        <f t="shared" si="160"/>
        <v>247.084651286898</v>
      </c>
      <c r="AG189" t="str">
        <f t="shared" si="161"/>
        <v>1+8.15382414151678i</v>
      </c>
      <c r="AH189">
        <f t="shared" si="179"/>
        <v>8.2149161974290319</v>
      </c>
      <c r="AI189">
        <f t="shared" si="180"/>
        <v>1.4487638822609632</v>
      </c>
      <c r="AJ189" t="str">
        <f t="shared" si="162"/>
        <v>1+0.0530085312008607i</v>
      </c>
      <c r="AK189">
        <f t="shared" si="181"/>
        <v>1.0014039666288888</v>
      </c>
      <c r="AL189">
        <f t="shared" si="182"/>
        <v>5.295896510499002E-2</v>
      </c>
      <c r="AM189" t="str">
        <f t="shared" si="163"/>
        <v>1-0.0526589825238381i</v>
      </c>
      <c r="AN189">
        <f t="shared" si="183"/>
        <v>1.0013855243813172</v>
      </c>
      <c r="AO189">
        <f t="shared" si="184"/>
        <v>-5.2610389447611226E-2</v>
      </c>
      <c r="AP189" s="41" t="str">
        <f t="shared" si="185"/>
        <v>3.68199076638716-29.9359370868396i</v>
      </c>
      <c r="AQ189">
        <f t="shared" si="186"/>
        <v>29.589064944305761</v>
      </c>
      <c r="AR189" s="43">
        <f t="shared" si="187"/>
        <v>-82.988084050532507</v>
      </c>
      <c r="AS189" t="str">
        <f t="shared" si="164"/>
        <v>-0.0000166666666666667</v>
      </c>
      <c r="AT189" t="str">
        <f t="shared" si="165"/>
        <v>0.0000109561705825487i</v>
      </c>
      <c r="AU189">
        <f t="shared" si="188"/>
        <v>1.09561705825487E-5</v>
      </c>
      <c r="AV189">
        <f t="shared" si="189"/>
        <v>1.5707963267948966</v>
      </c>
      <c r="AW189" t="str">
        <f t="shared" si="166"/>
        <v>1+0.0111343505193583i</v>
      </c>
      <c r="AX189">
        <f t="shared" si="190"/>
        <v>1.0000619849596764</v>
      </c>
      <c r="AY189">
        <f t="shared" si="191"/>
        <v>1.11338904311426E-2</v>
      </c>
      <c r="AZ189" t="str">
        <f t="shared" si="167"/>
        <v>1+0.378567917658183i</v>
      </c>
      <c r="BA189">
        <f t="shared" si="192"/>
        <v>1.0692584665458829</v>
      </c>
      <c r="BB189">
        <f t="shared" si="193"/>
        <v>0.36189503257046668</v>
      </c>
      <c r="BC189" s="41" t="str">
        <f t="shared" si="194"/>
        <v>-0.558875350798761+1.52743549009425i</v>
      </c>
      <c r="BD189">
        <f t="shared" si="195"/>
        <v>4.224914861487866</v>
      </c>
      <c r="BE189" s="43">
        <f t="shared" si="196"/>
        <v>110.09713306177163</v>
      </c>
      <c r="BF189" s="41" t="str">
        <f t="shared" si="197"/>
        <v>4.05644173397325-0.681041905937302i</v>
      </c>
      <c r="BG189" s="20">
        <f t="shared" si="198"/>
        <v>12.283628213774037</v>
      </c>
      <c r="BH189" s="43">
        <f t="shared" si="199"/>
        <v>-9.530587207602391</v>
      </c>
      <c r="BI189" s="41" t="str">
        <f t="shared" si="203"/>
        <v>43.6674388544651+22.3544607116762i</v>
      </c>
      <c r="BJ189" s="20">
        <f t="shared" si="200"/>
        <v>33.813979805793636</v>
      </c>
      <c r="BK189" s="43">
        <f t="shared" si="204"/>
        <v>27.109049011239119</v>
      </c>
      <c r="BL189">
        <f t="shared" si="201"/>
        <v>12.283628213774037</v>
      </c>
      <c r="BM189" s="43">
        <f t="shared" si="202"/>
        <v>-9.530587207602391</v>
      </c>
    </row>
    <row r="190" spans="14:65" x14ac:dyDescent="0.25">
      <c r="N190" s="9">
        <v>72</v>
      </c>
      <c r="O190" s="34">
        <f t="shared" si="205"/>
        <v>524.80746024977248</v>
      </c>
      <c r="P190" s="33" t="str">
        <f t="shared" si="155"/>
        <v>16.5157725627975</v>
      </c>
      <c r="Q190" s="4" t="str">
        <f t="shared" si="156"/>
        <v>1+8.53208876760595i</v>
      </c>
      <c r="R190" s="4">
        <f t="shared" si="168"/>
        <v>8.5904911814347145</v>
      </c>
      <c r="S190" s="4">
        <f t="shared" si="169"/>
        <v>1.4541240289549802</v>
      </c>
      <c r="T190" s="4" t="str">
        <f t="shared" si="157"/>
        <v>1+0.0542432585089366i</v>
      </c>
      <c r="U190" s="4">
        <f t="shared" si="170"/>
        <v>1.0014700849719214</v>
      </c>
      <c r="V190" s="4">
        <f t="shared" si="171"/>
        <v>5.419015169011971E-2</v>
      </c>
      <c r="W190" t="str">
        <f t="shared" si="158"/>
        <v>1-0.824365630834903i</v>
      </c>
      <c r="X190" s="4">
        <f t="shared" si="172"/>
        <v>1.2959856069038065</v>
      </c>
      <c r="Y190" s="4">
        <f t="shared" si="173"/>
        <v>-0.68942246690272313</v>
      </c>
      <c r="Z190" t="str">
        <f t="shared" si="159"/>
        <v>0.999994309444828+0.0115411188316886i</v>
      </c>
      <c r="AA190" s="4">
        <f t="shared" si="174"/>
        <v>1.0000609063181731</v>
      </c>
      <c r="AB190" s="4">
        <f t="shared" si="175"/>
        <v>1.1540672123870926E-2</v>
      </c>
      <c r="AC190" s="47" t="str">
        <f t="shared" si="176"/>
        <v>-1.26158650400307-2.15268595355922i</v>
      </c>
      <c r="AD190" s="20">
        <f t="shared" si="177"/>
        <v>7.9418521217434543</v>
      </c>
      <c r="AE190" s="43">
        <f t="shared" si="178"/>
        <v>-120.37253222512769</v>
      </c>
      <c r="AF190" t="str">
        <f t="shared" si="160"/>
        <v>247.084651286898</v>
      </c>
      <c r="AG190" t="str">
        <f t="shared" si="161"/>
        <v>1+8.34375110430377i</v>
      </c>
      <c r="AH190">
        <f t="shared" si="179"/>
        <v>8.4034625298486549</v>
      </c>
      <c r="AI190">
        <f t="shared" si="180"/>
        <v>1.4515151050854342</v>
      </c>
      <c r="AJ190" t="str">
        <f t="shared" si="162"/>
        <v>1+0.0542432585089366i</v>
      </c>
      <c r="AK190">
        <f t="shared" si="181"/>
        <v>1.0014700849719214</v>
      </c>
      <c r="AL190">
        <f t="shared" si="182"/>
        <v>5.419015169011971E-2</v>
      </c>
      <c r="AM190" t="str">
        <f t="shared" si="163"/>
        <v>1-0.0538855677972783i</v>
      </c>
      <c r="AN190">
        <f t="shared" si="183"/>
        <v>1.0014507748346071</v>
      </c>
      <c r="AO190">
        <f t="shared" si="184"/>
        <v>-5.383350345103103E-2</v>
      </c>
      <c r="AP190" s="41" t="str">
        <f t="shared" si="185"/>
        <v>3.51955081710652-29.2778761321271i</v>
      </c>
      <c r="AQ190">
        <f t="shared" si="186"/>
        <v>29.393101762475634</v>
      </c>
      <c r="AR190" s="43">
        <f t="shared" si="187"/>
        <v>-83.145254982013</v>
      </c>
      <c r="AS190" t="str">
        <f t="shared" si="164"/>
        <v>-0.0000166666666666667</v>
      </c>
      <c r="AT190" t="str">
        <f t="shared" si="165"/>
        <v>0.0000112113725793547i</v>
      </c>
      <c r="AU190">
        <f t="shared" si="188"/>
        <v>1.1211372579354701E-5</v>
      </c>
      <c r="AV190">
        <f t="shared" si="189"/>
        <v>1.5707963267948966</v>
      </c>
      <c r="AW190" t="str">
        <f t="shared" si="166"/>
        <v>1+0.011393702860057i</v>
      </c>
      <c r="AX190">
        <f t="shared" si="190"/>
        <v>1.0000649061260292</v>
      </c>
      <c r="AY190">
        <f t="shared" si="191"/>
        <v>1.1393209868379828E-2</v>
      </c>
      <c r="AZ190" t="str">
        <f t="shared" si="167"/>
        <v>1+0.387385897241937i</v>
      </c>
      <c r="BA190">
        <f t="shared" si="192"/>
        <v>1.072412156487393</v>
      </c>
      <c r="BB190">
        <f t="shared" si="193"/>
        <v>0.36958507867124535</v>
      </c>
      <c r="BC190" s="41" t="str">
        <f t="shared" si="194"/>
        <v>-0.558872085879701+1.49295336822487i</v>
      </c>
      <c r="BD190">
        <f t="shared" si="195"/>
        <v>4.0504701021352414</v>
      </c>
      <c r="BE190" s="43">
        <f t="shared" si="196"/>
        <v>110.52288233830795</v>
      </c>
      <c r="BF190" s="41" t="str">
        <f t="shared" si="197"/>
        <v>3.91892522610648-0.680413731348847i</v>
      </c>
      <c r="BG190" s="20">
        <f t="shared" si="198"/>
        <v>11.9923222238787</v>
      </c>
      <c r="BH190" s="43">
        <f t="shared" si="199"/>
        <v>-9.8496498868197335</v>
      </c>
      <c r="BI190" s="41" t="str">
        <f t="shared" si="203"/>
        <v>41.7435250794138+21.6171129511272i</v>
      </c>
      <c r="BJ190" s="20">
        <f t="shared" si="200"/>
        <v>33.443571864610888</v>
      </c>
      <c r="BK190" s="43">
        <f t="shared" si="204"/>
        <v>27.377627356294973</v>
      </c>
      <c r="BL190">
        <f t="shared" si="201"/>
        <v>11.9923222238787</v>
      </c>
      <c r="BM190" s="43">
        <f t="shared" si="202"/>
        <v>-9.8496498868197335</v>
      </c>
    </row>
    <row r="191" spans="14:65" x14ac:dyDescent="0.25">
      <c r="N191" s="9">
        <v>73</v>
      </c>
      <c r="O191" s="34">
        <f t="shared" si="205"/>
        <v>537.03179637025301</v>
      </c>
      <c r="P191" s="33" t="str">
        <f t="shared" si="155"/>
        <v>16.5157725627975</v>
      </c>
      <c r="Q191" s="4" t="str">
        <f t="shared" si="156"/>
        <v>1+8.7308266454085i</v>
      </c>
      <c r="R191" s="4">
        <f t="shared" si="168"/>
        <v>8.7879083923408672</v>
      </c>
      <c r="S191" s="4">
        <f t="shared" si="169"/>
        <v>1.4567565850390314</v>
      </c>
      <c r="T191" s="4" t="str">
        <f t="shared" si="157"/>
        <v>1+0.0555067463106681i</v>
      </c>
      <c r="U191" s="4">
        <f t="shared" si="170"/>
        <v>1.0015393146981284</v>
      </c>
      <c r="V191" s="4">
        <f t="shared" si="171"/>
        <v>5.5449846051620254E-2</v>
      </c>
      <c r="W191" t="str">
        <f t="shared" si="158"/>
        <v>1-0.843567573110457i</v>
      </c>
      <c r="X191" s="4">
        <f t="shared" si="172"/>
        <v>1.3082837040961208</v>
      </c>
      <c r="Y191" s="4">
        <f t="shared" si="173"/>
        <v>-0.70074783519087624</v>
      </c>
      <c r="Z191" t="str">
        <f t="shared" si="159"/>
        <v>0.999994041257225+0.0118099460235464i</v>
      </c>
      <c r="AA191" s="4">
        <f t="shared" si="174"/>
        <v>1.000063776653787</v>
      </c>
      <c r="AB191" s="4">
        <f t="shared" si="175"/>
        <v>1.1809467369140802E-2</v>
      </c>
      <c r="AC191" s="47" t="str">
        <f t="shared" si="176"/>
        <v>-1.27247280930544-2.10811364315993i</v>
      </c>
      <c r="AD191" s="20">
        <f t="shared" si="177"/>
        <v>7.8271121868960556</v>
      </c>
      <c r="AE191" s="43">
        <f t="shared" si="178"/>
        <v>-121.11548804513448</v>
      </c>
      <c r="AF191" t="str">
        <f t="shared" si="160"/>
        <v>247.084651286898</v>
      </c>
      <c r="AG191" t="str">
        <f t="shared" si="161"/>
        <v>1+8.53810203436884i</v>
      </c>
      <c r="AH191">
        <f t="shared" si="179"/>
        <v>8.5964635955312065</v>
      </c>
      <c r="AI191">
        <f t="shared" si="180"/>
        <v>1.4542054567446907</v>
      </c>
      <c r="AJ191" t="str">
        <f t="shared" si="162"/>
        <v>1+0.0555067463106681i</v>
      </c>
      <c r="AK191">
        <f t="shared" si="181"/>
        <v>1.0015393146981284</v>
      </c>
      <c r="AL191">
        <f t="shared" si="182"/>
        <v>5.5449846051620254E-2</v>
      </c>
      <c r="AM191" t="str">
        <f t="shared" si="163"/>
        <v>1-0.0551407239120243i</v>
      </c>
      <c r="AN191">
        <f t="shared" si="183"/>
        <v>1.0015190958906086</v>
      </c>
      <c r="AO191">
        <f t="shared" si="184"/>
        <v>-5.5084940529050455E-2</v>
      </c>
      <c r="AP191" s="41" t="str">
        <f t="shared" si="185"/>
        <v>3.36421934313392-28.6336095009426i</v>
      </c>
      <c r="AQ191">
        <f t="shared" si="186"/>
        <v>29.197063521637176</v>
      </c>
      <c r="AR191" s="43">
        <f t="shared" si="187"/>
        <v>-83.298927670000694</v>
      </c>
      <c r="AS191" t="str">
        <f t="shared" si="164"/>
        <v>-0.0000166666666666667</v>
      </c>
      <c r="AT191" t="str">
        <f t="shared" si="165"/>
        <v>0.0000114725189943022i</v>
      </c>
      <c r="AU191">
        <f t="shared" si="188"/>
        <v>1.14725189943022E-5</v>
      </c>
      <c r="AV191">
        <f t="shared" si="189"/>
        <v>1.5707963267948966</v>
      </c>
      <c r="AW191" t="str">
        <f t="shared" si="166"/>
        <v>1+0.0116590962928255i</v>
      </c>
      <c r="AX191">
        <f t="shared" si="190"/>
        <v>1.0000679649535653</v>
      </c>
      <c r="AY191">
        <f t="shared" si="191"/>
        <v>1.1658568044664992E-2</v>
      </c>
      <c r="AZ191" t="str">
        <f t="shared" si="167"/>
        <v>1+0.396409273956066i</v>
      </c>
      <c r="BA191">
        <f t="shared" si="192"/>
        <v>1.0757045656119413</v>
      </c>
      <c r="BB191">
        <f t="shared" si="193"/>
        <v>0.37740709606526307</v>
      </c>
      <c r="BC191" s="41" t="str">
        <f t="shared" si="194"/>
        <v>-0.558868667130636+1.45926282648615i</v>
      </c>
      <c r="BD191">
        <f t="shared" si="195"/>
        <v>3.8770692063889216</v>
      </c>
      <c r="BE191" s="43">
        <f t="shared" si="196"/>
        <v>110.9558470187026</v>
      </c>
      <c r="BF191" s="41" t="str">
        <f t="shared" si="197"/>
        <v>3.78743705636808-0.678713606421129i</v>
      </c>
      <c r="BG191" s="20">
        <f t="shared" si="198"/>
        <v>11.704181393284973</v>
      </c>
      <c r="BH191" s="43">
        <f t="shared" si="199"/>
        <v>-10.159641026431903</v>
      </c>
      <c r="BI191" s="41" t="str">
        <f t="shared" si="203"/>
        <v>39.9038051526138+20.9117074045119i</v>
      </c>
      <c r="BJ191" s="20">
        <f t="shared" si="200"/>
        <v>33.0741327280261</v>
      </c>
      <c r="BK191" s="43">
        <f t="shared" si="204"/>
        <v>27.65691934870194</v>
      </c>
      <c r="BL191">
        <f t="shared" si="201"/>
        <v>11.704181393284973</v>
      </c>
      <c r="BM191" s="43">
        <f t="shared" si="202"/>
        <v>-10.159641026431903</v>
      </c>
    </row>
    <row r="192" spans="14:65" x14ac:dyDescent="0.25">
      <c r="N192" s="9">
        <v>74</v>
      </c>
      <c r="O192" s="34">
        <f t="shared" si="205"/>
        <v>549.54087385762534</v>
      </c>
      <c r="P192" s="33" t="str">
        <f t="shared" si="155"/>
        <v>16.5157725627975</v>
      </c>
      <c r="Q192" s="4" t="str">
        <f t="shared" si="156"/>
        <v>1+8.93419372306461i</v>
      </c>
      <c r="R192" s="4">
        <f t="shared" si="168"/>
        <v>8.9899842870411657</v>
      </c>
      <c r="S192" s="4">
        <f t="shared" si="169"/>
        <v>1.4593307517744671</v>
      </c>
      <c r="T192" s="4" t="str">
        <f t="shared" si="157"/>
        <v>1+0.0567996645240124i</v>
      </c>
      <c r="U192" s="4">
        <f t="shared" si="170"/>
        <v>1.0016118019921891</v>
      </c>
      <c r="V192" s="4">
        <f t="shared" si="171"/>
        <v>5.6738700095691277E-2</v>
      </c>
      <c r="W192" t="str">
        <f t="shared" si="158"/>
        <v>1-0.863216786079215i</v>
      </c>
      <c r="X192" s="4">
        <f t="shared" si="172"/>
        <v>1.3210386897320341</v>
      </c>
      <c r="Y192" s="4">
        <f t="shared" si="173"/>
        <v>-0.71211722212781126</v>
      </c>
      <c r="Z192" t="str">
        <f t="shared" si="159"/>
        <v>0.99999376043033+0.012085035005109i</v>
      </c>
      <c r="AA192" s="4">
        <f t="shared" si="174"/>
        <v>1.0000667822553988</v>
      </c>
      <c r="AB192" s="4">
        <f t="shared" si="175"/>
        <v>1.2084522119518387E-2</v>
      </c>
      <c r="AC192" s="47" t="str">
        <f t="shared" si="176"/>
        <v>-1.2828850211883-2.06454855088443i</v>
      </c>
      <c r="AD192" s="20">
        <f t="shared" si="177"/>
        <v>7.714518581662718</v>
      </c>
      <c r="AE192" s="43">
        <f t="shared" si="178"/>
        <v>-121.85630840117361</v>
      </c>
      <c r="AF192" t="str">
        <f t="shared" si="160"/>
        <v>247.084651286898</v>
      </c>
      <c r="AG192" t="str">
        <f t="shared" si="161"/>
        <v>1+8.7369799791477i</v>
      </c>
      <c r="AH192">
        <f t="shared" si="179"/>
        <v>8.7940217850553317</v>
      </c>
      <c r="AI192">
        <f t="shared" si="180"/>
        <v>1.4568362078329877</v>
      </c>
      <c r="AJ192" t="str">
        <f t="shared" si="162"/>
        <v>1+0.0567996645240124i</v>
      </c>
      <c r="AK192">
        <f t="shared" si="181"/>
        <v>1.0016118019921891</v>
      </c>
      <c r="AL192">
        <f t="shared" si="182"/>
        <v>5.6738700095691277E-2</v>
      </c>
      <c r="AM192" t="str">
        <f t="shared" si="163"/>
        <v>1-0.0564251163684623i</v>
      </c>
      <c r="AN192">
        <f t="shared" si="183"/>
        <v>1.0015906318237979</v>
      </c>
      <c r="AO192">
        <f t="shared" si="184"/>
        <v>-5.6365348522336094E-2</v>
      </c>
      <c r="AP192" s="41" t="str">
        <f t="shared" si="185"/>
        <v>3.21569387668555-28.0029079192653i</v>
      </c>
      <c r="AQ192">
        <f t="shared" si="186"/>
        <v>29.000958360727861</v>
      </c>
      <c r="AR192" s="43">
        <f t="shared" si="187"/>
        <v>-83.449174681246021</v>
      </c>
      <c r="AS192" t="str">
        <f t="shared" si="164"/>
        <v>-0.0000166666666666667</v>
      </c>
      <c r="AT192" t="str">
        <f t="shared" si="165"/>
        <v>0.0000117397482906773i</v>
      </c>
      <c r="AU192">
        <f t="shared" si="188"/>
        <v>1.1739748290677299E-5</v>
      </c>
      <c r="AV192">
        <f t="shared" si="189"/>
        <v>1.5707963267948966</v>
      </c>
      <c r="AW192" t="str">
        <f t="shared" si="166"/>
        <v>1+0.0119306715327748i</v>
      </c>
      <c r="AX192">
        <f t="shared" si="190"/>
        <v>1.0000711679291745</v>
      </c>
      <c r="AY192">
        <f t="shared" si="191"/>
        <v>1.1930105506848324E-2</v>
      </c>
      <c r="AZ192" t="str">
        <f t="shared" si="167"/>
        <v>1+0.405642832114345i</v>
      </c>
      <c r="BA192">
        <f t="shared" si="192"/>
        <v>1.0791413750041032</v>
      </c>
      <c r="BB192">
        <f t="shared" si="193"/>
        <v>0.38536140240631017</v>
      </c>
      <c r="BC192" s="41" t="str">
        <f t="shared" si="194"/>
        <v>-0.558865087305719+1.42634600145614i</v>
      </c>
      <c r="BD192">
        <f t="shared" si="195"/>
        <v>3.7047480295187722</v>
      </c>
      <c r="BE192" s="43">
        <f t="shared" si="196"/>
        <v>111.39603725043597</v>
      </c>
      <c r="BF192" s="41" t="str">
        <f t="shared" si="197"/>
        <v>3.66172021973567-0.676033814162984i</v>
      </c>
      <c r="BG192" s="20">
        <f t="shared" si="198"/>
        <v>11.419266611181483</v>
      </c>
      <c r="BH192" s="43">
        <f t="shared" si="199"/>
        <v>-10.460271150737629</v>
      </c>
      <c r="BI192" s="41" t="str">
        <f t="shared" si="203"/>
        <v>38.1446967006462+20.2365396820316i</v>
      </c>
      <c r="BJ192" s="20">
        <f t="shared" si="200"/>
        <v>32.705706390246625</v>
      </c>
      <c r="BK192" s="43">
        <f t="shared" si="204"/>
        <v>27.946862569189907</v>
      </c>
      <c r="BL192">
        <f t="shared" si="201"/>
        <v>11.419266611181483</v>
      </c>
      <c r="BM192" s="43">
        <f t="shared" si="202"/>
        <v>-10.460271150737629</v>
      </c>
    </row>
    <row r="193" spans="14:65" x14ac:dyDescent="0.25">
      <c r="N193" s="9">
        <v>75</v>
      </c>
      <c r="O193" s="34">
        <f t="shared" si="205"/>
        <v>562.34132519034927</v>
      </c>
      <c r="P193" s="33" t="str">
        <f t="shared" si="155"/>
        <v>16.5157725627975</v>
      </c>
      <c r="Q193" s="4" t="str">
        <f t="shared" si="156"/>
        <v>1+9.14229782849071i</v>
      </c>
      <c r="R193" s="4">
        <f t="shared" si="168"/>
        <v>9.1968260603768055</v>
      </c>
      <c r="S193" s="4">
        <f t="shared" si="169"/>
        <v>1.4618477574863764</v>
      </c>
      <c r="T193" s="4" t="str">
        <f t="shared" si="157"/>
        <v>1+0.0581226986713196i</v>
      </c>
      <c r="U193" s="4">
        <f t="shared" si="170"/>
        <v>1.0016876998849678</v>
      </c>
      <c r="V193" s="4">
        <f t="shared" si="171"/>
        <v>5.8057380052323956E-2</v>
      </c>
      <c r="W193" t="str">
        <f t="shared" si="158"/>
        <v>1-0.883323688013975i</v>
      </c>
      <c r="X193" s="4">
        <f t="shared" si="172"/>
        <v>1.3342641184587893</v>
      </c>
      <c r="Y193" s="4">
        <f t="shared" si="173"/>
        <v>-0.72352489963388467</v>
      </c>
      <c r="Z193" t="str">
        <f t="shared" si="159"/>
        <v>0.999993466368471+0.0123665316321956i</v>
      </c>
      <c r="AA193" s="4">
        <f t="shared" si="174"/>
        <v>1.000069929497053</v>
      </c>
      <c r="AB193" s="4">
        <f t="shared" si="175"/>
        <v>1.2365982067454576E-2</v>
      </c>
      <c r="AC193" s="47" t="str">
        <f t="shared" si="176"/>
        <v>-1.29284357400967-2.0219747692299i</v>
      </c>
      <c r="AD193" s="20">
        <f t="shared" si="177"/>
        <v>7.6040939967210717</v>
      </c>
      <c r="AE193" s="43">
        <f t="shared" si="178"/>
        <v>-122.59470565169566</v>
      </c>
      <c r="AF193" t="str">
        <f t="shared" si="160"/>
        <v>247.084651286898</v>
      </c>
      <c r="AG193" t="str">
        <f t="shared" si="161"/>
        <v>1+8.94049038635908i</v>
      </c>
      <c r="AH193">
        <f t="shared" si="179"/>
        <v>8.9962419014041171</v>
      </c>
      <c r="AI193">
        <f t="shared" si="180"/>
        <v>1.4594086074744423</v>
      </c>
      <c r="AJ193" t="str">
        <f t="shared" si="162"/>
        <v>1+0.0581226986713196i</v>
      </c>
      <c r="AK193">
        <f t="shared" si="181"/>
        <v>1.0016876998849678</v>
      </c>
      <c r="AL193">
        <f t="shared" si="182"/>
        <v>5.8057380052323956E-2</v>
      </c>
      <c r="AM193" t="str">
        <f t="shared" si="163"/>
        <v>1-0.0577394261684735i</v>
      </c>
      <c r="AN193">
        <f t="shared" si="183"/>
        <v>1.0016655336659361</v>
      </c>
      <c r="AO193">
        <f t="shared" si="184"/>
        <v>-5.7675389517379987E-2</v>
      </c>
      <c r="AP193" s="41" t="str">
        <f t="shared" si="185"/>
        <v>3.07368407131414-27.3855421375756i</v>
      </c>
      <c r="AQ193">
        <f t="shared" si="186"/>
        <v>28.804794295481134</v>
      </c>
      <c r="AR193" s="43">
        <f t="shared" si="187"/>
        <v>-83.596067347883945</v>
      </c>
      <c r="AS193" t="str">
        <f t="shared" si="164"/>
        <v>-0.0000166666666666667</v>
      </c>
      <c r="AT193" t="str">
        <f t="shared" si="165"/>
        <v>0.0000120132021569901i</v>
      </c>
      <c r="AU193">
        <f t="shared" si="188"/>
        <v>1.20132021569901E-5</v>
      </c>
      <c r="AV193">
        <f t="shared" si="189"/>
        <v>1.5707963267948966</v>
      </c>
      <c r="AW193" t="str">
        <f t="shared" si="166"/>
        <v>1+0.012208572572692i</v>
      </c>
      <c r="AX193">
        <f t="shared" si="190"/>
        <v>1.0000745218453786</v>
      </c>
      <c r="AY193">
        <f t="shared" si="191"/>
        <v>1.2207966067425406E-2</v>
      </c>
      <c r="AZ193" t="str">
        <f t="shared" si="167"/>
        <v>1+0.415091467471527i</v>
      </c>
      <c r="BA193">
        <f t="shared" si="192"/>
        <v>1.0827284638207615</v>
      </c>
      <c r="BB193">
        <f t="shared" si="193"/>
        <v>0.39344818791961716</v>
      </c>
      <c r="BC193" s="41" t="str">
        <f t="shared" si="194"/>
        <v>-0.558861338818001+1.39418543992986i</v>
      </c>
      <c r="BD193">
        <f t="shared" si="195"/>
        <v>3.5335431016268664</v>
      </c>
      <c r="BE193" s="43">
        <f t="shared" si="196"/>
        <v>111.84345569276179</v>
      </c>
      <c r="BF193" s="41" t="str">
        <f t="shared" si="197"/>
        <v>3.54152807381916-0.672460160403124i</v>
      </c>
      <c r="BG193" s="20">
        <f t="shared" si="198"/>
        <v>11.137637098347939</v>
      </c>
      <c r="BH193" s="43">
        <f t="shared" si="199"/>
        <v>-10.751249958933881</v>
      </c>
      <c r="BI193" s="41" t="str">
        <f t="shared" si="203"/>
        <v>36.4627609175954+19.5900063224328i</v>
      </c>
      <c r="BJ193" s="20">
        <f t="shared" si="200"/>
        <v>32.338337397108006</v>
      </c>
      <c r="BK193" s="43">
        <f t="shared" si="204"/>
        <v>28.247388344877844</v>
      </c>
      <c r="BL193">
        <f t="shared" si="201"/>
        <v>11.137637098347939</v>
      </c>
      <c r="BM193" s="43">
        <f t="shared" si="202"/>
        <v>-10.751249958933881</v>
      </c>
    </row>
    <row r="194" spans="14:65" x14ac:dyDescent="0.25">
      <c r="N194" s="9">
        <v>76</v>
      </c>
      <c r="O194" s="34">
        <f t="shared" si="205"/>
        <v>575.43993733715706</v>
      </c>
      <c r="P194" s="33" t="str">
        <f t="shared" si="155"/>
        <v>16.5157725627975</v>
      </c>
      <c r="Q194" s="4" t="str">
        <f t="shared" si="156"/>
        <v>1+9.35524930123811i</v>
      </c>
      <c r="R194" s="4">
        <f t="shared" si="168"/>
        <v>9.408543430750381</v>
      </c>
      <c r="S194" s="4">
        <f t="shared" si="169"/>
        <v>1.4643088090870133</v>
      </c>
      <c r="T194" s="4" t="str">
        <f t="shared" si="157"/>
        <v>1+0.0594765502428072i</v>
      </c>
      <c r="U194" s="4">
        <f t="shared" si="170"/>
        <v>1.0017671685720115</v>
      </c>
      <c r="V194" s="4">
        <f t="shared" si="171"/>
        <v>5.9406566748108749E-2</v>
      </c>
      <c r="W194" t="str">
        <f t="shared" si="158"/>
        <v>1-0.903898939860292i</v>
      </c>
      <c r="X194" s="4">
        <f t="shared" si="172"/>
        <v>1.3479737732910682</v>
      </c>
      <c r="Y194" s="4">
        <f t="shared" si="173"/>
        <v>-0.73496504080218705</v>
      </c>
      <c r="Z194" t="str">
        <f t="shared" si="159"/>
        <v>0.999993158447903+0.0126545851580441i</v>
      </c>
      <c r="AA194" s="4">
        <f t="shared" si="174"/>
        <v>1.0000732250531132</v>
      </c>
      <c r="AB194" s="4">
        <f t="shared" si="175"/>
        <v>1.2653996291137958E-2</v>
      </c>
      <c r="AC194" s="47" t="str">
        <f t="shared" si="176"/>
        <v>-1.30236808170259-1.98037645518562i</v>
      </c>
      <c r="AD194" s="20">
        <f t="shared" si="177"/>
        <v>7.4958587250893096</v>
      </c>
      <c r="AE194" s="43">
        <f t="shared" si="178"/>
        <v>-123.33038462356683</v>
      </c>
      <c r="AF194" t="str">
        <f t="shared" si="160"/>
        <v>247.084651286898</v>
      </c>
      <c r="AG194" t="str">
        <f t="shared" si="161"/>
        <v>1+9.14874115991471i</v>
      </c>
      <c r="AH194">
        <f t="shared" si="179"/>
        <v>9.2032312157805514</v>
      </c>
      <c r="AI194">
        <f t="shared" si="180"/>
        <v>1.4619238833381858</v>
      </c>
      <c r="AJ194" t="str">
        <f t="shared" si="162"/>
        <v>1+0.0594765502428072i</v>
      </c>
      <c r="AK194">
        <f t="shared" si="181"/>
        <v>1.0017671685720115</v>
      </c>
      <c r="AL194">
        <f t="shared" si="182"/>
        <v>5.9406566748108749E-2</v>
      </c>
      <c r="AM194" t="str">
        <f t="shared" si="163"/>
        <v>1-0.059084350176511i</v>
      </c>
      <c r="AN194">
        <f t="shared" si="183"/>
        <v>1.0017439595204858</v>
      </c>
      <c r="AO194">
        <f t="shared" si="184"/>
        <v>-5.901574011866307E-2</v>
      </c>
      <c r="AP194" s="41" t="str">
        <f t="shared" si="185"/>
        <v>2.93791128196994-26.7812832529207i</v>
      </c>
      <c r="AQ194">
        <f t="shared" si="186"/>
        <v>28.6085792334265</v>
      </c>
      <c r="AR194" s="43">
        <f t="shared" si="187"/>
        <v>-83.739675768265215</v>
      </c>
      <c r="AS194" t="str">
        <f t="shared" si="164"/>
        <v>-0.0000166666666666667</v>
      </c>
      <c r="AT194" t="str">
        <f t="shared" si="165"/>
        <v>0.0000122930255821i</v>
      </c>
      <c r="AU194">
        <f t="shared" si="188"/>
        <v>1.22930255821E-5</v>
      </c>
      <c r="AV194">
        <f t="shared" si="189"/>
        <v>1.5707963267948966</v>
      </c>
      <c r="AW194" t="str">
        <f t="shared" si="166"/>
        <v>1+0.0124929467593867i</v>
      </c>
      <c r="AX194">
        <f t="shared" si="190"/>
        <v>1.0000780338147284</v>
      </c>
      <c r="AY194">
        <f t="shared" si="191"/>
        <v>1.2492296880023512E-2</v>
      </c>
      <c r="AZ194" t="str">
        <f t="shared" si="167"/>
        <v>1+0.424760189819148i</v>
      </c>
      <c r="BA194">
        <f t="shared" si="192"/>
        <v>1.086471913514196</v>
      </c>
      <c r="BB194">
        <f t="shared" si="193"/>
        <v>0.40166750852561489</v>
      </c>
      <c r="BC194" s="41" t="str">
        <f t="shared" si="194"/>
        <v>-0.558857413723399+1.36276408966404i</v>
      </c>
      <c r="BD194">
        <f t="shared" si="195"/>
        <v>3.3634915939586247</v>
      </c>
      <c r="BE194" s="43">
        <f t="shared" si="196"/>
        <v>112.29809711840302</v>
      </c>
      <c r="BF194" s="41" t="str">
        <f t="shared" si="197"/>
        <v>3.42662397499934-0.668072389325184i</v>
      </c>
      <c r="BG194" s="20">
        <f t="shared" si="198"/>
        <v>10.859350319047925</v>
      </c>
      <c r="BH194" s="43">
        <f t="shared" si="199"/>
        <v>-11.032287505163808</v>
      </c>
      <c r="BI194" s="41" t="str">
        <f t="shared" si="203"/>
        <v>34.8546975914108+18.9705986886085i</v>
      </c>
      <c r="BJ194" s="20">
        <f t="shared" si="200"/>
        <v>31.972070827385132</v>
      </c>
      <c r="BK194" s="43">
        <f t="shared" si="204"/>
        <v>28.558421350137774</v>
      </c>
      <c r="BL194">
        <f t="shared" si="201"/>
        <v>10.859350319047925</v>
      </c>
      <c r="BM194" s="43">
        <f t="shared" si="202"/>
        <v>-11.032287505163808</v>
      </c>
    </row>
    <row r="195" spans="14:65" x14ac:dyDescent="0.25">
      <c r="N195" s="9">
        <v>77</v>
      </c>
      <c r="O195" s="34">
        <f t="shared" si="205"/>
        <v>588.84365535558959</v>
      </c>
      <c r="P195" s="33" t="str">
        <f t="shared" si="155"/>
        <v>16.5157725627975</v>
      </c>
      <c r="Q195" s="4" t="str">
        <f t="shared" si="156"/>
        <v>1+9.57316105099637i</v>
      </c>
      <c r="R195" s="4">
        <f t="shared" si="168"/>
        <v>9.6252486985175576</v>
      </c>
      <c r="S195" s="4">
        <f t="shared" si="169"/>
        <v>1.4667150921453316</v>
      </c>
      <c r="T195" s="4" t="str">
        <f t="shared" si="157"/>
        <v>1+0.0608619370684988i</v>
      </c>
      <c r="U195" s="4">
        <f t="shared" si="170"/>
        <v>1.001850375746663</v>
      </c>
      <c r="V195" s="4">
        <f t="shared" si="171"/>
        <v>6.0786955881134377E-2</v>
      </c>
      <c r="W195" t="str">
        <f t="shared" si="158"/>
        <v>1-0.92495345088904i</v>
      </c>
      <c r="X195" s="4">
        <f t="shared" si="172"/>
        <v>1.3621816642105942</v>
      </c>
      <c r="Y195" s="4">
        <f t="shared" si="173"/>
        <v>-0.74643173430992016</v>
      </c>
      <c r="Z195" t="str">
        <f t="shared" si="159"/>
        <v>0.999992836015486+0.0129493483124465i</v>
      </c>
      <c r="AA195" s="4">
        <f t="shared" si="174"/>
        <v>1.000076675912408</v>
      </c>
      <c r="AB195" s="4">
        <f t="shared" si="175"/>
        <v>1.2948717332795156E-2</v>
      </c>
      <c r="AC195" s="47" t="str">
        <f t="shared" si="176"/>
        <v>-1.31147736733234-1.93973785053937i</v>
      </c>
      <c r="AD195" s="20">
        <f t="shared" si="177"/>
        <v>7.3898306160252334</v>
      </c>
      <c r="AE195" s="43">
        <f t="shared" si="178"/>
        <v>-124.06304343049824</v>
      </c>
      <c r="AF195" t="str">
        <f t="shared" si="160"/>
        <v>247.084651286898</v>
      </c>
      <c r="AG195" t="str">
        <f t="shared" si="161"/>
        <v>1+9.36184271713122i</v>
      </c>
      <c r="AH195">
        <f t="shared" si="179"/>
        <v>9.4150995247157567</v>
      </c>
      <c r="AI195">
        <f t="shared" si="180"/>
        <v>1.4643832416822582</v>
      </c>
      <c r="AJ195" t="str">
        <f t="shared" si="162"/>
        <v>1+0.0608619370684988i</v>
      </c>
      <c r="AK195">
        <f t="shared" si="181"/>
        <v>1.001850375746663</v>
      </c>
      <c r="AL195">
        <f t="shared" si="182"/>
        <v>6.0786955881134377E-2</v>
      </c>
      <c r="AM195" t="str">
        <f t="shared" si="163"/>
        <v>1-0.0604606014890859i</v>
      </c>
      <c r="AN195">
        <f t="shared" si="183"/>
        <v>1.0018260748914565</v>
      </c>
      <c r="AO195">
        <f t="shared" si="184"/>
        <v>-6.0387091722976759E-2</v>
      </c>
      <c r="AP195" s="41" t="str">
        <f t="shared" si="185"/>
        <v>2.80810815361996-26.1899030051956i</v>
      </c>
      <c r="AQ195">
        <f t="shared" si="186"/>
        <v>28.41232098879296</v>
      </c>
      <c r="AR195" s="43">
        <f t="shared" si="187"/>
        <v>-83.880068809438427</v>
      </c>
      <c r="AS195" t="str">
        <f t="shared" si="164"/>
        <v>-0.0000166666666666667</v>
      </c>
      <c r="AT195" t="str">
        <f t="shared" si="165"/>
        <v>0.0000125793669320909i</v>
      </c>
      <c r="AU195">
        <f t="shared" si="188"/>
        <v>1.25793669320909E-5</v>
      </c>
      <c r="AV195">
        <f t="shared" si="189"/>
        <v>1.5707963267948966</v>
      </c>
      <c r="AW195" t="str">
        <f t="shared" si="166"/>
        <v>1+0.012783944871817i</v>
      </c>
      <c r="AX195">
        <f t="shared" si="190"/>
        <v>1.0000817112848757</v>
      </c>
      <c r="AY195">
        <f t="shared" si="191"/>
        <v>1.2783248516606106E-2</v>
      </c>
      <c r="AZ195" t="str">
        <f t="shared" si="167"/>
        <v>1+0.434654125641778i</v>
      </c>
      <c r="BA195">
        <f t="shared" si="192"/>
        <v>1.0903780119469664</v>
      </c>
      <c r="BB195">
        <f t="shared" si="193"/>
        <v>0.41001927896983209</v>
      </c>
      <c r="BC195" s="41" t="str">
        <f t="shared" si="194"/>
        <v>-0.558853303703884+1.33206529033443i</v>
      </c>
      <c r="BD195">
        <f t="shared" si="195"/>
        <v>3.1946312808224766</v>
      </c>
      <c r="BE195" s="43">
        <f t="shared" si="196"/>
        <v>112.75994801550006</v>
      </c>
      <c r="BF195" s="41" t="str">
        <f t="shared" si="197"/>
        <v>3.31678092251796-0.66294457398919i</v>
      </c>
      <c r="BG195" s="20">
        <f t="shared" si="198"/>
        <v>10.58446189684771</v>
      </c>
      <c r="BH195" s="43">
        <f t="shared" si="199"/>
        <v>-11.303095414998195</v>
      </c>
      <c r="BI195" s="41" t="str">
        <f t="shared" si="203"/>
        <v>33.3173402316381+18.3768972210801i</v>
      </c>
      <c r="BJ195" s="20">
        <f t="shared" si="200"/>
        <v>31.606952269615437</v>
      </c>
      <c r="BK195" s="43">
        <f t="shared" si="204"/>
        <v>28.879879206061645</v>
      </c>
      <c r="BL195">
        <f t="shared" si="201"/>
        <v>10.58446189684771</v>
      </c>
      <c r="BM195" s="43">
        <f t="shared" si="202"/>
        <v>-11.303095414998195</v>
      </c>
    </row>
    <row r="196" spans="14:65" x14ac:dyDescent="0.25">
      <c r="N196" s="9">
        <v>78</v>
      </c>
      <c r="O196" s="34">
        <f t="shared" si="205"/>
        <v>602.55958607435832</v>
      </c>
      <c r="P196" s="33" t="str">
        <f t="shared" si="155"/>
        <v>16.5157725627975</v>
      </c>
      <c r="Q196" s="4" t="str">
        <f t="shared" si="156"/>
        <v>1+9.79614861745964i</v>
      </c>
      <c r="R196" s="4">
        <f t="shared" si="168"/>
        <v>9.8470568057342085</v>
      </c>
      <c r="S196" s="4">
        <f t="shared" si="169"/>
        <v>1.4690677709808084</v>
      </c>
      <c r="T196" s="4" t="str">
        <f t="shared" si="157"/>
        <v>1+0.0622795936988271i</v>
      </c>
      <c r="U196" s="4">
        <f t="shared" si="170"/>
        <v>1.0019374969484329</v>
      </c>
      <c r="V196" s="4">
        <f t="shared" si="171"/>
        <v>6.2199258297735933E-2</v>
      </c>
      <c r="W196" t="str">
        <f t="shared" si="158"/>
        <v>1-0.946498384480655i</v>
      </c>
      <c r="X196" s="4">
        <f t="shared" si="172"/>
        <v>1.3769020269519867</v>
      </c>
      <c r="Y196" s="4">
        <f t="shared" si="173"/>
        <v>-0.75791899936024532</v>
      </c>
      <c r="Z196" t="str">
        <f t="shared" si="159"/>
        <v>0.999992498387298+0.0132509773827292i</v>
      </c>
      <c r="AA196" s="4">
        <f t="shared" si="174"/>
        <v>1.0000802893930405</v>
      </c>
      <c r="AB196" s="4">
        <f t="shared" si="175"/>
        <v>1.3250301278776418E-2</v>
      </c>
      <c r="AC196" s="47" t="str">
        <f t="shared" si="176"/>
        <v>-1.32018949198122-1.9000433005249i</v>
      </c>
      <c r="AD196" s="20">
        <f t="shared" si="177"/>
        <v>7.286025037755067</v>
      </c>
      <c r="AE196" s="43">
        <f t="shared" si="178"/>
        <v>-124.79237432325877</v>
      </c>
      <c r="AF196" t="str">
        <f t="shared" si="160"/>
        <v>247.084651286898</v>
      </c>
      <c r="AG196" t="str">
        <f t="shared" si="161"/>
        <v>1+9.57990804727499i</v>
      </c>
      <c r="AH196">
        <f t="shared" si="179"/>
        <v>9.6319592085018773</v>
      </c>
      <c r="AI196">
        <f t="shared" si="180"/>
        <v>1.4667878674239228</v>
      </c>
      <c r="AJ196" t="str">
        <f t="shared" si="162"/>
        <v>1+0.0622795936988271i</v>
      </c>
      <c r="AK196">
        <f t="shared" si="181"/>
        <v>1.0019374969484329</v>
      </c>
      <c r="AL196">
        <f t="shared" si="182"/>
        <v>6.2199258297735933E-2</v>
      </c>
      <c r="AM196" t="str">
        <f t="shared" si="163"/>
        <v>1-0.0618689098128609i</v>
      </c>
      <c r="AN196">
        <f t="shared" si="183"/>
        <v>1.0019120530273264</v>
      </c>
      <c r="AO196">
        <f t="shared" si="184"/>
        <v>-6.179015079566684E-2</v>
      </c>
      <c r="AP196" s="41" t="str">
        <f t="shared" si="185"/>
        <v>2.68401821886149-25.6111740491507i</v>
      </c>
      <c r="AQ196">
        <f t="shared" si="186"/>
        <v>28.216027297331419</v>
      </c>
      <c r="AR196" s="43">
        <f t="shared" si="187"/>
        <v>-84.017314111149588</v>
      </c>
      <c r="AS196" t="str">
        <f t="shared" si="164"/>
        <v>-0.0000166666666666667</v>
      </c>
      <c r="AT196" t="str">
        <f t="shared" si="165"/>
        <v>0.0000128723780289369i</v>
      </c>
      <c r="AU196">
        <f t="shared" si="188"/>
        <v>1.2872378028936901E-5</v>
      </c>
      <c r="AV196">
        <f t="shared" si="189"/>
        <v>1.5707963267948966</v>
      </c>
      <c r="AW196" t="str">
        <f t="shared" si="166"/>
        <v>1+0.0130817212010338i</v>
      </c>
      <c r="AX196">
        <f t="shared" si="190"/>
        <v>1.0000855620543583</v>
      </c>
      <c r="AY196">
        <f t="shared" si="191"/>
        <v>1.3080975046429764E-2</v>
      </c>
      <c r="AZ196" t="str">
        <f t="shared" si="167"/>
        <v>1+0.444778520835149i</v>
      </c>
      <c r="BA196">
        <f t="shared" si="192"/>
        <v>1.0944532573830199</v>
      </c>
      <c r="BB196">
        <f t="shared" si="193"/>
        <v>0.41850326599414367</v>
      </c>
      <c r="BC196" s="41" t="str">
        <f t="shared" si="194"/>
        <v>-0.558849000049903+1.30207276470076i</v>
      </c>
      <c r="BD196">
        <f t="shared" si="195"/>
        <v>3.0270004969634283</v>
      </c>
      <c r="BE196" s="43">
        <f t="shared" si="196"/>
        <v>113.22898619182888</v>
      </c>
      <c r="BF196" s="41" t="str">
        <f t="shared" si="197"/>
        <v>3.21178121083571-0.657145483203021i</v>
      </c>
      <c r="BG196" s="20">
        <f t="shared" si="198"/>
        <v>10.313025534718502</v>
      </c>
      <c r="BH196" s="43">
        <f t="shared" si="199"/>
        <v>-11.563388131429877</v>
      </c>
      <c r="BI196" s="41" t="str">
        <f t="shared" si="203"/>
        <v>31.8476513036835+17.8075660302121i</v>
      </c>
      <c r="BJ196" s="20">
        <f t="shared" si="200"/>
        <v>31.243027794294839</v>
      </c>
      <c r="BK196" s="43">
        <f t="shared" si="204"/>
        <v>29.211672080679353</v>
      </c>
      <c r="BL196">
        <f t="shared" si="201"/>
        <v>10.313025534718502</v>
      </c>
      <c r="BM196" s="43">
        <f t="shared" si="202"/>
        <v>-11.563388131429877</v>
      </c>
    </row>
    <row r="197" spans="14:65" x14ac:dyDescent="0.25">
      <c r="N197" s="9">
        <v>79</v>
      </c>
      <c r="O197" s="34">
        <f t="shared" si="205"/>
        <v>616.59500186148273</v>
      </c>
      <c r="P197" s="33" t="str">
        <f t="shared" si="155"/>
        <v>16.5157725627975</v>
      </c>
      <c r="Q197" s="4" t="str">
        <f t="shared" si="156"/>
        <v>1+10.0243302315873i</v>
      </c>
      <c r="R197" s="4">
        <f t="shared" si="168"/>
        <v>10.074085397291165</v>
      </c>
      <c r="S197" s="4">
        <f t="shared" si="169"/>
        <v>1.4713679887794815</v>
      </c>
      <c r="T197" s="4" t="str">
        <f t="shared" si="157"/>
        <v>1+0.0637302717941024i</v>
      </c>
      <c r="U197" s="4">
        <f t="shared" si="170"/>
        <v>1.0020287159273182</v>
      </c>
      <c r="V197" s="4">
        <f t="shared" si="171"/>
        <v>6.3644200270820878E-2</v>
      </c>
      <c r="W197" t="str">
        <f t="shared" si="158"/>
        <v>1-0.96854516404411i</v>
      </c>
      <c r="X197" s="4">
        <f t="shared" si="172"/>
        <v>1.3921493220173013</v>
      </c>
      <c r="Y197" s="4">
        <f t="shared" si="173"/>
        <v>-0.76942080106469912</v>
      </c>
      <c r="Z197" t="str">
        <f t="shared" si="159"/>
        <v>0.999992144847183+0.0135596322966175i</v>
      </c>
      <c r="AA197" s="4">
        <f t="shared" si="174"/>
        <v>1.0000840731578964</v>
      </c>
      <c r="AB197" s="4">
        <f t="shared" si="175"/>
        <v>1.3558907841461449E-2</v>
      </c>
      <c r="AC197" s="47" t="str">
        <f t="shared" si="176"/>
        <v>-1.32852178294049-1.86127727091175i</v>
      </c>
      <c r="AD197" s="20">
        <f t="shared" si="177"/>
        <v>7.1844548494714928</v>
      </c>
      <c r="AE197" s="43">
        <f t="shared" si="178"/>
        <v>-125.51806456641799</v>
      </c>
      <c r="AF197" t="str">
        <f t="shared" si="160"/>
        <v>247.084651286898</v>
      </c>
      <c r="AG197" t="str">
        <f t="shared" si="161"/>
        <v>1+9.80305277147051i</v>
      </c>
      <c r="AH197">
        <f t="shared" si="179"/>
        <v>9.8539252909810333</v>
      </c>
      <c r="AI197">
        <f t="shared" si="180"/>
        <v>1.4691389242341966</v>
      </c>
      <c r="AJ197" t="str">
        <f t="shared" si="162"/>
        <v>1+0.0637302717941024i</v>
      </c>
      <c r="AK197">
        <f t="shared" si="181"/>
        <v>1.0020287159273182</v>
      </c>
      <c r="AL197">
        <f t="shared" si="182"/>
        <v>6.3644200270820878E-2</v>
      </c>
      <c r="AM197" t="str">
        <f t="shared" si="163"/>
        <v>1-0.0633100218515506i</v>
      </c>
      <c r="AN197">
        <f t="shared" si="183"/>
        <v>1.0020020752807071</v>
      </c>
      <c r="AO197">
        <f t="shared" si="184"/>
        <v>-6.3225639148535406E-2</v>
      </c>
      <c r="AP197" s="41" t="str">
        <f t="shared" si="185"/>
        <v>2.56539550488582-25.0448702035802i</v>
      </c>
      <c r="AQ197">
        <f t="shared" si="186"/>
        <v>28.01970583107504</v>
      </c>
      <c r="AR197" s="43">
        <f t="shared" si="187"/>
        <v>-84.151478091234267</v>
      </c>
      <c r="AS197" t="str">
        <f t="shared" si="164"/>
        <v>-0.0000166666666666667</v>
      </c>
      <c r="AT197" t="str">
        <f t="shared" si="165"/>
        <v>0.0000131722142309999i</v>
      </c>
      <c r="AU197">
        <f t="shared" si="188"/>
        <v>1.31722142309999E-5</v>
      </c>
      <c r="AV197">
        <f t="shared" si="189"/>
        <v>1.5707963267948966</v>
      </c>
      <c r="AW197" t="str">
        <f t="shared" si="166"/>
        <v>1+0.0133864336319885i</v>
      </c>
      <c r="AX197">
        <f t="shared" si="190"/>
        <v>1.0000895942891235</v>
      </c>
      <c r="AY197">
        <f t="shared" si="191"/>
        <v>1.3385634116793969E-2</v>
      </c>
      <c r="AZ197" t="str">
        <f t="shared" si="167"/>
        <v>1+0.455138743487608i</v>
      </c>
      <c r="BA197">
        <f t="shared" si="192"/>
        <v>1.0987043623393322</v>
      </c>
      <c r="BB197">
        <f t="shared" si="193"/>
        <v>0.42711908158747852</v>
      </c>
      <c r="BC197" s="41" t="str">
        <f t="shared" si="194"/>
        <v>-0.558844493642003+1.27277060997485i</v>
      </c>
      <c r="BD197">
        <f t="shared" si="195"/>
        <v>2.8606380902561042</v>
      </c>
      <c r="BE197" s="43">
        <f t="shared" si="196"/>
        <v>113.70518038346771</v>
      </c>
      <c r="BF197" s="41" t="str">
        <f t="shared" si="197"/>
        <v>3.11141609051042-0.650738926047997i</v>
      </c>
      <c r="BG197" s="20">
        <f t="shared" si="198"/>
        <v>10.045092939727596</v>
      </c>
      <c r="BH197" s="43">
        <f t="shared" si="199"/>
        <v>-11.81288418295029</v>
      </c>
      <c r="BI197" s="41" t="str">
        <f t="shared" si="203"/>
        <v>30.4427175738323+17.2613478088297i</v>
      </c>
      <c r="BJ197" s="20">
        <f t="shared" si="200"/>
        <v>30.880343921331132</v>
      </c>
      <c r="BK197" s="43">
        <f t="shared" si="204"/>
        <v>29.553702292233432</v>
      </c>
      <c r="BL197">
        <f t="shared" si="201"/>
        <v>10.045092939727596</v>
      </c>
      <c r="BM197" s="43">
        <f t="shared" si="202"/>
        <v>-11.81288418295029</v>
      </c>
    </row>
    <row r="198" spans="14:65" x14ac:dyDescent="0.25">
      <c r="N198" s="9">
        <v>80</v>
      </c>
      <c r="O198" s="34">
        <f t="shared" si="205"/>
        <v>630.95734448019323</v>
      </c>
      <c r="P198" s="33" t="str">
        <f t="shared" si="155"/>
        <v>16.5157725627975</v>
      </c>
      <c r="Q198" s="4" t="str">
        <f t="shared" si="156"/>
        <v>1+10.2578268782913i</v>
      </c>
      <c r="R198" s="4">
        <f t="shared" si="168"/>
        <v>10.306454883469653</v>
      </c>
      <c r="S198" s="4">
        <f t="shared" si="169"/>
        <v>1.473616867730261</v>
      </c>
      <c r="T198" s="4" t="str">
        <f t="shared" si="157"/>
        <v>1+0.0652147405230527i</v>
      </c>
      <c r="U198" s="4">
        <f t="shared" si="170"/>
        <v>1.0021242250247666</v>
      </c>
      <c r="V198" s="4">
        <f t="shared" si="171"/>
        <v>6.5122523779474806E-2</v>
      </c>
      <c r="W198" t="str">
        <f t="shared" si="158"/>
        <v>1-0.99110547907375i</v>
      </c>
      <c r="X198" s="4">
        <f t="shared" si="172"/>
        <v>1.4079382339612798</v>
      </c>
      <c r="Y198" s="4">
        <f t="shared" si="173"/>
        <v>-0.78093106617111441</v>
      </c>
      <c r="Z198" t="str">
        <f t="shared" si="159"/>
        <v>0.999991774645236+0.0138754767070325i</v>
      </c>
      <c r="AA198" s="4">
        <f t="shared" si="174"/>
        <v>1.000088035230887</v>
      </c>
      <c r="AB198" s="4">
        <f t="shared" si="175"/>
        <v>1.3874700443029103E-2</v>
      </c>
      <c r="AC198" s="47" t="str">
        <f t="shared" si="176"/>
        <v>-1.33649086119399-1.82342436363427i</v>
      </c>
      <c r="AD198" s="20">
        <f t="shared" si="177"/>
        <v>7.0851303829620518</v>
      </c>
      <c r="AE198" s="43">
        <f t="shared" si="178"/>
        <v>-126.23979733607808</v>
      </c>
      <c r="AF198" t="str">
        <f t="shared" si="160"/>
        <v>247.084651286898</v>
      </c>
      <c r="AG198" t="str">
        <f t="shared" si="161"/>
        <v>1+10.0313952040042i</v>
      </c>
      <c r="AH198">
        <f t="shared" si="179"/>
        <v>10.081115500723046</v>
      </c>
      <c r="AI198">
        <f t="shared" si="180"/>
        <v>1.4714375546545364</v>
      </c>
      <c r="AJ198" t="str">
        <f t="shared" si="162"/>
        <v>1+0.0652147405230527i</v>
      </c>
      <c r="AK198">
        <f t="shared" si="181"/>
        <v>1.0021242250247666</v>
      </c>
      <c r="AL198">
        <f t="shared" si="182"/>
        <v>6.5122523779474806E-2</v>
      </c>
      <c r="AM198" t="str">
        <f t="shared" si="163"/>
        <v>1-0.064784701701833i</v>
      </c>
      <c r="AN198">
        <f t="shared" si="183"/>
        <v>1.0020963314844513</v>
      </c>
      <c r="AO198">
        <f t="shared" si="184"/>
        <v>-6.4694294219110479E-2</v>
      </c>
      <c r="AP198" s="41" t="str">
        <f t="shared" si="185"/>
        <v>2.45200415007424-24.4907666790722i</v>
      </c>
      <c r="AQ198">
        <f t="shared" si="186"/>
        <v>27.823364213054713</v>
      </c>
      <c r="AR198" s="43">
        <f t="shared" si="187"/>
        <v>-84.282625952283723</v>
      </c>
      <c r="AS198" t="str">
        <f t="shared" si="164"/>
        <v>-0.0000166666666666667</v>
      </c>
      <c r="AT198" t="str">
        <f t="shared" si="165"/>
        <v>0.000013479034515403i</v>
      </c>
      <c r="AU198">
        <f t="shared" si="188"/>
        <v>1.3479034515403E-5</v>
      </c>
      <c r="AV198">
        <f t="shared" si="189"/>
        <v>1.5707963267948966</v>
      </c>
      <c r="AW198" t="str">
        <f t="shared" si="166"/>
        <v>1+0.0136982437272452i</v>
      </c>
      <c r="AX198">
        <f t="shared" si="190"/>
        <v>1.0000938165398339</v>
      </c>
      <c r="AY198">
        <f t="shared" si="191"/>
        <v>1.369738703561978E-2</v>
      </c>
      <c r="AZ198" t="str">
        <f t="shared" si="167"/>
        <v>1+0.465740286726336i</v>
      </c>
      <c r="BA198">
        <f t="shared" si="192"/>
        <v>1.1031382572823452</v>
      </c>
      <c r="BB198">
        <f t="shared" si="193"/>
        <v>0.43586617635690023</v>
      </c>
      <c r="BC198" s="41" t="str">
        <f t="shared" si="194"/>
        <v>-0.558839774931538+1.24414328938699i</v>
      </c>
      <c r="BD198">
        <f t="shared" si="195"/>
        <v>2.6955833696015912</v>
      </c>
      <c r="BE198" s="43">
        <f t="shared" si="196"/>
        <v>114.18848987025697</v>
      </c>
      <c r="BF198" s="41" t="str">
        <f t="shared" si="197"/>
        <v>3.01548543778803-0.643784075303483i</v>
      </c>
      <c r="BG198" s="20">
        <f t="shared" si="198"/>
        <v>9.7807137525636545</v>
      </c>
      <c r="BH198" s="43">
        <f t="shared" si="199"/>
        <v>-12.051307465821107</v>
      </c>
      <c r="BI198" s="41" t="str">
        <f t="shared" si="203"/>
        <v>29.0997455683515+16.7370590476974i</v>
      </c>
      <c r="BJ198" s="20">
        <f t="shared" si="200"/>
        <v>30.518947582656306</v>
      </c>
      <c r="BK198" s="43">
        <f t="shared" si="204"/>
        <v>29.905863917973207</v>
      </c>
      <c r="BL198">
        <f t="shared" si="201"/>
        <v>9.7807137525636545</v>
      </c>
      <c r="BM198" s="43">
        <f t="shared" si="202"/>
        <v>-12.051307465821107</v>
      </c>
    </row>
    <row r="199" spans="14:65" x14ac:dyDescent="0.25">
      <c r="N199" s="9">
        <v>81</v>
      </c>
      <c r="O199" s="34">
        <f t="shared" si="205"/>
        <v>645.65422903465594</v>
      </c>
      <c r="P199" s="33" t="str">
        <f t="shared" si="155"/>
        <v>16.5157725627975</v>
      </c>
      <c r="Q199" s="4" t="str">
        <f t="shared" si="156"/>
        <v>1+10.4967623605847i</v>
      </c>
      <c r="R199" s="4">
        <f t="shared" si="168"/>
        <v>10.544288503952636</v>
      </c>
      <c r="S199" s="4">
        <f t="shared" si="169"/>
        <v>1.4758155091797061</v>
      </c>
      <c r="T199" s="4" t="str">
        <f t="shared" si="157"/>
        <v>1+0.0667337869706476i</v>
      </c>
      <c r="U199" s="4">
        <f t="shared" si="170"/>
        <v>1.0022242255720244</v>
      </c>
      <c r="V199" s="4">
        <f t="shared" si="171"/>
        <v>6.6634986789520775E-2</v>
      </c>
      <c r="W199" t="str">
        <f t="shared" si="158"/>
        <v>1-1.01419129134723i</v>
      </c>
      <c r="X199" s="4">
        <f t="shared" si="172"/>
        <v>1.4242836709885296</v>
      </c>
      <c r="Y199" s="4">
        <f t="shared" si="173"/>
        <v>-0.79244369903791667</v>
      </c>
      <c r="Z199" t="str">
        <f t="shared" si="159"/>
        <v>0.999991386996209+0.0141986780788612i</v>
      </c>
      <c r="AA199" s="4">
        <f t="shared" si="174"/>
        <v>1.0000921840139483</v>
      </c>
      <c r="AB199" s="4">
        <f t="shared" si="175"/>
        <v>1.4197846301126917E-2</v>
      </c>
      <c r="AC199" s="47" t="str">
        <f t="shared" si="176"/>
        <v>-1.34411266818231-1.7864693310514i</v>
      </c>
      <c r="AD199" s="20">
        <f t="shared" si="177"/>
        <v>6.9880594341423485</v>
      </c>
      <c r="AE199" s="43">
        <f t="shared" si="178"/>
        <v>-126.95725263283613</v>
      </c>
      <c r="AF199" t="str">
        <f t="shared" si="160"/>
        <v>247.084651286898</v>
      </c>
      <c r="AG199" t="str">
        <f t="shared" si="161"/>
        <v>1+10.2650564150562i</v>
      </c>
      <c r="AH199">
        <f t="shared" si="179"/>
        <v>10.313650333625162</v>
      </c>
      <c r="AI199">
        <f t="shared" si="180"/>
        <v>1.4736848802337439</v>
      </c>
      <c r="AJ199" t="str">
        <f t="shared" si="162"/>
        <v>1+0.0667337869706476i</v>
      </c>
      <c r="AK199">
        <f t="shared" si="181"/>
        <v>1.0022242255720244</v>
      </c>
      <c r="AL199">
        <f t="shared" si="182"/>
        <v>6.6634986789520775E-2</v>
      </c>
      <c r="AM199" t="str">
        <f t="shared" si="163"/>
        <v>1-0.0662937312584847i</v>
      </c>
      <c r="AN199">
        <f t="shared" si="183"/>
        <v>1.0021950203449288</v>
      </c>
      <c r="AO199">
        <f t="shared" si="184"/>
        <v>-6.6196869350967358E-2</v>
      </c>
      <c r="AP199" s="41" t="str">
        <f t="shared" si="185"/>
        <v>2.34361803044222-23.9486402856457i</v>
      </c>
      <c r="AQ199">
        <f t="shared" si="186"/>
        <v>27.627010031990014</v>
      </c>
      <c r="AR199" s="43">
        <f t="shared" si="187"/>
        <v>-84.410821689475526</v>
      </c>
      <c r="AS199" t="str">
        <f t="shared" si="164"/>
        <v>-0.0000166666666666667</v>
      </c>
      <c r="AT199" t="str">
        <f t="shared" si="165"/>
        <v>0.0000137930015623223i</v>
      </c>
      <c r="AU199">
        <f t="shared" si="188"/>
        <v>1.37930015623223E-5</v>
      </c>
      <c r="AV199">
        <f t="shared" si="189"/>
        <v>1.5707963267948966</v>
      </c>
      <c r="AW199" t="str">
        <f t="shared" si="166"/>
        <v>1+0.0140173168126438i</v>
      </c>
      <c r="AX199">
        <f t="shared" si="190"/>
        <v>1.0000982377599843</v>
      </c>
      <c r="AY199">
        <f t="shared" si="191"/>
        <v>1.4016398855898419E-2</v>
      </c>
      <c r="AZ199" t="str">
        <f t="shared" si="167"/>
        <v>1+0.476588771629889i</v>
      </c>
      <c r="BA199">
        <f t="shared" si="192"/>
        <v>1.1077620941536528</v>
      </c>
      <c r="BB199">
        <f t="shared" si="193"/>
        <v>0.44474383306277521</v>
      </c>
      <c r="BC199" s="41" t="str">
        <f t="shared" si="194"/>
        <v>-0.558834833920506+1.21617562394633i</v>
      </c>
      <c r="BD199">
        <f t="shared" si="195"/>
        <v>2.5318760479408438</v>
      </c>
      <c r="BE199" s="43">
        <f t="shared" si="196"/>
        <v>114.67886410055283</v>
      </c>
      <c r="BF199" s="41" t="str">
        <f t="shared" si="197"/>
        <v>2.92379743304653-0.636335770958601i</v>
      </c>
      <c r="BG199" s="20">
        <f t="shared" si="198"/>
        <v>9.5199354820831967</v>
      </c>
      <c r="BH199" s="43">
        <f t="shared" si="199"/>
        <v>-12.278388532283286</v>
      </c>
      <c r="BI199" s="41" t="str">
        <f t="shared" si="203"/>
        <v>27.8160571492461+16.2335855371157i</v>
      </c>
      <c r="BJ199" s="20">
        <f t="shared" si="200"/>
        <v>30.158886079930859</v>
      </c>
      <c r="BK199" s="43">
        <f t="shared" si="204"/>
        <v>30.268042411077335</v>
      </c>
      <c r="BL199">
        <f t="shared" si="201"/>
        <v>9.5199354820831967</v>
      </c>
      <c r="BM199" s="43">
        <f t="shared" si="202"/>
        <v>-12.278388532283286</v>
      </c>
    </row>
    <row r="200" spans="14:65" x14ac:dyDescent="0.25">
      <c r="N200" s="9">
        <v>82</v>
      </c>
      <c r="O200" s="34">
        <f t="shared" si="205"/>
        <v>660.69344800759643</v>
      </c>
      <c r="P200" s="33" t="str">
        <f t="shared" si="155"/>
        <v>16.5157725627975</v>
      </c>
      <c r="Q200" s="4" t="str">
        <f t="shared" si="156"/>
        <v>1+10.7412633652227i</v>
      </c>
      <c r="R200" s="4">
        <f t="shared" si="168"/>
        <v>10.787712393323956</v>
      </c>
      <c r="S200" s="4">
        <f t="shared" si="169"/>
        <v>1.4779649938035342</v>
      </c>
      <c r="T200" s="4" t="str">
        <f t="shared" si="157"/>
        <v>1+0.0682882165554204i</v>
      </c>
      <c r="U200" s="4">
        <f t="shared" si="170"/>
        <v>1.0023289283066312</v>
      </c>
      <c r="V200" s="4">
        <f t="shared" si="171"/>
        <v>6.8182363534672011E-2</v>
      </c>
      <c r="W200" t="str">
        <f t="shared" si="158"/>
        <v>1-1.03781484126779i</v>
      </c>
      <c r="X200" s="4">
        <f t="shared" si="172"/>
        <v>1.4412007649025476</v>
      </c>
      <c r="Y200" s="4">
        <f t="shared" si="173"/>
        <v>-0.80395259775268957</v>
      </c>
      <c r="Z200" t="str">
        <f t="shared" si="159"/>
        <v>0.999990981077846+0.014529407777749i</v>
      </c>
      <c r="AA200" s="4">
        <f t="shared" si="174"/>
        <v>1.0000965283048457</v>
      </c>
      <c r="AB200" s="4">
        <f t="shared" si="175"/>
        <v>1.4528516516484414E-2</v>
      </c>
      <c r="AC200" s="47" t="str">
        <f t="shared" si="176"/>
        <v>-1.35140249184048-1.75039708892535i</v>
      </c>
      <c r="AD200" s="20">
        <f t="shared" si="177"/>
        <v>6.8932472646837244</v>
      </c>
      <c r="AE200" s="43">
        <f t="shared" si="178"/>
        <v>-127.67010820404647</v>
      </c>
      <c r="AF200" t="str">
        <f t="shared" si="160"/>
        <v>247.084651286898</v>
      </c>
      <c r="AG200" t="str">
        <f t="shared" si="161"/>
        <v>1+10.5041602948937i</v>
      </c>
      <c r="AH200">
        <f t="shared" si="179"/>
        <v>10.551653116968039</v>
      </c>
      <c r="AI200">
        <f t="shared" si="180"/>
        <v>1.4758820016832759</v>
      </c>
      <c r="AJ200" t="str">
        <f t="shared" si="162"/>
        <v>1+0.0682882165554204i</v>
      </c>
      <c r="AK200">
        <f t="shared" si="181"/>
        <v>1.0023289283066312</v>
      </c>
      <c r="AL200">
        <f t="shared" si="182"/>
        <v>6.8182363534672011E-2</v>
      </c>
      <c r="AM200" t="str">
        <f t="shared" si="163"/>
        <v>1-0.0678379106289511i</v>
      </c>
      <c r="AN200">
        <f t="shared" si="183"/>
        <v>1.0022983498532267</v>
      </c>
      <c r="AO200">
        <f t="shared" si="184"/>
        <v>-6.7734134074749014E-2</v>
      </c>
      <c r="AP200" s="41" t="str">
        <f t="shared" si="185"/>
        <v>2.24002039608814-23.418269621527i</v>
      </c>
      <c r="AQ200">
        <f t="shared" si="186"/>
        <v>27.430650856973354</v>
      </c>
      <c r="AR200" s="43">
        <f t="shared" si="187"/>
        <v>-84.536128099464548</v>
      </c>
      <c r="AS200" t="str">
        <f t="shared" si="164"/>
        <v>-0.0000166666666666667</v>
      </c>
      <c r="AT200" t="str">
        <f t="shared" si="165"/>
        <v>0.0000141142818412419i</v>
      </c>
      <c r="AU200">
        <f t="shared" si="188"/>
        <v>1.4114281841241899E-5</v>
      </c>
      <c r="AV200">
        <f t="shared" si="189"/>
        <v>1.5707963267948966</v>
      </c>
      <c r="AW200" t="str">
        <f t="shared" si="166"/>
        <v>1+0.0143438220649576i</v>
      </c>
      <c r="AX200">
        <f t="shared" si="190"/>
        <v>1.0001028673248724</v>
      </c>
      <c r="AY200">
        <f t="shared" si="191"/>
        <v>1.434283846204759E-2</v>
      </c>
      <c r="AZ200" t="str">
        <f t="shared" si="167"/>
        <v>1+0.487689950208559i</v>
      </c>
      <c r="BA200">
        <f t="shared" si="192"/>
        <v>1.1125832497096237</v>
      </c>
      <c r="BB200">
        <f t="shared" si="193"/>
        <v>0.45375116036423724</v>
      </c>
      <c r="BC200" s="41" t="str">
        <f t="shared" si="194"/>
        <v>-0.558829660140446+1.18885278439087i</v>
      </c>
      <c r="BD200">
        <f t="shared" si="195"/>
        <v>2.3695561803241989</v>
      </c>
      <c r="BE200" s="43">
        <f t="shared" si="196"/>
        <v>115.1762423279213</v>
      </c>
      <c r="BF200" s="41" t="str">
        <f t="shared" si="197"/>
        <v>2.83616824818674-0.628444804942335i</v>
      </c>
      <c r="BG200" s="20">
        <f t="shared" si="198"/>
        <v>9.2628034450079113</v>
      </c>
      <c r="BH200" s="43">
        <f t="shared" si="199"/>
        <v>-12.493865876125177</v>
      </c>
      <c r="BI200" s="41" t="str">
        <f t="shared" si="203"/>
        <v>26.5890852085149+15.749878138657i</v>
      </c>
      <c r="BJ200" s="20">
        <f t="shared" si="200"/>
        <v>29.800207037297554</v>
      </c>
      <c r="BK200" s="43">
        <f t="shared" si="204"/>
        <v>30.64011422845677</v>
      </c>
      <c r="BL200">
        <f t="shared" si="201"/>
        <v>9.2628034450079113</v>
      </c>
      <c r="BM200" s="43">
        <f t="shared" si="202"/>
        <v>-12.493865876125177</v>
      </c>
    </row>
    <row r="201" spans="14:65" x14ac:dyDescent="0.25">
      <c r="N201" s="9">
        <v>83</v>
      </c>
      <c r="O201" s="34">
        <f t="shared" si="205"/>
        <v>676.08297539198213</v>
      </c>
      <c r="P201" s="33" t="str">
        <f t="shared" si="155"/>
        <v>16.5157725627975</v>
      </c>
      <c r="Q201" s="4" t="str">
        <f t="shared" si="156"/>
        <v>1+10.9914595298744i</v>
      </c>
      <c r="R201" s="4">
        <f t="shared" si="168"/>
        <v>11.036855648094106</v>
      </c>
      <c r="S201" s="4">
        <f t="shared" si="169"/>
        <v>1.4800663817933013</v>
      </c>
      <c r="T201" s="4" t="str">
        <f t="shared" si="157"/>
        <v>1+0.0698788534565123i</v>
      </c>
      <c r="U201" s="4">
        <f t="shared" si="170"/>
        <v>1.0024385538078615</v>
      </c>
      <c r="V201" s="4">
        <f t="shared" si="171"/>
        <v>6.9765444797888723E-2</v>
      </c>
      <c r="W201" t="str">
        <f t="shared" si="158"/>
        <v>1-1.06198865435429i</v>
      </c>
      <c r="X201" s="4">
        <f t="shared" si="172"/>
        <v>1.4587048714449526</v>
      </c>
      <c r="Y201" s="4">
        <f t="shared" si="173"/>
        <v>-0.81545167029123433</v>
      </c>
      <c r="Z201" t="str">
        <f t="shared" si="159"/>
        <v>0.99999055602914+0.01486784116096i</v>
      </c>
      <c r="AA201" s="4">
        <f t="shared" si="174"/>
        <v>1.0001010773158161</v>
      </c>
      <c r="AB201" s="4">
        <f t="shared" si="175"/>
        <v>1.4866886162509882E-2</v>
      </c>
      <c r="AC201" s="47" t="str">
        <f t="shared" si="176"/>
        <v>-1.35837499190539-1.71519272820159i</v>
      </c>
      <c r="AD201" s="20">
        <f t="shared" si="177"/>
        <v>6.800696613829027</v>
      </c>
      <c r="AE201" s="43">
        <f t="shared" si="178"/>
        <v>-128.37804046937708</v>
      </c>
      <c r="AF201" t="str">
        <f t="shared" si="160"/>
        <v>247.084651286898</v>
      </c>
      <c r="AG201" t="str">
        <f t="shared" si="161"/>
        <v>1+10.7488336195584i</v>
      </c>
      <c r="AH201">
        <f t="shared" si="179"/>
        <v>10.79525007496116</v>
      </c>
      <c r="AI201">
        <f t="shared" si="180"/>
        <v>1.4780299990492431</v>
      </c>
      <c r="AJ201" t="str">
        <f t="shared" si="162"/>
        <v>1+0.0698788534565123i</v>
      </c>
      <c r="AK201">
        <f t="shared" si="181"/>
        <v>1.0024385538078615</v>
      </c>
      <c r="AL201">
        <f t="shared" si="182"/>
        <v>6.9765444797888723E-2</v>
      </c>
      <c r="AM201" t="str">
        <f t="shared" si="163"/>
        <v>1-0.0694180585575737i</v>
      </c>
      <c r="AN201">
        <f t="shared" si="183"/>
        <v>1.0024065377150644</v>
      </c>
      <c r="AO201">
        <f t="shared" si="184"/>
        <v>-6.9306874389506057E-2</v>
      </c>
      <c r="AP201" s="41" t="str">
        <f t="shared" si="185"/>
        <v>2.14100351775022-22.8994352442674i</v>
      </c>
      <c r="AQ201">
        <f t="shared" si="186"/>
        <v>27.234294252169533</v>
      </c>
      <c r="AR201" s="43">
        <f t="shared" si="187"/>
        <v>-84.658606790236817</v>
      </c>
      <c r="AS201" t="str">
        <f t="shared" si="164"/>
        <v>-0.0000166666666666667</v>
      </c>
      <c r="AT201" t="str">
        <f t="shared" si="165"/>
        <v>0.0000144430456992183i</v>
      </c>
      <c r="AU201">
        <f t="shared" si="188"/>
        <v>1.44430456992183E-5</v>
      </c>
      <c r="AV201">
        <f t="shared" si="189"/>
        <v>1.5707963267948966</v>
      </c>
      <c r="AW201" t="str">
        <f t="shared" si="166"/>
        <v>1+0.0146779326015932i</v>
      </c>
      <c r="AX201">
        <f t="shared" si="190"/>
        <v>1.0001077150514623</v>
      </c>
      <c r="AY201">
        <f t="shared" si="191"/>
        <v>1.4676878658217105E-2</v>
      </c>
      <c r="AZ201" t="str">
        <f t="shared" si="167"/>
        <v>1+0.499049708454168i</v>
      </c>
      <c r="BA201">
        <f t="shared" si="192"/>
        <v>1.1176093286601496</v>
      </c>
      <c r="BB201">
        <f t="shared" si="193"/>
        <v>0.46288708682359381</v>
      </c>
      <c r="BC201" s="41" t="str">
        <f t="shared" si="194"/>
        <v>-0.558824242630321+1.16216028332269i</v>
      </c>
      <c r="BD201">
        <f t="shared" si="195"/>
        <v>2.2086640970082252</v>
      </c>
      <c r="BE201" s="43">
        <f t="shared" si="196"/>
        <v>115.68055326255606</v>
      </c>
      <c r="BF201" s="41" t="str">
        <f t="shared" si="197"/>
        <v>2.75242174301928-0.620158188148937i</v>
      </c>
      <c r="BG201" s="20">
        <f t="shared" si="198"/>
        <v>9.0093607108372638</v>
      </c>
      <c r="BH201" s="43">
        <f t="shared" si="199"/>
        <v>-12.697487206820991</v>
      </c>
      <c r="BI201" s="41" t="str">
        <f t="shared" si="203"/>
        <v>25.4163694821318+15.2849488118233i</v>
      </c>
      <c r="BJ201" s="20">
        <f t="shared" si="200"/>
        <v>29.442958349177765</v>
      </c>
      <c r="BK201" s="43">
        <f t="shared" si="204"/>
        <v>31.021946472319279</v>
      </c>
      <c r="BL201">
        <f t="shared" si="201"/>
        <v>9.0093607108372638</v>
      </c>
      <c r="BM201" s="43">
        <f t="shared" si="202"/>
        <v>-12.697487206820991</v>
      </c>
    </row>
    <row r="202" spans="14:65" x14ac:dyDescent="0.25">
      <c r="N202" s="9">
        <v>84</v>
      </c>
      <c r="O202" s="34">
        <f t="shared" si="205"/>
        <v>691.83097091893671</v>
      </c>
      <c r="P202" s="33" t="str">
        <f t="shared" si="155"/>
        <v>16.5157725627975</v>
      </c>
      <c r="Q202" s="4" t="str">
        <f t="shared" si="156"/>
        <v>1+11.247483511858i</v>
      </c>
      <c r="R202" s="4">
        <f t="shared" si="168"/>
        <v>11.291850395285868</v>
      </c>
      <c r="S202" s="4">
        <f t="shared" si="169"/>
        <v>1.4821207130567242</v>
      </c>
      <c r="T202" s="4" t="str">
        <f t="shared" si="157"/>
        <v>1+0.0715065410506627i</v>
      </c>
      <c r="U202" s="4">
        <f t="shared" si="170"/>
        <v>1.0025533329519334</v>
      </c>
      <c r="V202" s="4">
        <f t="shared" si="171"/>
        <v>7.1385038192508937E-2</v>
      </c>
      <c r="W202" t="str">
        <f t="shared" si="158"/>
        <v>1-1.08672554788241i</v>
      </c>
      <c r="X202" s="4">
        <f t="shared" si="172"/>
        <v>1.4768115710612253</v>
      </c>
      <c r="Y202" s="4">
        <f t="shared" si="173"/>
        <v>-0.82693485061280803</v>
      </c>
      <c r="Z202" t="str">
        <f t="shared" si="159"/>
        <v>0.999990110948506+0.0152141576703538i</v>
      </c>
      <c r="AA202" s="4">
        <f t="shared" si="174"/>
        <v>1.0001058406930858</v>
      </c>
      <c r="AB202" s="4">
        <f t="shared" si="175"/>
        <v>1.5213134376913445E-2</v>
      </c>
      <c r="AC202" s="47" t="str">
        <f t="shared" si="176"/>
        <v>-1.36504422449258-1.68084152566977i</v>
      </c>
      <c r="AD202" s="20">
        <f t="shared" si="177"/>
        <v>6.7104077204027766</v>
      </c>
      <c r="AE202" s="43">
        <f t="shared" si="178"/>
        <v>-129.08072544361704</v>
      </c>
      <c r="AF202" t="str">
        <f t="shared" si="160"/>
        <v>247.084651286898</v>
      </c>
      <c r="AG202" t="str">
        <f t="shared" si="161"/>
        <v>1+10.9992061180859i</v>
      </c>
      <c r="AH202">
        <f t="shared" si="179"/>
        <v>11.044570395816139</v>
      </c>
      <c r="AI202">
        <f t="shared" si="180"/>
        <v>1.4801299318995298</v>
      </c>
      <c r="AJ202" t="str">
        <f t="shared" si="162"/>
        <v>1+0.0715065410506627i</v>
      </c>
      <c r="AK202">
        <f t="shared" si="181"/>
        <v>1.0025533329519334</v>
      </c>
      <c r="AL202">
        <f t="shared" si="182"/>
        <v>7.1385038192508937E-2</v>
      </c>
      <c r="AM202" t="str">
        <f t="shared" si="163"/>
        <v>1-0.0710350128597002i</v>
      </c>
      <c r="AN202">
        <f t="shared" si="183"/>
        <v>1.0025198118002345</v>
      </c>
      <c r="AO202">
        <f t="shared" si="184"/>
        <v>-7.091589304393954E-2</v>
      </c>
      <c r="AP202" s="41" t="str">
        <f t="shared" si="185"/>
        <v>2.0463683435258-22.3919198253304i</v>
      </c>
      <c r="AQ202">
        <f t="shared" si="186"/>
        <v>27.037947791548085</v>
      </c>
      <c r="AR202" s="43">
        <f t="shared" si="187"/>
        <v>-84.778318191836959</v>
      </c>
      <c r="AS202" t="str">
        <f t="shared" si="164"/>
        <v>-0.0000166666666666667</v>
      </c>
      <c r="AT202" t="str">
        <f t="shared" si="165"/>
        <v>0.0000147794674512008i</v>
      </c>
      <c r="AU202">
        <f t="shared" si="188"/>
        <v>1.47794674512008E-5</v>
      </c>
      <c r="AV202">
        <f t="shared" si="189"/>
        <v>1.5707963267948966</v>
      </c>
      <c r="AW202" t="str">
        <f t="shared" si="166"/>
        <v>1+0.0150198255723795i</v>
      </c>
      <c r="AX202">
        <f t="shared" si="190"/>
        <v>1.0001127912191827</v>
      </c>
      <c r="AY202">
        <f t="shared" si="191"/>
        <v>1.5018696258584013E-2</v>
      </c>
      <c r="AZ202" t="str">
        <f t="shared" si="167"/>
        <v>1+0.510674069460903i</v>
      </c>
      <c r="BA202">
        <f t="shared" si="192"/>
        <v>1.1228481665923309</v>
      </c>
      <c r="BB202">
        <f t="shared" si="193"/>
        <v>0.47215035522038729</v>
      </c>
      <c r="BC202" s="41" t="str">
        <f t="shared" si="194"/>
        <v>-0.558818569913386+1.13608396752431i</v>
      </c>
      <c r="BD202">
        <f t="shared" si="195"/>
        <v>2.0492403315874883</v>
      </c>
      <c r="BE202" s="43">
        <f t="shared" si="196"/>
        <v>116.191714740325</v>
      </c>
      <c r="BF202" s="41" t="str">
        <f t="shared" si="197"/>
        <v>2.672389170662-0.611519400781861i</v>
      </c>
      <c r="BG202" s="20">
        <f t="shared" si="198"/>
        <v>8.7596480519902737</v>
      </c>
      <c r="BH202" s="43">
        <f t="shared" si="199"/>
        <v>-12.889010703292058</v>
      </c>
      <c r="BI202" s="41" t="str">
        <f t="shared" si="203"/>
        <v>24.2955524844025+14.8378668811353i</v>
      </c>
      <c r="BJ202" s="20">
        <f t="shared" si="200"/>
        <v>29.087188123135576</v>
      </c>
      <c r="BK202" s="43">
        <f t="shared" si="204"/>
        <v>31.413396548488098</v>
      </c>
      <c r="BL202">
        <f t="shared" si="201"/>
        <v>8.7596480519902737</v>
      </c>
      <c r="BM202" s="43">
        <f t="shared" si="202"/>
        <v>-12.889010703292058</v>
      </c>
    </row>
    <row r="203" spans="14:65" x14ac:dyDescent="0.25">
      <c r="N203" s="9">
        <v>85</v>
      </c>
      <c r="O203" s="34">
        <f t="shared" si="205"/>
        <v>707.94578438413873</v>
      </c>
      <c r="P203" s="33" t="str">
        <f t="shared" si="155"/>
        <v>16.5157725627975</v>
      </c>
      <c r="Q203" s="4" t="str">
        <f t="shared" si="156"/>
        <v>1+11.5094710584776i</v>
      </c>
      <c r="R203" s="4">
        <f t="shared" si="168"/>
        <v>11.552831862618509</v>
      </c>
      <c r="S203" s="4">
        <f t="shared" si="169"/>
        <v>1.4841290074302742</v>
      </c>
      <c r="T203" s="4" t="str">
        <f t="shared" si="157"/>
        <v>1+0.0731721423593794i</v>
      </c>
      <c r="U203" s="4">
        <f t="shared" si="170"/>
        <v>1.0026735073878543</v>
      </c>
      <c r="V203" s="4">
        <f t="shared" si="171"/>
        <v>7.3041968442689328E-2</v>
      </c>
      <c r="W203" t="str">
        <f t="shared" si="158"/>
        <v>1-1.11203863768054i</v>
      </c>
      <c r="X203" s="4">
        <f t="shared" si="172"/>
        <v>1.4955366701269452</v>
      </c>
      <c r="Y203" s="4">
        <f t="shared" si="173"/>
        <v>-0.83839611458802099</v>
      </c>
      <c r="Z203" t="str">
        <f t="shared" si="159"/>
        <v>0.999989644891867+0.0155685409275275i</v>
      </c>
      <c r="AA203" s="4">
        <f t="shared" si="174"/>
        <v>1.000110828537305</v>
      </c>
      <c r="AB203" s="4">
        <f t="shared" si="175"/>
        <v>1.5567444455398609E-2</v>
      </c>
      <c r="AC203" s="47" t="str">
        <f t="shared" si="176"/>
        <v>-1.37142366594437-1.6473289535795i</v>
      </c>
      <c r="AD203" s="20">
        <f t="shared" si="177"/>
        <v>6.6223783549236881</v>
      </c>
      <c r="AE203" s="43">
        <f t="shared" si="178"/>
        <v>-129.77783965075972</v>
      </c>
      <c r="AF203" t="str">
        <f t="shared" si="160"/>
        <v>247.084651286898</v>
      </c>
      <c r="AG203" t="str">
        <f t="shared" si="161"/>
        <v>1+11.2554105412889i</v>
      </c>
      <c r="AH203">
        <f t="shared" si="179"/>
        <v>11.299746300380255</v>
      </c>
      <c r="AI203">
        <f t="shared" si="180"/>
        <v>1.4821828395245102</v>
      </c>
      <c r="AJ203" t="str">
        <f t="shared" si="162"/>
        <v>1+0.0731721423593794i</v>
      </c>
      <c r="AK203">
        <f t="shared" si="181"/>
        <v>1.0026735073878543</v>
      </c>
      <c r="AL203">
        <f t="shared" si="182"/>
        <v>7.3041968442689328E-2</v>
      </c>
      <c r="AM203" t="str">
        <f t="shared" si="163"/>
        <v>1-0.0726896308659046i</v>
      </c>
      <c r="AN203">
        <f t="shared" si="183"/>
        <v>1.0026384106124309</v>
      </c>
      <c r="AO203">
        <f t="shared" si="184"/>
        <v>-7.2562009817089088E-2</v>
      </c>
      <c r="AP203" s="41" t="str">
        <f t="shared" si="185"/>
        <v>1.95592416576752-21.8955082892343i</v>
      </c>
      <c r="AQ203">
        <f t="shared" si="186"/>
        <v>26.841619073672355</v>
      </c>
      <c r="AR203" s="43">
        <f t="shared" si="187"/>
        <v>-84.895321567882831</v>
      </c>
      <c r="AS203" t="str">
        <f t="shared" si="164"/>
        <v>-0.0000166666666666667</v>
      </c>
      <c r="AT203" t="str">
        <f t="shared" si="165"/>
        <v>0.0000151237254724553i</v>
      </c>
      <c r="AU203">
        <f t="shared" si="188"/>
        <v>1.51237254724553E-5</v>
      </c>
      <c r="AV203">
        <f t="shared" si="189"/>
        <v>1.5707963267948966</v>
      </c>
      <c r="AW203" t="str">
        <f t="shared" si="166"/>
        <v>1+0.0153696822534952i</v>
      </c>
      <c r="AX203">
        <f t="shared" si="190"/>
        <v>1.0001181065917031</v>
      </c>
      <c r="AY203">
        <f t="shared" si="191"/>
        <v>1.5368472179679495E-2</v>
      </c>
      <c r="AZ203" t="str">
        <f t="shared" si="167"/>
        <v>1+0.522569196618838i</v>
      </c>
      <c r="BA203">
        <f t="shared" si="192"/>
        <v>1.1283078326657392</v>
      </c>
      <c r="BB203">
        <f t="shared" si="193"/>
        <v>0.48153951722761618</v>
      </c>
      <c r="BC203" s="41" t="str">
        <f t="shared" si="194"/>
        <v>-0.558812629972978+1.11061001045212i</v>
      </c>
      <c r="BD203">
        <f t="shared" si="195"/>
        <v>1.8913255442071184</v>
      </c>
      <c r="BE203" s="43">
        <f t="shared" si="196"/>
        <v>116.70963341244979</v>
      </c>
      <c r="BF203" s="41" t="str">
        <f t="shared" si="197"/>
        <v>2.59590889192656-0.602568626988367i</v>
      </c>
      <c r="BG203" s="20">
        <f t="shared" si="198"/>
        <v>8.513703899130789</v>
      </c>
      <c r="BH203" s="43">
        <f t="shared" si="199"/>
        <v>-13.068206238309921</v>
      </c>
      <c r="BI203" s="41" t="str">
        <f t="shared" si="203"/>
        <v>23.2243755628607+14.4077555298888i</v>
      </c>
      <c r="BJ203" s="20">
        <f t="shared" si="200"/>
        <v>28.732944617879468</v>
      </c>
      <c r="BK203" s="43">
        <f t="shared" si="204"/>
        <v>31.814311844567051</v>
      </c>
      <c r="BL203">
        <f t="shared" si="201"/>
        <v>8.513703899130789</v>
      </c>
      <c r="BM203" s="43">
        <f t="shared" si="202"/>
        <v>-13.068206238309921</v>
      </c>
    </row>
    <row r="204" spans="14:65" x14ac:dyDescent="0.25">
      <c r="N204" s="9">
        <v>86</v>
      </c>
      <c r="O204" s="34">
        <f t="shared" si="205"/>
        <v>724.43596007499025</v>
      </c>
      <c r="P204" s="33" t="str">
        <f t="shared" si="155"/>
        <v>16.5157725627975</v>
      </c>
      <c r="Q204" s="4" t="str">
        <f t="shared" si="156"/>
        <v>1+11.7775610789983i</v>
      </c>
      <c r="R204" s="4">
        <f t="shared" si="168"/>
        <v>11.819938450327715</v>
      </c>
      <c r="S204" s="4">
        <f t="shared" si="169"/>
        <v>1.4860922649027257</v>
      </c>
      <c r="T204" s="4" t="str">
        <f t="shared" si="157"/>
        <v>1+0.0748765405065226i</v>
      </c>
      <c r="U204" s="4">
        <f t="shared" si="170"/>
        <v>1.0027993300347906</v>
      </c>
      <c r="V204" s="4">
        <f t="shared" si="171"/>
        <v>7.4737077662645826E-2</v>
      </c>
      <c r="W204" t="str">
        <f t="shared" si="158"/>
        <v>1-1.13794134508393i</v>
      </c>
      <c r="X204" s="4">
        <f t="shared" si="172"/>
        <v>1.5148962026658539</v>
      </c>
      <c r="Y204" s="4">
        <f t="shared" si="173"/>
        <v>-0.84982949565784804</v>
      </c>
      <c r="Z204" t="str">
        <f t="shared" si="159"/>
        <v>0.999989156870656+0.015931178831175i</v>
      </c>
      <c r="AA204" s="4">
        <f t="shared" si="174"/>
        <v>1.0001160514249516</v>
      </c>
      <c r="AB204" s="4">
        <f t="shared" si="175"/>
        <v>1.5930003947467394E-2</v>
      </c>
      <c r="AC204" s="47" t="str">
        <f t="shared" si="176"/>
        <v>-1.37752623595437-1.61464068828257i</v>
      </c>
      <c r="AD204" s="20">
        <f t="shared" si="177"/>
        <v>6.5366038616431901</v>
      </c>
      <c r="AE204" s="43">
        <f t="shared" si="178"/>
        <v>-130.4690610234951</v>
      </c>
      <c r="AF204" t="str">
        <f t="shared" si="160"/>
        <v>247.084651286898</v>
      </c>
      <c r="AG204" t="str">
        <f t="shared" si="161"/>
        <v>1+11.5175827321439i</v>
      </c>
      <c r="AH204">
        <f t="shared" si="179"/>
        <v>11.560913112370464</v>
      </c>
      <c r="AI204">
        <f t="shared" si="180"/>
        <v>1.4841897411499976</v>
      </c>
      <c r="AJ204" t="str">
        <f t="shared" si="162"/>
        <v>1+0.0748765405065226i</v>
      </c>
      <c r="AK204">
        <f t="shared" si="181"/>
        <v>1.0027993300347906</v>
      </c>
      <c r="AL204">
        <f t="shared" si="182"/>
        <v>7.4737077662645826E-2</v>
      </c>
      <c r="AM204" t="str">
        <f t="shared" si="163"/>
        <v>1-0.0743827898765549i</v>
      </c>
      <c r="AN204">
        <f t="shared" si="183"/>
        <v>1.0027625837803382</v>
      </c>
      <c r="AO204">
        <f t="shared" si="184"/>
        <v>-7.4246061797973148E-2</v>
      </c>
      <c r="AP204" s="41" t="str">
        <f t="shared" si="185"/>
        <v>1.8694882981305-21.4099879382647i</v>
      </c>
      <c r="AQ204">
        <f t="shared" si="186"/>
        <v>26.64531573656398</v>
      </c>
      <c r="AR204" s="43">
        <f t="shared" si="187"/>
        <v>-85.009675027789285</v>
      </c>
      <c r="AS204" t="str">
        <f t="shared" si="164"/>
        <v>-0.0000166666666666667</v>
      </c>
      <c r="AT204" t="str">
        <f t="shared" si="165"/>
        <v>0.0000154760022931414i</v>
      </c>
      <c r="AU204">
        <f t="shared" si="188"/>
        <v>1.5476002293141401E-5</v>
      </c>
      <c r="AV204">
        <f t="shared" si="189"/>
        <v>1.5707963267948966</v>
      </c>
      <c r="AW204" t="str">
        <f t="shared" si="166"/>
        <v>1+0.0157276881435835i</v>
      </c>
      <c r="AX204">
        <f t="shared" si="190"/>
        <v>1.0001236724397347</v>
      </c>
      <c r="AY204">
        <f t="shared" si="191"/>
        <v>1.5726391534788622E-2</v>
      </c>
      <c r="AZ204" t="str">
        <f t="shared" si="167"/>
        <v>1+0.53474139688184i</v>
      </c>
      <c r="BA204">
        <f t="shared" si="192"/>
        <v>1.1339966320669306</v>
      </c>
      <c r="BB204">
        <f t="shared" si="193"/>
        <v>0.49105292850404259</v>
      </c>
      <c r="BC204" s="41" t="str">
        <f t="shared" si="194"/>
        <v>-0.558806410227146+1.08572490490279i</v>
      </c>
      <c r="BD204">
        <f t="shared" si="195"/>
        <v>1.7349604399429528</v>
      </c>
      <c r="BE204" s="43">
        <f t="shared" si="196"/>
        <v>117.23420445890734</v>
      </c>
      <c r="BF204" s="41" t="str">
        <f t="shared" si="197"/>
        <v>2.52282609864514-0.593342974706786i</v>
      </c>
      <c r="BG204" s="20">
        <f t="shared" si="198"/>
        <v>8.2715643015861335</v>
      </c>
      <c r="BH204" s="43">
        <f t="shared" si="199"/>
        <v>-13.234856564587758</v>
      </c>
      <c r="BI204" s="41" t="str">
        <f t="shared" si="203"/>
        <v>22.2006750734024+13.9937885074928i</v>
      </c>
      <c r="BJ204" s="20">
        <f t="shared" si="200"/>
        <v>28.380276176506939</v>
      </c>
      <c r="BK204" s="43">
        <f t="shared" si="204"/>
        <v>32.224529431118007</v>
      </c>
      <c r="BL204">
        <f t="shared" si="201"/>
        <v>8.2715643015861335</v>
      </c>
      <c r="BM204" s="43">
        <f t="shared" si="202"/>
        <v>-13.234856564587758</v>
      </c>
    </row>
    <row r="205" spans="14:65" x14ac:dyDescent="0.25">
      <c r="N205" s="9">
        <v>87</v>
      </c>
      <c r="O205" s="34">
        <f t="shared" si="205"/>
        <v>741.31024130091828</v>
      </c>
      <c r="P205" s="33" t="str">
        <f t="shared" si="155"/>
        <v>16.5157725627975</v>
      </c>
      <c r="Q205" s="4" t="str">
        <f t="shared" si="156"/>
        <v>1+12.0518957182975i</v>
      </c>
      <c r="R205" s="4">
        <f t="shared" si="168"/>
        <v>12.093311804659534</v>
      </c>
      <c r="S205" s="4">
        <f t="shared" si="169"/>
        <v>1.4880114658484442</v>
      </c>
      <c r="T205" s="4" t="str">
        <f t="shared" si="157"/>
        <v>1+0.0766206391865506i</v>
      </c>
      <c r="U205" s="4">
        <f t="shared" si="170"/>
        <v>1.0029310656018964</v>
      </c>
      <c r="V205" s="4">
        <f t="shared" si="171"/>
        <v>7.6471225634148488E-2</v>
      </c>
      <c r="W205" t="str">
        <f t="shared" si="158"/>
        <v>1-1.16444740405092i</v>
      </c>
      <c r="X205" s="4">
        <f t="shared" si="172"/>
        <v>1.5349064325882953</v>
      </c>
      <c r="Y205" s="4">
        <f t="shared" si="173"/>
        <v>-0.86122910012548803</v>
      </c>
      <c r="Z205" t="str">
        <f t="shared" si="159"/>
        <v>0.999988645849714+0.0163022636567129i</v>
      </c>
      <c r="AA205" s="4">
        <f t="shared" si="174"/>
        <v>1.0001215204307312</v>
      </c>
      <c r="AB205" s="4">
        <f t="shared" si="175"/>
        <v>1.6301004754381183E-2</v>
      </c>
      <c r="AC205" s="47" t="str">
        <f t="shared" si="176"/>
        <v>-1.38336431997505-1.58276261796778i</v>
      </c>
      <c r="AD205" s="20">
        <f t="shared" si="177"/>
        <v>6.4530772102394964</v>
      </c>
      <c r="AE205" s="43">
        <f t="shared" si="178"/>
        <v>-131.15406978245056</v>
      </c>
      <c r="AF205" t="str">
        <f t="shared" si="160"/>
        <v>247.084651286898</v>
      </c>
      <c r="AG205" t="str">
        <f t="shared" si="161"/>
        <v>1+11.7858616978166i</v>
      </c>
      <c r="AH205">
        <f t="shared" si="179"/>
        <v>11.828209330243542</v>
      </c>
      <c r="AI205">
        <f t="shared" si="180"/>
        <v>1.4861516361611056</v>
      </c>
      <c r="AJ205" t="str">
        <f t="shared" si="162"/>
        <v>1+0.0766206391865506i</v>
      </c>
      <c r="AK205">
        <f t="shared" si="181"/>
        <v>1.0029310656018964</v>
      </c>
      <c r="AL205">
        <f t="shared" si="182"/>
        <v>7.6471225634148488E-2</v>
      </c>
      <c r="AM205" t="str">
        <f t="shared" si="163"/>
        <v>1-0.0761153876269704i</v>
      </c>
      <c r="AN205">
        <f t="shared" si="183"/>
        <v>1.0028925925709113</v>
      </c>
      <c r="AO205">
        <f t="shared" si="184"/>
        <v>-7.5968903663644893E-2</v>
      </c>
      <c r="AP205" s="41" t="str">
        <f t="shared" si="185"/>
        <v>1.78688576271342-20.9351485637269i</v>
      </c>
      <c r="AQ205">
        <f t="shared" si="186"/>
        <v>26.449045472665432</v>
      </c>
      <c r="AR205" s="43">
        <f t="shared" si="187"/>
        <v>-85.121435539626702</v>
      </c>
      <c r="AS205" t="str">
        <f t="shared" si="164"/>
        <v>-0.0000166666666666667</v>
      </c>
      <c r="AT205" t="str">
        <f t="shared" si="165"/>
        <v>0.0000158364846950925i</v>
      </c>
      <c r="AU205">
        <f t="shared" si="188"/>
        <v>1.5836484695092499E-5</v>
      </c>
      <c r="AV205">
        <f t="shared" si="189"/>
        <v>1.5707963267948966</v>
      </c>
      <c r="AW205" t="str">
        <f t="shared" si="166"/>
        <v>1+0.0160940330621061i</v>
      </c>
      <c r="AX205">
        <f t="shared" si="190"/>
        <v>1.000129500564904</v>
      </c>
      <c r="AY205">
        <f t="shared" si="191"/>
        <v>1.6092643730466913E-2</v>
      </c>
      <c r="AZ205" t="str">
        <f t="shared" si="167"/>
        <v>1+0.547197124111608i</v>
      </c>
      <c r="BA205">
        <f t="shared" si="192"/>
        <v>1.1399231082121348</v>
      </c>
      <c r="BB205">
        <f t="shared" si="193"/>
        <v>0.5006887442575052</v>
      </c>
      <c r="BC205" s="41" t="str">
        <f t="shared" si="194"/>
        <v>-0.558799897502116+1.06141545584881i</v>
      </c>
      <c r="BD205">
        <f t="shared" si="195"/>
        <v>1.580185682481926</v>
      </c>
      <c r="BE205" s="43">
        <f t="shared" si="196"/>
        <v>117.76531132869654</v>
      </c>
      <c r="BF205" s="41" t="str">
        <f t="shared" si="197"/>
        <v>2.45299254586087-0.583876681600721i</v>
      </c>
      <c r="BG205" s="20">
        <f t="shared" si="198"/>
        <v>8.0332628927214245</v>
      </c>
      <c r="BH205" s="43">
        <f t="shared" si="199"/>
        <v>-13.388758453754043</v>
      </c>
      <c r="BI205" s="41" t="str">
        <f t="shared" si="203"/>
        <v>21.2223786749785+13.5951870379824i</v>
      </c>
      <c r="BJ205" s="20">
        <f t="shared" si="200"/>
        <v>28.029231155147365</v>
      </c>
      <c r="BK205" s="43">
        <f t="shared" si="204"/>
        <v>32.643875789069881</v>
      </c>
      <c r="BL205">
        <f t="shared" si="201"/>
        <v>8.0332628927214245</v>
      </c>
      <c r="BM205" s="43">
        <f t="shared" si="202"/>
        <v>-13.388758453754043</v>
      </c>
    </row>
    <row r="206" spans="14:65" x14ac:dyDescent="0.25">
      <c r="N206" s="9">
        <v>88</v>
      </c>
      <c r="O206" s="34">
        <f t="shared" si="205"/>
        <v>758.57757502918378</v>
      </c>
      <c r="P206" s="33" t="str">
        <f t="shared" si="155"/>
        <v>16.5157725627975</v>
      </c>
      <c r="Q206" s="4" t="str">
        <f t="shared" si="156"/>
        <v>1+12.3326204322322i</v>
      </c>
      <c r="R206" s="4">
        <f t="shared" si="168"/>
        <v>12.373096893078595</v>
      </c>
      <c r="S206" s="4">
        <f t="shared" si="169"/>
        <v>1.4898875712692901</v>
      </c>
      <c r="T206" s="4" t="str">
        <f t="shared" si="157"/>
        <v>1+0.0784053631436693i</v>
      </c>
      <c r="U206" s="4">
        <f t="shared" si="170"/>
        <v>1.0030689911315624</v>
      </c>
      <c r="V206" s="4">
        <f t="shared" si="171"/>
        <v>7.8245290081667182E-2</v>
      </c>
      <c r="W206" t="str">
        <f t="shared" si="158"/>
        <v>1-1.19157086844482i</v>
      </c>
      <c r="X206" s="4">
        <f t="shared" si="172"/>
        <v>1.555583856475228</v>
      </c>
      <c r="Y206" s="4">
        <f t="shared" si="173"/>
        <v>-0.87258912198698813</v>
      </c>
      <c r="Z206" t="str">
        <f t="shared" si="159"/>
        <v>0.999988110745096+0.0166819921582275i</v>
      </c>
      <c r="AA206" s="4">
        <f t="shared" si="174"/>
        <v>1.0001272471510378</v>
      </c>
      <c r="AB206" s="4">
        <f t="shared" si="175"/>
        <v>1.6680643229323645E-2</v>
      </c>
      <c r="AC206" s="47" t="str">
        <f t="shared" si="176"/>
        <v>-1.38894979091717-1.55168084955233i</v>
      </c>
      <c r="AD206" s="20">
        <f t="shared" si="177"/>
        <v>6.3717890568182298</v>
      </c>
      <c r="AE206" s="43">
        <f t="shared" si="178"/>
        <v>-131.83254928975487</v>
      </c>
      <c r="AF206" t="str">
        <f t="shared" si="160"/>
        <v>247.084651286898</v>
      </c>
      <c r="AG206" t="str">
        <f t="shared" si="161"/>
        <v>1+12.0603896833659i</v>
      </c>
      <c r="AH206">
        <f t="shared" si="179"/>
        <v>12.10177670074269</v>
      </c>
      <c r="AI206">
        <f t="shared" si="180"/>
        <v>1.4880695043358223</v>
      </c>
      <c r="AJ206" t="str">
        <f t="shared" si="162"/>
        <v>1+0.0784053631436693i</v>
      </c>
      <c r="AK206">
        <f t="shared" si="181"/>
        <v>1.0030689911315624</v>
      </c>
      <c r="AL206">
        <f t="shared" si="182"/>
        <v>7.8245290081667182E-2</v>
      </c>
      <c r="AM206" t="str">
        <f t="shared" si="163"/>
        <v>1-0.077888342763412i</v>
      </c>
      <c r="AN206">
        <f t="shared" si="183"/>
        <v>1.0030287104257938</v>
      </c>
      <c r="AO206">
        <f t="shared" si="184"/>
        <v>-7.7731407955076409E-2</v>
      </c>
      <c r="AP206" s="41" t="str">
        <f t="shared" si="185"/>
        <v>1.70794898720601-20.4707825446505i</v>
      </c>
      <c r="AQ206">
        <f t="shared" si="186"/>
        <v>26.25281604392174</v>
      </c>
      <c r="AR206" s="43">
        <f t="shared" si="187"/>
        <v>-85.230658943546118</v>
      </c>
      <c r="AS206" t="str">
        <f t="shared" si="164"/>
        <v>-0.0000166666666666667</v>
      </c>
      <c r="AT206" t="str">
        <f t="shared" si="165"/>
        <v>0.0000162053638108496i</v>
      </c>
      <c r="AU206">
        <f t="shared" si="188"/>
        <v>1.6205363810849602E-5</v>
      </c>
      <c r="AV206">
        <f t="shared" si="189"/>
        <v>1.5707963267948966</v>
      </c>
      <c r="AW206" t="str">
        <f t="shared" si="166"/>
        <v>1+0.016468911249988i</v>
      </c>
      <c r="AX206">
        <f t="shared" si="190"/>
        <v>1.000135603324749</v>
      </c>
      <c r="AY206">
        <f t="shared" si="191"/>
        <v>1.6467422565216425E-2</v>
      </c>
      <c r="AZ206" t="str">
        <f t="shared" si="167"/>
        <v>1+0.559942982499591i</v>
      </c>
      <c r="BA206">
        <f t="shared" si="192"/>
        <v>1.146096044688462</v>
      </c>
      <c r="BB206">
        <f t="shared" si="193"/>
        <v>0.51044491533460712</v>
      </c>
      <c r="BC206" s="41" t="str">
        <f t="shared" si="194"/>
        <v>-0.558793078004519+1.03766877343941i</v>
      </c>
      <c r="BD206">
        <f t="shared" si="195"/>
        <v>1.4270418032825327</v>
      </c>
      <c r="BE206" s="43">
        <f t="shared" si="196"/>
        <v>118.30282551014031</v>
      </c>
      <c r="BF206" s="41" t="str">
        <f t="shared" si="197"/>
        <v>2.38626629278473-0.574201307907931i</v>
      </c>
      <c r="BG206" s="20">
        <f t="shared" si="198"/>
        <v>7.7988308601007716</v>
      </c>
      <c r="BH206" s="43">
        <f t="shared" si="199"/>
        <v>-13.529723779614537</v>
      </c>
      <c r="BI206" s="41" t="str">
        <f t="shared" si="203"/>
        <v>20.2875017428168+13.2112169179376i</v>
      </c>
      <c r="BJ206" s="20">
        <f t="shared" si="200"/>
        <v>27.679857847204264</v>
      </c>
      <c r="BK206" s="43">
        <f t="shared" si="204"/>
        <v>33.072166566594262</v>
      </c>
      <c r="BL206">
        <f t="shared" si="201"/>
        <v>7.7988308601007716</v>
      </c>
      <c r="BM206" s="43">
        <f t="shared" si="202"/>
        <v>-13.529723779614537</v>
      </c>
    </row>
    <row r="207" spans="14:65" x14ac:dyDescent="0.25">
      <c r="N207" s="9">
        <v>89</v>
      </c>
      <c r="O207" s="34">
        <f t="shared" si="205"/>
        <v>776.24711662869231</v>
      </c>
      <c r="P207" s="33" t="str">
        <f t="shared" si="155"/>
        <v>16.5157725627975</v>
      </c>
      <c r="Q207" s="4" t="str">
        <f t="shared" si="156"/>
        <v>1+12.6198840647617i</v>
      </c>
      <c r="R207" s="4">
        <f t="shared" si="168"/>
        <v>12.65944208123037</v>
      </c>
      <c r="S207" s="4">
        <f t="shared" si="169"/>
        <v>1.4917215230440719</v>
      </c>
      <c r="T207" s="4" t="str">
        <f t="shared" si="157"/>
        <v>1+0.0802316586621446i</v>
      </c>
      <c r="U207" s="4">
        <f t="shared" si="170"/>
        <v>1.0032133965670909</v>
      </c>
      <c r="V207" s="4">
        <f t="shared" si="171"/>
        <v>8.0060166944525807E-2</v>
      </c>
      <c r="W207" t="str">
        <f t="shared" si="158"/>
        <v>1-1.21932611948548i</v>
      </c>
      <c r="X207" s="4">
        <f t="shared" si="172"/>
        <v>1.5769452069300061</v>
      </c>
      <c r="Y207" s="4">
        <f t="shared" si="173"/>
        <v>-0.88390385721211251</v>
      </c>
      <c r="Z207" t="str">
        <f t="shared" si="159"/>
        <v>0.999987550421775+0.0170705656727967i</v>
      </c>
      <c r="AA207" s="4">
        <f t="shared" si="174"/>
        <v>1.00013324372852</v>
      </c>
      <c r="AB207" s="4">
        <f t="shared" si="175"/>
        <v>1.7069120279811049E-2</v>
      </c>
      <c r="AC207" s="47" t="str">
        <f t="shared" si="176"/>
        <v>-1.39429403015144-1.52138171478867i</v>
      </c>
      <c r="AD207" s="20">
        <f t="shared" si="177"/>
        <v>6.2927278137875806</v>
      </c>
      <c r="AE207" s="43">
        <f t="shared" si="178"/>
        <v>-132.50418687184089</v>
      </c>
      <c r="AF207" t="str">
        <f t="shared" si="160"/>
        <v>247.084651286898</v>
      </c>
      <c r="AG207" t="str">
        <f t="shared" si="161"/>
        <v>1+12.3413122471635i</v>
      </c>
      <c r="AH207">
        <f t="shared" si="179"/>
        <v>12.381760294158006</v>
      </c>
      <c r="AI207">
        <f t="shared" si="180"/>
        <v>1.4899443060871538</v>
      </c>
      <c r="AJ207" t="str">
        <f t="shared" si="162"/>
        <v>1+0.0802316586621446i</v>
      </c>
      <c r="AK207">
        <f t="shared" si="181"/>
        <v>1.0032133965670909</v>
      </c>
      <c r="AL207">
        <f t="shared" si="182"/>
        <v>8.0060166944525807E-2</v>
      </c>
      <c r="AM207" t="str">
        <f t="shared" si="163"/>
        <v>1-0.079702595330161i</v>
      </c>
      <c r="AN207">
        <f t="shared" si="183"/>
        <v>1.0031712235218688</v>
      </c>
      <c r="AO207">
        <f t="shared" si="184"/>
        <v>-7.9534465350241904E-2</v>
      </c>
      <c r="AP207" s="41" t="str">
        <f t="shared" si="185"/>
        <v>1.63251751193113-20.0166849348127i</v>
      </c>
      <c r="AQ207">
        <f t="shared" si="186"/>
        <v>26.056635297004597</v>
      </c>
      <c r="AR207" s="43">
        <f t="shared" si="187"/>
        <v>-85.33739996570624</v>
      </c>
      <c r="AS207" t="str">
        <f t="shared" si="164"/>
        <v>-0.0000166666666666667</v>
      </c>
      <c r="AT207" t="str">
        <f t="shared" si="165"/>
        <v>0.0000165828352250025i</v>
      </c>
      <c r="AU207">
        <f t="shared" si="188"/>
        <v>1.65828352250025E-5</v>
      </c>
      <c r="AV207">
        <f t="shared" si="189"/>
        <v>1.5707963267948966</v>
      </c>
      <c r="AW207" t="str">
        <f t="shared" si="166"/>
        <v>1+0.0168525214726064i</v>
      </c>
      <c r="AX207">
        <f t="shared" si="190"/>
        <v>1.0001419936588927</v>
      </c>
      <c r="AY207">
        <f t="shared" si="191"/>
        <v>1.6850926330365369E-2</v>
      </c>
      <c r="AZ207" t="str">
        <f t="shared" si="167"/>
        <v>1+0.572985730068617i</v>
      </c>
      <c r="BA207">
        <f t="shared" si="192"/>
        <v>1.1525244669256554</v>
      </c>
      <c r="BB207">
        <f t="shared" si="193"/>
        <v>0.52031918489213291</v>
      </c>
      <c r="BC207" s="41" t="str">
        <f t="shared" si="194"/>
        <v>-0.558785937292301+1.01447226616309i</v>
      </c>
      <c r="BD207">
        <f t="shared" si="195"/>
        <v>1.275569106443952</v>
      </c>
      <c r="BE207" s="43">
        <f t="shared" si="196"/>
        <v>118.84660633439047</v>
      </c>
      <c r="BF207" s="41" t="str">
        <f t="shared" si="197"/>
        <v>2.32251145239998-0.564345916987844i</v>
      </c>
      <c r="BG207" s="20">
        <f t="shared" si="198"/>
        <v>7.5682969202315249</v>
      </c>
      <c r="BH207" s="43">
        <f t="shared" si="199"/>
        <v>-13.657580537450416</v>
      </c>
      <c r="BI207" s="41" t="str">
        <f t="shared" si="203"/>
        <v>19.3941438988415+12.8411857926637i</v>
      </c>
      <c r="BJ207" s="20">
        <f t="shared" si="200"/>
        <v>27.33220440344855</v>
      </c>
      <c r="BK207" s="43">
        <f t="shared" si="204"/>
        <v>33.509206368684239</v>
      </c>
      <c r="BL207">
        <f t="shared" si="201"/>
        <v>7.5682969202315249</v>
      </c>
      <c r="BM207" s="43">
        <f t="shared" si="202"/>
        <v>-13.657580537450416</v>
      </c>
    </row>
    <row r="208" spans="14:65" x14ac:dyDescent="0.25">
      <c r="N208" s="9">
        <v>90</v>
      </c>
      <c r="O208" s="34">
        <f t="shared" si="205"/>
        <v>794.32823472428208</v>
      </c>
      <c r="P208" s="33" t="str">
        <f t="shared" si="155"/>
        <v>16.5157725627975</v>
      </c>
      <c r="Q208" s="4" t="str">
        <f t="shared" si="156"/>
        <v>1+12.9138389268662i</v>
      </c>
      <c r="R208" s="4">
        <f t="shared" si="168"/>
        <v>12.952499211698289</v>
      </c>
      <c r="S208" s="4">
        <f t="shared" si="169"/>
        <v>1.4935142441845757</v>
      </c>
      <c r="T208" s="4" t="str">
        <f t="shared" si="157"/>
        <v>1+0.082100494068034i</v>
      </c>
      <c r="U208" s="4">
        <f t="shared" si="170"/>
        <v>1.0033645853458328</v>
      </c>
      <c r="V208" s="4">
        <f t="shared" si="171"/>
        <v>8.1916770645361459E-2</v>
      </c>
      <c r="W208" t="str">
        <f t="shared" si="158"/>
        <v>1-1.24772787337438i</v>
      </c>
      <c r="X208" s="4">
        <f t="shared" si="172"/>
        <v>1.5990074565164956</v>
      </c>
      <c r="Y208" s="4">
        <f t="shared" si="173"/>
        <v>-0.89516771739314627</v>
      </c>
      <c r="Z208" t="str">
        <f t="shared" si="159"/>
        <v>0.99998696369123+0.0174681902272413i</v>
      </c>
      <c r="AA208" s="4">
        <f t="shared" si="174"/>
        <v>1.0001395228777934</v>
      </c>
      <c r="AB208" s="4">
        <f t="shared" si="175"/>
        <v>1.7466641472395624E-2</v>
      </c>
      <c r="AC208" s="47" t="str">
        <f t="shared" si="176"/>
        <v>-1.39940794782434-1.49185177564384i</v>
      </c>
      <c r="AD208" s="20">
        <f t="shared" si="177"/>
        <v>6.2158797281093792</v>
      </c>
      <c r="AE208" s="43">
        <f t="shared" si="178"/>
        <v>-133.16867460675024</v>
      </c>
      <c r="AF208" t="str">
        <f t="shared" si="160"/>
        <v>247.084651286898</v>
      </c>
      <c r="AG208" t="str">
        <f t="shared" si="161"/>
        <v>1+12.628778338071i</v>
      </c>
      <c r="AH208">
        <f t="shared" si="179"/>
        <v>12.668308581343103</v>
      </c>
      <c r="AI208">
        <f t="shared" si="180"/>
        <v>1.4917769827127947</v>
      </c>
      <c r="AJ208" t="str">
        <f t="shared" si="162"/>
        <v>1+0.082100494068034i</v>
      </c>
      <c r="AK208">
        <f t="shared" si="181"/>
        <v>1.0033645853458328</v>
      </c>
      <c r="AL208">
        <f t="shared" si="182"/>
        <v>8.1916770645361459E-2</v>
      </c>
      <c r="AM208" t="str">
        <f t="shared" si="163"/>
        <v>1-0.0815591072679425i</v>
      </c>
      <c r="AN208">
        <f t="shared" si="183"/>
        <v>1.0033204313569737</v>
      </c>
      <c r="AO208">
        <f t="shared" si="184"/>
        <v>-8.1378984933713358E-2</v>
      </c>
      <c r="AP208" s="41" t="str">
        <f t="shared" si="185"/>
        <v>1.5604377066462-19.5726535388908i</v>
      </c>
      <c r="AQ208">
        <f t="shared" si="186"/>
        <v>25.860511178699269</v>
      </c>
      <c r="AR208" s="43">
        <f t="shared" si="187"/>
        <v>-85.441712232643638</v>
      </c>
      <c r="AS208" t="str">
        <f t="shared" si="164"/>
        <v>-0.0000166666666666667</v>
      </c>
      <c r="AT208" t="str">
        <f t="shared" si="165"/>
        <v>0.0000169690990778915i</v>
      </c>
      <c r="AU208">
        <f t="shared" si="188"/>
        <v>1.69690990778915E-5</v>
      </c>
      <c r="AV208">
        <f t="shared" si="189"/>
        <v>1.5707963267948966</v>
      </c>
      <c r="AW208" t="str">
        <f t="shared" si="166"/>
        <v>1+0.017245067125179i</v>
      </c>
      <c r="AX208">
        <f t="shared" si="190"/>
        <v>1.0001486851164441</v>
      </c>
      <c r="AY208">
        <f t="shared" si="191"/>
        <v>1.7243357913196422E-2</v>
      </c>
      <c r="AZ208" t="str">
        <f t="shared" si="167"/>
        <v>1+0.586332282256087i</v>
      </c>
      <c r="BA208">
        <f t="shared" si="192"/>
        <v>1.1592176435922772</v>
      </c>
      <c r="BB208">
        <f t="shared" si="193"/>
        <v>0.53030908570486912</v>
      </c>
      <c r="BC208" s="41" t="str">
        <f t="shared" si="194"/>
        <v>-0.558778460244285+0.991813634167969i</v>
      </c>
      <c r="BD208">
        <f t="shared" si="195"/>
        <v>1.1258075695632765</v>
      </c>
      <c r="BE208" s="43">
        <f t="shared" si="196"/>
        <v>119.39650081527083</v>
      </c>
      <c r="BF208" s="41" t="str">
        <f t="shared" si="197"/>
        <v>2.26159794958015-0.554337244308231i</v>
      </c>
      <c r="BG208" s="20">
        <f t="shared" si="198"/>
        <v>7.3416872976726433</v>
      </c>
      <c r="BH208" s="43">
        <f t="shared" si="199"/>
        <v>-13.772173791479451</v>
      </c>
      <c r="BI208" s="41" t="str">
        <f t="shared" si="203"/>
        <v>18.540485657691+12.4844406000778i</v>
      </c>
      <c r="BJ208" s="20">
        <f t="shared" si="200"/>
        <v>26.986318748262569</v>
      </c>
      <c r="BK208" s="43">
        <f t="shared" si="204"/>
        <v>33.954788582627216</v>
      </c>
      <c r="BL208">
        <f t="shared" si="201"/>
        <v>7.3416872976726433</v>
      </c>
      <c r="BM208" s="43">
        <f t="shared" si="202"/>
        <v>-13.772173791479451</v>
      </c>
    </row>
    <row r="209" spans="14:65" x14ac:dyDescent="0.25">
      <c r="N209" s="9">
        <v>91</v>
      </c>
      <c r="O209" s="34">
        <f t="shared" si="205"/>
        <v>812.83051616409978</v>
      </c>
      <c r="P209" s="33" t="str">
        <f t="shared" si="155"/>
        <v>16.5157725627975</v>
      </c>
      <c r="Q209" s="4" t="str">
        <f t="shared" si="156"/>
        <v>1+13.2146408773046i</v>
      </c>
      <c r="R209" s="4">
        <f t="shared" si="168"/>
        <v>13.252423684599345</v>
      </c>
      <c r="S209" s="4">
        <f t="shared" si="169"/>
        <v>1.4952666390972595</v>
      </c>
      <c r="T209" s="4" t="str">
        <f t="shared" si="157"/>
        <v>1+0.0840128602426068i</v>
      </c>
      <c r="U209" s="4">
        <f t="shared" si="170"/>
        <v>1.0035228750188725</v>
      </c>
      <c r="V209" s="4">
        <f t="shared" si="171"/>
        <v>8.3816034354135135E-2</v>
      </c>
      <c r="W209" t="str">
        <f t="shared" si="158"/>
        <v>1-1.27679118909737i</v>
      </c>
      <c r="X209" s="4">
        <f t="shared" si="172"/>
        <v>1.6217878222987976</v>
      </c>
      <c r="Y209" s="4">
        <f t="shared" si="173"/>
        <v>-0.90637524268660019</v>
      </c>
      <c r="Z209" t="str">
        <f t="shared" si="159"/>
        <v>0.999986349308925+0.0178750766473631i</v>
      </c>
      <c r="AA209" s="4">
        <f t="shared" si="174"/>
        <v>1.0001460979123702</v>
      </c>
      <c r="AB209" s="4">
        <f t="shared" si="175"/>
        <v>1.787341713970932E-2</v>
      </c>
      <c r="AC209" s="47" t="str">
        <f t="shared" si="176"/>
        <v>-1.40430200250113-1.4630778290039i</v>
      </c>
      <c r="AD209" s="20">
        <f t="shared" si="177"/>
        <v>6.1412289673594795</v>
      </c>
      <c r="AE209" s="43">
        <f t="shared" si="178"/>
        <v>-133.82571007163901</v>
      </c>
      <c r="AF209" t="str">
        <f t="shared" si="160"/>
        <v>247.084651286898</v>
      </c>
      <c r="AG209" t="str">
        <f t="shared" si="161"/>
        <v>1+12.922940374415i</v>
      </c>
      <c r="AH209">
        <f t="shared" si="179"/>
        <v>12.961573512528689</v>
      </c>
      <c r="AI209">
        <f t="shared" si="180"/>
        <v>1.4935684566513476</v>
      </c>
      <c r="AJ209" t="str">
        <f t="shared" si="162"/>
        <v>1+0.0840128602426068i</v>
      </c>
      <c r="AK209">
        <f t="shared" si="181"/>
        <v>1.0035228750188725</v>
      </c>
      <c r="AL209">
        <f t="shared" si="182"/>
        <v>8.3816034354135135E-2</v>
      </c>
      <c r="AM209" t="str">
        <f t="shared" si="163"/>
        <v>1-0.0834588629239598i</v>
      </c>
      <c r="AN209">
        <f t="shared" si="183"/>
        <v>1.0034766473618408</v>
      </c>
      <c r="AO209">
        <f t="shared" si="184"/>
        <v>-8.3265894462030685E-2</v>
      </c>
      <c r="AP209" s="41" t="str">
        <f t="shared" si="185"/>
        <v>1.49156249695075-19.1384889785163i</v>
      </c>
      <c r="AQ209">
        <f t="shared" si="186"/>
        <v>25.664451751478211</v>
      </c>
      <c r="AR209" s="43">
        <f t="shared" si="187"/>
        <v>-85.543648286030887</v>
      </c>
      <c r="AS209" t="str">
        <f t="shared" si="164"/>
        <v>-0.0000166666666666667</v>
      </c>
      <c r="AT209" t="str">
        <f t="shared" si="165"/>
        <v>0.0000173643601717242i</v>
      </c>
      <c r="AU209">
        <f t="shared" si="188"/>
        <v>1.73643601717242E-5</v>
      </c>
      <c r="AV209">
        <f t="shared" si="189"/>
        <v>1.5707963267948966</v>
      </c>
      <c r="AW209" t="str">
        <f t="shared" si="166"/>
        <v>1+0.0176467563406069i</v>
      </c>
      <c r="AX209">
        <f t="shared" si="190"/>
        <v>1.0001556918846908</v>
      </c>
      <c r="AY209">
        <f t="shared" si="191"/>
        <v>1.7644924902368304E-2</v>
      </c>
      <c r="AZ209" t="str">
        <f t="shared" si="167"/>
        <v>1+0.599989715580635i</v>
      </c>
      <c r="BA209">
        <f t="shared" si="192"/>
        <v>1.1661850877122941</v>
      </c>
      <c r="BB209">
        <f t="shared" si="193"/>
        <v>0.54041193816321065</v>
      </c>
      <c r="BC209" s="41" t="str">
        <f t="shared" si="194"/>
        <v>-0.558770631028313+0.969680862736734i</v>
      </c>
      <c r="BD209">
        <f t="shared" si="195"/>
        <v>0.9777967409155498</v>
      </c>
      <c r="BE209" s="43">
        <f t="shared" si="196"/>
        <v>119.95234352850579</v>
      </c>
      <c r="BF209" s="41" t="str">
        <f t="shared" si="197"/>
        <v>2.20340128757137-0.544199855572175i</v>
      </c>
      <c r="BG209" s="20">
        <f t="shared" si="198"/>
        <v>7.119025708275033</v>
      </c>
      <c r="BH209" s="43">
        <f t="shared" si="199"/>
        <v>-13.873366543133193</v>
      </c>
      <c r="BI209" s="41" t="str">
        <f t="shared" si="203"/>
        <v>17.7247851865258+12.1403651723229i</v>
      </c>
      <c r="BJ209" s="20">
        <f t="shared" si="200"/>
        <v>26.642248492393747</v>
      </c>
      <c r="BK209" s="43">
        <f t="shared" si="204"/>
        <v>34.408695242474913</v>
      </c>
      <c r="BL209">
        <f t="shared" si="201"/>
        <v>7.119025708275033</v>
      </c>
      <c r="BM209" s="43">
        <f t="shared" si="202"/>
        <v>-13.873366543133193</v>
      </c>
    </row>
    <row r="210" spans="14:65" x14ac:dyDescent="0.25">
      <c r="N210" s="9">
        <v>92</v>
      </c>
      <c r="O210" s="34">
        <f t="shared" si="205"/>
        <v>831.7637711026714</v>
      </c>
      <c r="P210" s="33" t="str">
        <f t="shared" si="155"/>
        <v>16.5157725627975</v>
      </c>
      <c r="Q210" s="4" t="str">
        <f t="shared" si="156"/>
        <v>1+13.5224494052526i</v>
      </c>
      <c r="R210" s="4">
        <f t="shared" si="168"/>
        <v>13.559374540059595</v>
      </c>
      <c r="S210" s="4">
        <f t="shared" si="169"/>
        <v>1.496979593849763</v>
      </c>
      <c r="T210" s="4" t="str">
        <f t="shared" si="157"/>
        <v>1+0.0859697711477219i</v>
      </c>
      <c r="U210" s="4">
        <f t="shared" si="170"/>
        <v>1.0036885978983678</v>
      </c>
      <c r="V210" s="4">
        <f t="shared" si="171"/>
        <v>8.5758910246874445E-2</v>
      </c>
      <c r="W210" t="str">
        <f t="shared" si="158"/>
        <v>1-1.30653147640915i</v>
      </c>
      <c r="X210" s="4">
        <f t="shared" si="172"/>
        <v>1.645303770994242</v>
      </c>
      <c r="Y210" s="4">
        <f t="shared" si="173"/>
        <v>-0.91752111398061498</v>
      </c>
      <c r="Z210" t="str">
        <f t="shared" si="159"/>
        <v>0.999985705971675+0.018291440669728i</v>
      </c>
      <c r="AA210" s="4">
        <f t="shared" si="174"/>
        <v>1.0001529827728572</v>
      </c>
      <c r="AB210" s="4">
        <f t="shared" si="175"/>
        <v>1.8289662489895782E-2</v>
      </c>
      <c r="AC210" s="47" t="str">
        <f t="shared" si="176"/>
        <v>-1.40898622014998-1.43504691075341i</v>
      </c>
      <c r="AD210" s="20">
        <f t="shared" si="177"/>
        <v>6.0687577129760069</v>
      </c>
      <c r="AE210" s="43">
        <f t="shared" si="178"/>
        <v>-134.47499704663312</v>
      </c>
      <c r="AF210" t="str">
        <f t="shared" si="160"/>
        <v>247.084651286898</v>
      </c>
      <c r="AG210" t="str">
        <f t="shared" si="161"/>
        <v>1+13.2239543248009i</v>
      </c>
      <c r="AH210">
        <f t="shared" si="179"/>
        <v>13.261710597974171</v>
      </c>
      <c r="AI210">
        <f t="shared" si="180"/>
        <v>1.4953196317441728</v>
      </c>
      <c r="AJ210" t="str">
        <f t="shared" si="162"/>
        <v>1+0.0859697711477219i</v>
      </c>
      <c r="AK210">
        <f t="shared" si="181"/>
        <v>1.0036885978983678</v>
      </c>
      <c r="AL210">
        <f t="shared" si="182"/>
        <v>8.5758910246874445E-2</v>
      </c>
      <c r="AM210" t="str">
        <f t="shared" si="163"/>
        <v>1-0.0854028695738081i</v>
      </c>
      <c r="AN210">
        <f t="shared" si="183"/>
        <v>1.0036401995393771</v>
      </c>
      <c r="AO210">
        <f t="shared" si="184"/>
        <v>-8.5196140624045097E-2</v>
      </c>
      <c r="AP210" s="41" t="str">
        <f t="shared" si="185"/>
        <v>1.42575110013034-18.7139947489538i</v>
      </c>
      <c r="AQ210">
        <f t="shared" si="186"/>
        <v>25.468465209283746</v>
      </c>
      <c r="AR210" s="43">
        <f t="shared" si="187"/>
        <v>-85.643259597771305</v>
      </c>
      <c r="AS210" t="str">
        <f t="shared" si="164"/>
        <v>-0.0000166666666666667</v>
      </c>
      <c r="AT210" t="str">
        <f t="shared" si="165"/>
        <v>0.0000177688280791644i</v>
      </c>
      <c r="AU210">
        <f t="shared" si="188"/>
        <v>1.7768828079164399E-5</v>
      </c>
      <c r="AV210">
        <f t="shared" si="189"/>
        <v>1.5707963267948966</v>
      </c>
      <c r="AW210" t="str">
        <f t="shared" si="166"/>
        <v>1+0.018057802099829i</v>
      </c>
      <c r="AX210">
        <f t="shared" si="190"/>
        <v>1.0001630288191403</v>
      </c>
      <c r="AY210">
        <f t="shared" si="191"/>
        <v>1.8055839695675899E-2</v>
      </c>
      <c r="AZ210" t="str">
        <f t="shared" si="167"/>
        <v>1+0.613965271394186i</v>
      </c>
      <c r="BA210">
        <f t="shared" si="192"/>
        <v>1.1734365575002921</v>
      </c>
      <c r="BB210">
        <f t="shared" si="193"/>
        <v>0.55062484901192998</v>
      </c>
      <c r="BC210" s="41" t="str">
        <f t="shared" si="194"/>
        <v>-0.558762433067906+0.948062215912377i</v>
      </c>
      <c r="BD210">
        <f t="shared" si="195"/>
        <v>0.83157563334026396</v>
      </c>
      <c r="BE210" s="43">
        <f t="shared" si="196"/>
        <v>120.51395653328478</v>
      </c>
      <c r="BF210" s="41" t="str">
        <f t="shared" si="197"/>
        <v>2.14780232267724-0.533956294646237i</v>
      </c>
      <c r="BG210" s="20">
        <f t="shared" si="198"/>
        <v>6.9003333463162564</v>
      </c>
      <c r="BH210" s="43">
        <f t="shared" si="199"/>
        <v>-13.961040513348385</v>
      </c>
      <c r="BI210" s="41" t="str">
        <f t="shared" si="203"/>
        <v>16.9453751766077+11.8083779856745i</v>
      </c>
      <c r="BJ210" s="20">
        <f t="shared" si="200"/>
        <v>26.300040842624021</v>
      </c>
      <c r="BK210" s="43">
        <f t="shared" si="204"/>
        <v>34.870696935513358</v>
      </c>
      <c r="BL210">
        <f t="shared" si="201"/>
        <v>6.9003333463162564</v>
      </c>
      <c r="BM210" s="43">
        <f t="shared" si="202"/>
        <v>-13.961040513348385</v>
      </c>
    </row>
    <row r="211" spans="14:65" x14ac:dyDescent="0.25">
      <c r="N211" s="9">
        <v>93</v>
      </c>
      <c r="O211" s="34">
        <f t="shared" si="205"/>
        <v>851.13803820237763</v>
      </c>
      <c r="P211" s="33" t="str">
        <f t="shared" ref="P211:P274" si="206">COMPLEX(Adc,0)</f>
        <v>16.5157725627975</v>
      </c>
      <c r="Q211" s="4" t="str">
        <f t="shared" ref="Q211:Q274" si="207">IMSUM(COMPLEX(1,0),IMDIV(COMPLEX(0,2*PI()*O211),COMPLEX(wp_lf,0)))</f>
        <v>1+13.8374277148661i</v>
      </c>
      <c r="R211" s="4">
        <f t="shared" si="168"/>
        <v>13.873514542614803</v>
      </c>
      <c r="S211" s="4">
        <f t="shared" si="169"/>
        <v>1.4986539764414537</v>
      </c>
      <c r="T211" s="4" t="str">
        <f t="shared" ref="T211:T274" si="208">IMSUM(COMPLEX(1,0),IMDIV(COMPLEX(0,2*PI()*O211),COMPLEX(wz_esr,0)))</f>
        <v>1+0.0879722643634441i</v>
      </c>
      <c r="U211" s="4">
        <f t="shared" si="170"/>
        <v>1.003862101733715</v>
      </c>
      <c r="V211" s="4">
        <f t="shared" si="171"/>
        <v>8.7746369758270104E-2</v>
      </c>
      <c r="W211" t="str">
        <f t="shared" ref="W211:W274" si="209">IMSUB(COMPLEX(1,0),IMDIV(COMPLEX(0,2*PI()*O211),COMPLEX(wz_rhp,0)))</f>
        <v>1-1.33696450400371i</v>
      </c>
      <c r="X211" s="4">
        <f t="shared" si="172"/>
        <v>1.6695730247479101</v>
      </c>
      <c r="Y211" s="4">
        <f t="shared" si="173"/>
        <v>-0.92860016422934699</v>
      </c>
      <c r="Z211" t="str">
        <f t="shared" ref="Z211:Z274" si="210">IMSUM(COMPLEX(1,0),IMDIV(COMPLEX(0,2*PI()*O211),COMPLEX(Q*(wsl/2),0)),IMDIV(IMPOWER(COMPLEX(0,2*PI()*O211),2),IMPOWER(COMPLEX(wsl/2,0),2)))</f>
        <v>0.999985032314874+0.0187175030560519i</v>
      </c>
      <c r="AA211" s="4">
        <f t="shared" si="174"/>
        <v>1.0001601920564691</v>
      </c>
      <c r="AB211" s="4">
        <f t="shared" si="175"/>
        <v>1.8715597718477472E-2</v>
      </c>
      <c r="AC211" s="47" t="str">
        <f t="shared" si="176"/>
        <v>-1.41347021248252-1.40774629927714i</v>
      </c>
      <c r="AD211" s="20">
        <f t="shared" si="177"/>
        <v>5.9984462600291613</v>
      </c>
      <c r="AE211" s="43">
        <f t="shared" si="178"/>
        <v>-135.11624617168039</v>
      </c>
      <c r="AF211" t="str">
        <f t="shared" ref="AF211:AF274" si="211">COMPLEX($B$72,0)</f>
        <v>247.084651286898</v>
      </c>
      <c r="AG211" t="str">
        <f t="shared" ref="AG211:AG274" si="212">IMSUM(COMPLEX(1,0),IMDIV(COMPLEX(0,2*PI()*O211),COMPLEX(wp_lf_DCM,0)))</f>
        <v>1+13.5319797908096i</v>
      </c>
      <c r="AH211">
        <f t="shared" si="179"/>
        <v>13.568878990501737</v>
      </c>
      <c r="AI211">
        <f t="shared" si="180"/>
        <v>1.4970313935020347</v>
      </c>
      <c r="AJ211" t="str">
        <f t="shared" ref="AJ211:AJ274" si="213">IMSUM(COMPLEX(1,0),IMDIV(COMPLEX(0,2*PI()*O211),COMPLEX(wz1_dcm,0)))</f>
        <v>1+0.0879722643634441i</v>
      </c>
      <c r="AK211">
        <f t="shared" si="181"/>
        <v>1.003862101733715</v>
      </c>
      <c r="AL211">
        <f t="shared" si="182"/>
        <v>8.7746369758270104E-2</v>
      </c>
      <c r="AM211" t="str">
        <f t="shared" ref="AM211:AM274" si="214">IMSUB(COMPLEX(1,0),IMDIV(COMPLEX(0,2*PI()*O211),COMPLEX(wz2_dcm,0)))</f>
        <v>1-0.0873921579555452i</v>
      </c>
      <c r="AN211">
        <f t="shared" si="183"/>
        <v>1.0038114311324249</v>
      </c>
      <c r="AO211">
        <f t="shared" si="184"/>
        <v>-8.7170689295375636E-2</v>
      </c>
      <c r="AP211" s="41" t="str">
        <f t="shared" si="185"/>
        <v>1.36286877025313-18.2989772670859i</v>
      </c>
      <c r="AQ211">
        <f t="shared" si="186"/>
        <v>25.272559893542237</v>
      </c>
      <c r="AR211" s="43">
        <f t="shared" si="187"/>
        <v>-85.740596585382974</v>
      </c>
      <c r="AS211" t="str">
        <f t="shared" ref="AS211:AS274" si="215">COMPLEX(Adc_ea,0)</f>
        <v>-0.0000166666666666667</v>
      </c>
      <c r="AT211" t="str">
        <f t="shared" ref="AT211:AT274" si="216">COMPLEX(0,2*PI()*O211*wp0_ea)</f>
        <v>0.0000181827172544504i</v>
      </c>
      <c r="AU211">
        <f t="shared" si="188"/>
        <v>1.8182717254450399E-5</v>
      </c>
      <c r="AV211">
        <f t="shared" si="189"/>
        <v>1.5707963267948966</v>
      </c>
      <c r="AW211" t="str">
        <f t="shared" ref="AW211:AW274" si="217">IMSUM(COMPLEX(1,0),IMDIV(COMPLEX(0,2*PI()*O211),COMPLEX(wp1_ea,0)))</f>
        <v>1+0.0184784223447477i</v>
      </c>
      <c r="AX211">
        <f t="shared" si="190"/>
        <v>1.0001707114749716</v>
      </c>
      <c r="AY211">
        <f t="shared" si="191"/>
        <v>1.847631961019644E-2</v>
      </c>
      <c r="AZ211" t="str">
        <f t="shared" ref="AZ211:AZ274" si="218">IMSUM(COMPLEX(1,0),IMDIV(COMPLEX(0,2*PI()*O211),COMPLEX(wz_ea,0)))</f>
        <v>1+0.628266359721423i</v>
      </c>
      <c r="BA211">
        <f t="shared" si="192"/>
        <v>1.1809820569160263</v>
      </c>
      <c r="BB211">
        <f t="shared" si="193"/>
        <v>0.56094471087880327</v>
      </c>
      <c r="BC211" s="41" t="str">
        <f t="shared" si="194"/>
        <v>-0.558753849007351+0.926946230271497i</v>
      </c>
      <c r="BD211">
        <f t="shared" si="195"/>
        <v>0.68718261527382518</v>
      </c>
      <c r="BE211" s="43">
        <f t="shared" si="196"/>
        <v>121.08114933894259</v>
      </c>
      <c r="BF211" s="41" t="str">
        <f t="shared" si="197"/>
        <v>2.09468704697544-0.523627221914768i</v>
      </c>
      <c r="BG211" s="20">
        <f t="shared" si="198"/>
        <v>6.6856288753029789</v>
      </c>
      <c r="BH211" s="43">
        <f t="shared" si="199"/>
        <v>-14.03509683273783</v>
      </c>
      <c r="BI211" s="41" t="str">
        <f t="shared" si="203"/>
        <v>16.2006598244782+11.4879300498232i</v>
      </c>
      <c r="BJ211" s="20">
        <f t="shared" si="200"/>
        <v>25.959742508816063</v>
      </c>
      <c r="BK211" s="43">
        <f t="shared" si="204"/>
        <v>35.340552753559813</v>
      </c>
      <c r="BL211">
        <f t="shared" si="201"/>
        <v>6.6856288753029789</v>
      </c>
      <c r="BM211" s="43">
        <f t="shared" si="202"/>
        <v>-14.03509683273783</v>
      </c>
    </row>
    <row r="212" spans="14:65" x14ac:dyDescent="0.25">
      <c r="N212" s="9">
        <v>94</v>
      </c>
      <c r="O212" s="34">
        <f t="shared" si="205"/>
        <v>870.96358995608091</v>
      </c>
      <c r="P212" s="33" t="str">
        <f t="shared" si="206"/>
        <v>16.5157725627975</v>
      </c>
      <c r="Q212" s="4" t="str">
        <f t="shared" si="207"/>
        <v>1+14.1597428118139i</v>
      </c>
      <c r="R212" s="4">
        <f t="shared" ref="R212:R275" si="219">IMABS(Q212)</f>
        <v>14.195010267580486</v>
      </c>
      <c r="S212" s="4">
        <f t="shared" ref="S212:S275" si="220">IMARGUMENT(Q212)</f>
        <v>1.5002906370772788</v>
      </c>
      <c r="T212" s="4" t="str">
        <f t="shared" si="208"/>
        <v>1+0.0900214016381821i</v>
      </c>
      <c r="U212" s="4">
        <f t="shared" ref="U212:U275" si="221">IMABS(T212)</f>
        <v>1.0040437504177311</v>
      </c>
      <c r="V212" s="4">
        <f t="shared" ref="V212:V275" si="222">IMARGUMENT(T212)</f>
        <v>8.9779403827176474E-2</v>
      </c>
      <c r="W212" t="str">
        <f t="shared" si="209"/>
        <v>1-1.36810640787511i</v>
      </c>
      <c r="X212" s="4">
        <f t="shared" ref="X212:X275" si="223">IMABS(W212)</f>
        <v>1.6946135675335945</v>
      </c>
      <c r="Y212" s="4">
        <f t="shared" ref="Y212:Y275" si="224">IMARGUMENT(W212)</f>
        <v>-0.93960738890452533</v>
      </c>
      <c r="Z212" t="str">
        <f t="shared" si="210"/>
        <v>0.999984326909607+0.0191534897102515i</v>
      </c>
      <c r="AA212" s="4">
        <f t="shared" ref="AA212:AA275" si="225">IMABS(Z212)</f>
        <v>1.0001677410479406</v>
      </c>
      <c r="AB212" s="4">
        <f t="shared" ref="AB212:AB275" si="226">IMARGUMENT(Z212)</f>
        <v>1.915144812270755E-2</v>
      </c>
      <c r="AC212" s="47" t="str">
        <f t="shared" ref="AC212:AC275" si="227">(IMDIV(IMPRODUCT(P212,T212,W212),IMPRODUCT(Q212,Z212)))</f>
        <v>-1.41776319466612-1.38116351842802i</v>
      </c>
      <c r="AD212" s="20">
        <f t="shared" ref="AD212:AD275" si="228">20*LOG(IMABS(AC212))</f>
        <v>5.930273122805465</v>
      </c>
      <c r="AE212" s="43">
        <f t="shared" ref="AE212:AE275" si="229">(180/PI())*IMARGUMENT(AC212)</f>
        <v>-135.74917555355529</v>
      </c>
      <c r="AF212" t="str">
        <f t="shared" si="211"/>
        <v>247.084651286898</v>
      </c>
      <c r="AG212" t="str">
        <f t="shared" si="212"/>
        <v>1+13.8471800916202i</v>
      </c>
      <c r="AH212">
        <f t="shared" ref="AH212:AH275" si="230">IMABS(AG212)</f>
        <v>13.883241569956304</v>
      </c>
      <c r="AI212">
        <f t="shared" ref="AI212:AI275" si="231">IMARGUMENT(AG212)</f>
        <v>1.4987046093757577</v>
      </c>
      <c r="AJ212" t="str">
        <f t="shared" si="213"/>
        <v>1+0.0900214016381821i</v>
      </c>
      <c r="AK212">
        <f t="shared" ref="AK212:AK275" si="232">IMABS(AJ212)</f>
        <v>1.0040437504177311</v>
      </c>
      <c r="AL212">
        <f t="shared" ref="AL212:AL275" si="233">IMARGUMENT(AJ212)</f>
        <v>8.9779403827176474E-2</v>
      </c>
      <c r="AM212" t="str">
        <f t="shared" si="214"/>
        <v>1-0.089427782816202i</v>
      </c>
      <c r="AN212">
        <f t="shared" ref="AN212:AN275" si="234">IMABS(AM212)</f>
        <v>1.0039907013211935</v>
      </c>
      <c r="AO212">
        <f t="shared" ref="AO212:AO275" si="235">IMARGUMENT(AM212)</f>
        <v>-8.9190525786049565E-2</v>
      </c>
      <c r="AP212" s="41" t="str">
        <f t="shared" ref="AP212:AP275" si="236">(IMDIV(IMPRODUCT(AF212,AJ212,AM212),IMPRODUCT(AG212)))</f>
        <v>1.30278655232416-17.8932459113473i</v>
      </c>
      <c r="AQ212">
        <f t="shared" ref="AQ212:AQ275" si="237">20*LOG(IMABS(AP212))</f>
        <v>25.076744309433536</v>
      </c>
      <c r="AR212" s="43">
        <f t="shared" ref="AR212:AR275" si="238">(180/PI())*IMARGUMENT(AP212)</f>
        <v>-85.835708627629074</v>
      </c>
      <c r="AS212" t="str">
        <f t="shared" si="215"/>
        <v>-0.0000166666666666667</v>
      </c>
      <c r="AT212" t="str">
        <f t="shared" si="216"/>
        <v>0.0000186062471471015i</v>
      </c>
      <c r="AU212">
        <f t="shared" ref="AU212:AU275" si="239">IMABS(AT212)</f>
        <v>1.8606247147101502E-5</v>
      </c>
      <c r="AV212">
        <f t="shared" ref="AV212:AV275" si="240">IMARGUMENT(AT212)</f>
        <v>1.5707963267948966</v>
      </c>
      <c r="AW212" t="str">
        <f t="shared" si="217"/>
        <v>1+0.0189088400937844i</v>
      </c>
      <c r="AX212">
        <f t="shared" ref="AX212:AX275" si="241">IMABS(AW212)</f>
        <v>1.0001787561399673</v>
      </c>
      <c r="AY212">
        <f t="shared" ref="AY212:AY275" si="242">IMARGUMENT(AW212)</f>
        <v>1.8906586994867053E-2</v>
      </c>
      <c r="AZ212" t="str">
        <f t="shared" si="218"/>
        <v>1+0.64290056318867i</v>
      </c>
      <c r="BA212">
        <f t="shared" ref="BA212:BA275" si="243">IMABS(AZ212)</f>
        <v>1.1888318359416141</v>
      </c>
      <c r="BB212">
        <f t="shared" ref="BB212:BB275" si="244">IMARGUMENT(AZ212)</f>
        <v>0.57136820263829591</v>
      </c>
      <c r="BC212" s="41" t="str">
        <f t="shared" ref="BC212:BC275" si="245">IMPRODUCT(AS212,IMDIV(AZ212,IMPRODUCT(AT212,AW212)))</f>
        <v>-0.558744860675161+0.906321708841819i</v>
      </c>
      <c r="BD212">
        <f t="shared" ref="BD212:BD275" si="246">20*LOG(IMABS(BC212))</f>
        <v>0.54465529941848045</v>
      </c>
      <c r="BE212" s="43">
        <f t="shared" ref="BE212:BE275" si="247">(180/PI())*IMARGUMENT(BC212)</f>
        <v>121.65371891934713</v>
      </c>
      <c r="BF212" s="41" t="str">
        <f t="shared" ref="BF212:BF275" si="248">IMPRODUCT(AC212,BC212)</f>
        <v>2.04394637888575-0.513231543649155i</v>
      </c>
      <c r="BG212" s="20">
        <f t="shared" ref="BG212:BG275" si="249">20*LOG(IMABS(BF212))</f>
        <v>6.4749284222239272</v>
      </c>
      <c r="BH212" s="43">
        <f t="shared" ref="BH212:BH275" si="250">(180/PI())*IMARGUMENT(BF212)</f>
        <v>-14.095456634208183</v>
      </c>
      <c r="BI212" s="41" t="str">
        <f t="shared" si="203"/>
        <v>15.4891119204313+11.1785029281207i</v>
      </c>
      <c r="BJ212" s="20">
        <f t="shared" ref="BJ212:BJ275" si="251">20*LOG(IMABS(BI212))</f>
        <v>25.621399608851995</v>
      </c>
      <c r="BK212" s="43">
        <f t="shared" si="204"/>
        <v>35.818010291718103</v>
      </c>
      <c r="BL212">
        <f t="shared" ref="BL212:BL275" si="252">IF($B$31=0,BJ212,BG212)</f>
        <v>6.4749284222239272</v>
      </c>
      <c r="BM212" s="43">
        <f t="shared" ref="BM212:BM275" si="253">IF($B$31=0,BK212,BH212)</f>
        <v>-14.095456634208183</v>
      </c>
    </row>
    <row r="213" spans="14:65" x14ac:dyDescent="0.25">
      <c r="N213" s="9">
        <v>95</v>
      </c>
      <c r="O213" s="34">
        <f t="shared" si="205"/>
        <v>891.25093813374656</v>
      </c>
      <c r="P213" s="33" t="str">
        <f t="shared" si="206"/>
        <v>16.5157725627975</v>
      </c>
      <c r="Q213" s="4" t="str">
        <f t="shared" si="207"/>
        <v>1+14.489565591827i</v>
      </c>
      <c r="R213" s="4">
        <f t="shared" si="219"/>
        <v>14.524032189438886</v>
      </c>
      <c r="S213" s="4">
        <f t="shared" si="220"/>
        <v>1.5018904084442604</v>
      </c>
      <c r="T213" s="4" t="str">
        <f t="shared" si="208"/>
        <v>1+0.0921182694516431i</v>
      </c>
      <c r="U213" s="4">
        <f t="shared" si="221"/>
        <v>1.0042339247240981</v>
      </c>
      <c r="V213" s="4">
        <f t="shared" si="222"/>
        <v>9.1859023133999046E-2</v>
      </c>
      <c r="W213" t="str">
        <f t="shared" si="209"/>
        <v>1-1.399973699873i</v>
      </c>
      <c r="X213" s="4">
        <f t="shared" si="223"/>
        <v>1.7204436521828015</v>
      </c>
      <c r="Y213" s="4">
        <f t="shared" si="224"/>
        <v>-0.9505379555235085</v>
      </c>
      <c r="Z213" t="str">
        <f t="shared" si="210"/>
        <v>0.999983588259613+0.0195996317982219i</v>
      </c>
      <c r="AA213" s="4">
        <f t="shared" si="225"/>
        <v>1.0001756457518836</v>
      </c>
      <c r="AB213" s="4">
        <f t="shared" si="226"/>
        <v>1.9597444218456082E-2</v>
      </c>
      <c r="AC213" s="47" t="str">
        <f t="shared" si="227"/>
        <v>-1.42187400242442-1.35528634000279i</v>
      </c>
      <c r="AD213" s="20">
        <f t="shared" si="228"/>
        <v>5.8642151454735894</v>
      </c>
      <c r="AE213" s="43">
        <f t="shared" si="229"/>
        <v>-136.37351132071439</v>
      </c>
      <c r="AF213" t="str">
        <f t="shared" si="211"/>
        <v>247.084651286898</v>
      </c>
      <c r="AG213" t="str">
        <f t="shared" si="212"/>
        <v>1+14.1697223506046i</v>
      </c>
      <c r="AH213">
        <f t="shared" si="230"/>
        <v>14.204965029637476</v>
      </c>
      <c r="AI213">
        <f t="shared" si="231"/>
        <v>1.5003401290301734</v>
      </c>
      <c r="AJ213" t="str">
        <f t="shared" si="213"/>
        <v>1+0.0921182694516431i</v>
      </c>
      <c r="AK213">
        <f t="shared" si="232"/>
        <v>1.0042339247240981</v>
      </c>
      <c r="AL213">
        <f t="shared" si="233"/>
        <v>9.1859023133999046E-2</v>
      </c>
      <c r="AM213" t="str">
        <f t="shared" si="214"/>
        <v>1-0.0915108234710249i</v>
      </c>
      <c r="AN213">
        <f t="shared" si="234"/>
        <v>1.0041783859515923</v>
      </c>
      <c r="AO213">
        <f t="shared" si="235"/>
        <v>-9.1256655080330512E-2</v>
      </c>
      <c r="AP213" s="41" t="str">
        <f t="shared" si="236"/>
        <v>1.24538104529276-17.4966130542075i</v>
      </c>
      <c r="AQ213">
        <f t="shared" si="237"/>
        <v>24.881027142436945</v>
      </c>
      <c r="AR213" s="43">
        <f t="shared" si="238"/>
        <v>-85.928644080353592</v>
      </c>
      <c r="AS213" t="str">
        <f t="shared" si="215"/>
        <v>-0.0000166666666666667</v>
      </c>
      <c r="AT213" t="str">
        <f t="shared" si="216"/>
        <v>0.0000190396423182727i</v>
      </c>
      <c r="AU213">
        <f t="shared" si="239"/>
        <v>1.9039642318272699E-5</v>
      </c>
      <c r="AV213">
        <f t="shared" si="240"/>
        <v>1.5707963267948966</v>
      </c>
      <c r="AW213" t="str">
        <f t="shared" si="217"/>
        <v>1+0.019349283560127i</v>
      </c>
      <c r="AX213">
        <f t="shared" si="241"/>
        <v>1.0001871798689934</v>
      </c>
      <c r="AY213">
        <f t="shared" si="242"/>
        <v>1.9346869345541671E-2</v>
      </c>
      <c r="AZ213" t="str">
        <f t="shared" si="218"/>
        <v>1+0.657875641044318i</v>
      </c>
      <c r="BA213">
        <f t="shared" si="243"/>
        <v>1.1969963905874872</v>
      </c>
      <c r="BB213">
        <f t="shared" si="244"/>
        <v>0.58189179065135133</v>
      </c>
      <c r="BC213" s="41" t="str">
        <f t="shared" si="245"/>
        <v>-0.558735449045869+0.886177715160673i</v>
      </c>
      <c r="BD213">
        <f t="shared" si="246"/>
        <v>0.40403042958852764</v>
      </c>
      <c r="BE213" s="43">
        <f t="shared" si="247"/>
        <v>122.23144977734189</v>
      </c>
      <c r="BF213" s="41" t="str">
        <f t="shared" si="248"/>
        <v>1.9954759614034-0.502786532947643i</v>
      </c>
      <c r="BG213" s="20">
        <f t="shared" si="249"/>
        <v>6.2682455750621209</v>
      </c>
      <c r="BH213" s="43">
        <f t="shared" si="250"/>
        <v>-14.142061543372501</v>
      </c>
      <c r="BI213" s="41" t="str">
        <f t="shared" si="203"/>
        <v>14.8092700418531+10.8796068808464i</v>
      </c>
      <c r="BJ213" s="20">
        <f t="shared" si="251"/>
        <v>25.285057572025458</v>
      </c>
      <c r="BK213" s="43">
        <f t="shared" si="204"/>
        <v>36.302805696988401</v>
      </c>
      <c r="BL213">
        <f t="shared" si="252"/>
        <v>6.2682455750621209</v>
      </c>
      <c r="BM213" s="43">
        <f t="shared" si="253"/>
        <v>-14.142061543372501</v>
      </c>
    </row>
    <row r="214" spans="14:65" x14ac:dyDescent="0.25">
      <c r="N214" s="9">
        <v>96</v>
      </c>
      <c r="O214" s="34">
        <f t="shared" si="205"/>
        <v>912.01083935590987</v>
      </c>
      <c r="P214" s="33" t="str">
        <f t="shared" si="206"/>
        <v>16.5157725627975</v>
      </c>
      <c r="Q214" s="4" t="str">
        <f t="shared" si="207"/>
        <v>1+14.8270709313088i</v>
      </c>
      <c r="R214" s="4">
        <f t="shared" si="219"/>
        <v>14.86075477228739</v>
      </c>
      <c r="S214" s="4">
        <f t="shared" si="220"/>
        <v>1.5034541059899984</v>
      </c>
      <c r="T214" s="4" t="str">
        <f t="shared" si="208"/>
        <v>1+0.0942639795908964i</v>
      </c>
      <c r="U214" s="4">
        <f t="shared" si="221"/>
        <v>1.0044330230773544</v>
      </c>
      <c r="V214" s="4">
        <f t="shared" si="222"/>
        <v>9.3986258328866923E-2</v>
      </c>
      <c r="W214" t="str">
        <f t="shared" si="209"/>
        <v>1-1.43258327645739i</v>
      </c>
      <c r="X214" s="4">
        <f t="shared" si="223"/>
        <v>1.7470818080403079</v>
      </c>
      <c r="Y214" s="4">
        <f t="shared" si="224"/>
        <v>-0.96138721222247769</v>
      </c>
      <c r="Z214" t="str">
        <f t="shared" si="210"/>
        <v>0.999982814798118+0.0200561658704035i</v>
      </c>
      <c r="AA214" s="4">
        <f t="shared" si="225"/>
        <v>1.0001839229266727</v>
      </c>
      <c r="AB214" s="4">
        <f t="shared" si="226"/>
        <v>2.0053821859678862E-2</v>
      </c>
      <c r="AC214" s="47" t="str">
        <f t="shared" si="227"/>
        <v>-1.42581110854288-1.33010278576445i</v>
      </c>
      <c r="AD214" s="20">
        <f t="shared" si="228"/>
        <v>5.8002476170802808</v>
      </c>
      <c r="AE214" s="43">
        <f t="shared" si="229"/>
        <v>-136.98898812423349</v>
      </c>
      <c r="AF214" t="str">
        <f t="shared" si="211"/>
        <v>247.084651286898</v>
      </c>
      <c r="AG214" t="str">
        <f t="shared" si="212"/>
        <v>1+14.4997775839376i</v>
      </c>
      <c r="AH214">
        <f t="shared" si="230"/>
        <v>14.53421996474731</v>
      </c>
      <c r="AI214">
        <f t="shared" si="231"/>
        <v>1.5019387846206782</v>
      </c>
      <c r="AJ214" t="str">
        <f t="shared" si="213"/>
        <v>1+0.0942639795908964i</v>
      </c>
      <c r="AK214">
        <f t="shared" si="232"/>
        <v>1.0044330230773544</v>
      </c>
      <c r="AL214">
        <f t="shared" si="233"/>
        <v>9.3986258328866923E-2</v>
      </c>
      <c r="AM214" t="str">
        <f t="shared" si="214"/>
        <v>1-0.0936423843757407i</v>
      </c>
      <c r="AN214">
        <f t="shared" si="234"/>
        <v>1.0043748782957358</v>
      </c>
      <c r="AO214">
        <f t="shared" si="235"/>
        <v>-9.3370102067654476E-2</v>
      </c>
      <c r="AP214" s="41" t="str">
        <f t="shared" si="236"/>
        <v>1.19053417370178-17.1088940877744i</v>
      </c>
      <c r="AQ214">
        <f t="shared" si="237"/>
        <v>24.685417275179709</v>
      </c>
      <c r="AR214" s="43">
        <f t="shared" si="238"/>
        <v>-86.019450292485189</v>
      </c>
      <c r="AS214" t="str">
        <f t="shared" si="215"/>
        <v>-0.0000166666666666667</v>
      </c>
      <c r="AT214" t="str">
        <f t="shared" si="216"/>
        <v>0.0000194831325598206i</v>
      </c>
      <c r="AU214">
        <f t="shared" si="239"/>
        <v>1.94831325598206E-5</v>
      </c>
      <c r="AV214">
        <f t="shared" si="240"/>
        <v>1.5707963267948966</v>
      </c>
      <c r="AW214" t="str">
        <f t="shared" si="217"/>
        <v>1+0.0197999862727311i</v>
      </c>
      <c r="AX214">
        <f t="shared" si="241"/>
        <v>1.0001960005200983</v>
      </c>
      <c r="AY214">
        <f t="shared" si="242"/>
        <v>1.9797399422573875E-2</v>
      </c>
      <c r="AZ214" t="str">
        <f t="shared" si="218"/>
        <v>1+0.673199533272858i</v>
      </c>
      <c r="BA214">
        <f t="shared" si="243"/>
        <v>1.2054864626360571</v>
      </c>
      <c r="BB214">
        <f t="shared" si="244"/>
        <v>0.59251173091727904</v>
      </c>
      <c r="BC214" s="41" t="str">
        <f t="shared" si="245"/>
        <v>-0.558725594199973+0.866503567471228i</v>
      </c>
      <c r="BD214">
        <f t="shared" si="246"/>
        <v>0.26534376632163853</v>
      </c>
      <c r="BE214" s="43">
        <f t="shared" si="247"/>
        <v>122.814114061303</v>
      </c>
      <c r="BF214" s="41" t="str">
        <f t="shared" si="248"/>
        <v>1.94917596780586-0.49230794276923i</v>
      </c>
      <c r="BG214" s="20">
        <f t="shared" si="249"/>
        <v>6.0655913834019293</v>
      </c>
      <c r="BH214" s="43">
        <f t="shared" si="250"/>
        <v>-14.174874062930481</v>
      </c>
      <c r="BI214" s="41" t="str">
        <f t="shared" si="203"/>
        <v>14.159735848927+10.5907791240052i</v>
      </c>
      <c r="BJ214" s="20">
        <f t="shared" si="251"/>
        <v>24.950761041501348</v>
      </c>
      <c r="BK214" s="43">
        <f t="shared" si="204"/>
        <v>36.794663768817948</v>
      </c>
      <c r="BL214">
        <f t="shared" si="252"/>
        <v>6.0655913834019293</v>
      </c>
      <c r="BM214" s="43">
        <f t="shared" si="253"/>
        <v>-14.174874062930481</v>
      </c>
    </row>
    <row r="215" spans="14:65" x14ac:dyDescent="0.25">
      <c r="N215" s="9">
        <v>97</v>
      </c>
      <c r="O215" s="34">
        <f t="shared" si="205"/>
        <v>933.25430079699106</v>
      </c>
      <c r="P215" s="33" t="str">
        <f t="shared" si="206"/>
        <v>16.5157725627975</v>
      </c>
      <c r="Q215" s="4" t="str">
        <f t="shared" si="207"/>
        <v>1+15.172437780058i</v>
      </c>
      <c r="R215" s="4">
        <f t="shared" si="219"/>
        <v>15.205356562400349</v>
      </c>
      <c r="S215" s="4">
        <f t="shared" si="220"/>
        <v>1.5049825282026319</v>
      </c>
      <c r="T215" s="4" t="str">
        <f t="shared" si="208"/>
        <v>1+0.0964596697398604i</v>
      </c>
      <c r="U215" s="4">
        <f t="shared" si="221"/>
        <v>1.004641462356757</v>
      </c>
      <c r="V215" s="4">
        <f t="shared" si="222"/>
        <v>9.6162160249421896E-2</v>
      </c>
      <c r="W215" t="str">
        <f t="shared" si="209"/>
        <v>1-1.46595242765745i</v>
      </c>
      <c r="X215" s="4">
        <f t="shared" si="223"/>
        <v>1.7745468492420173</v>
      </c>
      <c r="Y215" s="4">
        <f t="shared" si="224"/>
        <v>-0.97215069535274545</v>
      </c>
      <c r="Z215" t="str">
        <f t="shared" si="210"/>
        <v>0.999982004884505+0.0205233339872043i</v>
      </c>
      <c r="AA215" s="4">
        <f t="shared" si="225"/>
        <v>1.0001925901199151</v>
      </c>
      <c r="AB215" s="4">
        <f t="shared" si="226"/>
        <v>2.0520822360520767E-2</v>
      </c>
      <c r="AC215" s="47" t="str">
        <f t="shared" si="227"/>
        <v>-1.42958263879627-1.30560112904769i</v>
      </c>
      <c r="AD215" s="20">
        <f t="shared" si="228"/>
        <v>5.7383443901137401</v>
      </c>
      <c r="AE215" s="43">
        <f t="shared" si="229"/>
        <v>-137.59534958360257</v>
      </c>
      <c r="AF215" t="str">
        <f t="shared" si="211"/>
        <v>247.084651286898</v>
      </c>
      <c r="AG215" t="str">
        <f t="shared" si="212"/>
        <v>1+14.8375207912729i</v>
      </c>
      <c r="AH215">
        <f t="shared" si="230"/>
        <v>14.871180962904578</v>
      </c>
      <c r="AI215">
        <f t="shared" si="231"/>
        <v>1.5035013910717991</v>
      </c>
      <c r="AJ215" t="str">
        <f t="shared" si="213"/>
        <v>1+0.0964596697398604i</v>
      </c>
      <c r="AK215">
        <f t="shared" si="232"/>
        <v>1.004641462356757</v>
      </c>
      <c r="AL215">
        <f t="shared" si="233"/>
        <v>9.6162160249421896E-2</v>
      </c>
      <c r="AM215" t="str">
        <f t="shared" si="214"/>
        <v>1-0.0958235957121563i</v>
      </c>
      <c r="AN215">
        <f t="shared" si="234"/>
        <v>1.004580589845935</v>
      </c>
      <c r="AO215">
        <f t="shared" si="235"/>
        <v>-9.5531911763529112E-2</v>
      </c>
      <c r="AP215" s="41" t="str">
        <f t="shared" si="236"/>
        <v>1.13813296775996-16.7299074430436i</v>
      </c>
      <c r="AQ215">
        <f t="shared" si="237"/>
        <v>24.48992380460766</v>
      </c>
      <c r="AR215" s="43">
        <f t="shared" si="238"/>
        <v>-86.108173622176196</v>
      </c>
      <c r="AS215" t="str">
        <f t="shared" si="215"/>
        <v>-0.0000166666666666667</v>
      </c>
      <c r="AT215" t="str">
        <f t="shared" si="216"/>
        <v>0.0000199369530161414i</v>
      </c>
      <c r="AU215">
        <f t="shared" si="239"/>
        <v>1.9936953016141399E-5</v>
      </c>
      <c r="AV215">
        <f t="shared" si="240"/>
        <v>1.5707963267948966</v>
      </c>
      <c r="AW215" t="str">
        <f t="shared" si="217"/>
        <v>1+0.0202611872001409i</v>
      </c>
      <c r="AX215">
        <f t="shared" si="241"/>
        <v>1.0002052367923091</v>
      </c>
      <c r="AY215">
        <f t="shared" si="242"/>
        <v>2.025841537097544E-2</v>
      </c>
      <c r="AZ215" t="str">
        <f t="shared" si="218"/>
        <v>1+0.68888036480479i</v>
      </c>
      <c r="BA215">
        <f t="shared" si="243"/>
        <v>1.2143130391351238</v>
      </c>
      <c r="BB215">
        <f t="shared" si="244"/>
        <v>0.60322407216814111</v>
      </c>
      <c r="BC215" s="41" t="str">
        <f t="shared" si="245"/>
        <v>-0.558715275282091+0.847288833053473i</v>
      </c>
      <c r="BD215">
        <f t="shared" si="246"/>
        <v>0.12862997188915193</v>
      </c>
      <c r="BE215" s="43">
        <f t="shared" si="247"/>
        <v>123.40147173554963</v>
      </c>
      <c r="BF215" s="41" t="str">
        <f t="shared" si="248"/>
        <v>1.90495091463767-0.481810111554707i</v>
      </c>
      <c r="BG215" s="20">
        <f t="shared" si="249"/>
        <v>5.8669743620028916</v>
      </c>
      <c r="BH215" s="43">
        <f t="shared" si="250"/>
        <v>-14.193877848052926</v>
      </c>
      <c r="BI215" s="41" t="str">
        <f t="shared" si="203"/>
        <v>13.5391714801194+10.311582196597i</v>
      </c>
      <c r="BJ215" s="20">
        <f t="shared" si="251"/>
        <v>24.618553776496803</v>
      </c>
      <c r="BK215" s="43">
        <f t="shared" si="204"/>
        <v>37.293298113373346</v>
      </c>
      <c r="BL215">
        <f t="shared" si="252"/>
        <v>5.8669743620028916</v>
      </c>
      <c r="BM215" s="43">
        <f t="shared" si="253"/>
        <v>-14.193877848052926</v>
      </c>
    </row>
    <row r="216" spans="14:65" x14ac:dyDescent="0.25">
      <c r="N216" s="9">
        <v>98</v>
      </c>
      <c r="O216" s="34">
        <f t="shared" si="205"/>
        <v>954.99258602143675</v>
      </c>
      <c r="P216" s="33" t="str">
        <f t="shared" si="206"/>
        <v>16.5157725627975</v>
      </c>
      <c r="Q216" s="4" t="str">
        <f t="shared" si="207"/>
        <v>1+15.5258492561491i</v>
      </c>
      <c r="R216" s="4">
        <f t="shared" si="219"/>
        <v>15.558020282949419</v>
      </c>
      <c r="S216" s="4">
        <f t="shared" si="220"/>
        <v>1.5064764568917077</v>
      </c>
      <c r="T216" s="4" t="str">
        <f t="shared" si="208"/>
        <v>1+0.0987065040825152i</v>
      </c>
      <c r="U216" s="4">
        <f t="shared" si="221"/>
        <v>1.0048596787353903</v>
      </c>
      <c r="V216" s="4">
        <f t="shared" si="222"/>
        <v>9.8387800126951391E-2</v>
      </c>
      <c r="W216" t="str">
        <f t="shared" si="209"/>
        <v>1-1.50009884623883i</v>
      </c>
      <c r="X216" s="4">
        <f t="shared" si="223"/>
        <v>1.8028578836078757</v>
      </c>
      <c r="Y216" s="4">
        <f t="shared" si="224"/>
        <v>-0.98282413608717745</v>
      </c>
      <c r="Z216" t="str">
        <f t="shared" si="210"/>
        <v>0.99998115680084+0.0210013838473436i</v>
      </c>
      <c r="AA216" s="4">
        <f t="shared" si="225"/>
        <v>1.0002016657055965</v>
      </c>
      <c r="AB216" s="4">
        <f t="shared" si="226"/>
        <v>2.0998692620103242E-2</v>
      </c>
      <c r="AC216" s="47" t="str">
        <f t="shared" si="227"/>
        <v>-1.43319638731564-1.28176989598198i</v>
      </c>
      <c r="AD216" s="20">
        <f t="shared" si="228"/>
        <v>5.6784780018753498</v>
      </c>
      <c r="AE216" s="43">
        <f t="shared" si="229"/>
        <v>-138.19234867667663</v>
      </c>
      <c r="AF216" t="str">
        <f t="shared" si="211"/>
        <v>247.084651286898</v>
      </c>
      <c r="AG216" t="str">
        <f t="shared" si="212"/>
        <v>1+15.1831310485296i</v>
      </c>
      <c r="AH216">
        <f t="shared" si="230"/>
        <v>15.216026696770202</v>
      </c>
      <c r="AI216">
        <f t="shared" si="231"/>
        <v>1.5050287463571812</v>
      </c>
      <c r="AJ216" t="str">
        <f t="shared" si="213"/>
        <v>1+0.0987065040825152i</v>
      </c>
      <c r="AK216">
        <f t="shared" si="232"/>
        <v>1.0048596787353903</v>
      </c>
      <c r="AL216">
        <f t="shared" si="233"/>
        <v>9.8387800126951391E-2</v>
      </c>
      <c r="AM216" t="str">
        <f t="shared" si="214"/>
        <v>1-0.0980556139873938i</v>
      </c>
      <c r="AN216">
        <f t="shared" si="234"/>
        <v>1.0047959511435369</v>
      </c>
      <c r="AO216">
        <f t="shared" si="235"/>
        <v>-9.7743149519148989E-2</v>
      </c>
      <c r="AP216" s="41" t="str">
        <f t="shared" si="236"/>
        <v>1.0880693516162-16.3594746032982i</v>
      </c>
      <c r="AQ216">
        <f t="shared" si="237"/>
        <v>24.294556059504181</v>
      </c>
      <c r="AR216" s="43">
        <f t="shared" si="238"/>
        <v>-86.194859453044117</v>
      </c>
      <c r="AS216" t="str">
        <f t="shared" si="215"/>
        <v>-0.0000166666666666667</v>
      </c>
      <c r="AT216" t="str">
        <f t="shared" si="216"/>
        <v>0.0000204013443088481i</v>
      </c>
      <c r="AU216">
        <f t="shared" si="239"/>
        <v>2.0401344308848099E-5</v>
      </c>
      <c r="AV216">
        <f t="shared" si="240"/>
        <v>1.5707963267948966</v>
      </c>
      <c r="AW216" t="str">
        <f t="shared" si="217"/>
        <v>1+0.0207331308771927i</v>
      </c>
      <c r="AX216">
        <f t="shared" si="241"/>
        <v>1.0002149082652043</v>
      </c>
      <c r="AY216">
        <f t="shared" si="242"/>
        <v>2.0730160843196052E-2</v>
      </c>
      <c r="AZ216" t="str">
        <f t="shared" si="218"/>
        <v>1+0.704926449824552i</v>
      </c>
      <c r="BA216">
        <f t="shared" si="243"/>
        <v>1.2234873516560139</v>
      </c>
      <c r="BB216">
        <f t="shared" si="244"/>
        <v>0.6140246599294874</v>
      </c>
      <c r="BC216" s="41" t="str">
        <f t="shared" si="245"/>
        <v>-0.558704470457106+0.828523322686778i</v>
      </c>
      <c r="BD216">
        <f t="shared" si="246"/>
        <v>-6.0775046237352189E-3</v>
      </c>
      <c r="BE216" s="43">
        <f t="shared" si="247"/>
        <v>123.99327080597276</v>
      </c>
      <c r="BF216" s="41" t="str">
        <f t="shared" si="248"/>
        <v>1.8627094817751-0.471306061898968i</v>
      </c>
      <c r="BG216" s="20">
        <f t="shared" si="249"/>
        <v>5.6724004972516244</v>
      </c>
      <c r="BH216" s="43">
        <f t="shared" si="250"/>
        <v>-14.199077870703849</v>
      </c>
      <c r="BI216" s="41" t="str">
        <f t="shared" si="203"/>
        <v>12.9462970448192+10.0416024297069i</v>
      </c>
      <c r="BJ216" s="20">
        <f t="shared" si="251"/>
        <v>24.288478554880427</v>
      </c>
      <c r="BK216" s="43">
        <f t="shared" si="204"/>
        <v>37.798411352928753</v>
      </c>
      <c r="BL216">
        <f t="shared" si="252"/>
        <v>5.6724004972516244</v>
      </c>
      <c r="BM216" s="43">
        <f t="shared" si="253"/>
        <v>-14.199077870703849</v>
      </c>
    </row>
    <row r="217" spans="14:65" x14ac:dyDescent="0.25">
      <c r="N217" s="9">
        <v>99</v>
      </c>
      <c r="O217" s="34">
        <f t="shared" si="205"/>
        <v>977.23722095581138</v>
      </c>
      <c r="P217" s="33" t="str">
        <f t="shared" si="206"/>
        <v>16.5157725627975</v>
      </c>
      <c r="Q217" s="4" t="str">
        <f t="shared" si="207"/>
        <v>1+15.8874927430248i</v>
      </c>
      <c r="R217" s="4">
        <f t="shared" si="219"/>
        <v>15.918932930936851</v>
      </c>
      <c r="S217" s="4">
        <f t="shared" si="220"/>
        <v>1.5079366574694908</v>
      </c>
      <c r="T217" s="4" t="str">
        <f t="shared" si="208"/>
        <v>1+0.101005673920169i</v>
      </c>
      <c r="U217" s="4">
        <f t="shared" si="221"/>
        <v>1.005088128555933</v>
      </c>
      <c r="V217" s="4">
        <f t="shared" si="222"/>
        <v>0.10066426977952059</v>
      </c>
      <c r="W217" t="str">
        <f t="shared" si="209"/>
        <v>1-1.53504063708464i</v>
      </c>
      <c r="X217" s="4">
        <f t="shared" si="223"/>
        <v>1.8320343221406132</v>
      </c>
      <c r="Y217" s="4">
        <f t="shared" si="224"/>
        <v>-0.99340346603278451</v>
      </c>
      <c r="Z217" t="str">
        <f t="shared" si="210"/>
        <v>0.999980268748223+0.021490568919185i</v>
      </c>
      <c r="AA217" s="4">
        <f t="shared" si="225"/>
        <v>1.0002111689229622</v>
      </c>
      <c r="AB217" s="4">
        <f t="shared" si="226"/>
        <v>2.1487685250047562E-2</v>
      </c>
      <c r="AC217" s="47" t="str">
        <f t="shared" si="227"/>
        <v>-1.43665983141223-1.25859786636388i</v>
      </c>
      <c r="AD217" s="20">
        <f t="shared" si="228"/>
        <v>5.6206197979057428</v>
      </c>
      <c r="AE217" s="43">
        <f t="shared" si="229"/>
        <v>-138.77974807361286</v>
      </c>
      <c r="AF217" t="str">
        <f t="shared" si="211"/>
        <v>247.084651286898</v>
      </c>
      <c r="AG217" t="str">
        <f t="shared" si="212"/>
        <v>1+15.5367916028407i</v>
      </c>
      <c r="AH217">
        <f t="shared" si="230"/>
        <v>15.568940018835619</v>
      </c>
      <c r="AI217">
        <f t="shared" si="231"/>
        <v>1.5065216317804817</v>
      </c>
      <c r="AJ217" t="str">
        <f t="shared" si="213"/>
        <v>1+0.101005673920169i</v>
      </c>
      <c r="AK217">
        <f t="shared" si="232"/>
        <v>1.005088128555933</v>
      </c>
      <c r="AL217">
        <f t="shared" si="233"/>
        <v>0.10066426977952059</v>
      </c>
      <c r="AM217" t="str">
        <f t="shared" si="214"/>
        <v>1-0.100339622647087i</v>
      </c>
      <c r="AN217">
        <f t="shared" si="234"/>
        <v>1.0050214126440091</v>
      </c>
      <c r="AO217">
        <f t="shared" si="235"/>
        <v>-0.10000490121840867</v>
      </c>
      <c r="AP217" s="41" t="str">
        <f t="shared" si="236"/>
        <v>1.04023993960998-15.9974201121232i</v>
      </c>
      <c r="AQ217">
        <f t="shared" si="237"/>
        <v>24.099323618378776</v>
      </c>
      <c r="AR217" s="43">
        <f t="shared" si="238"/>
        <v>-86.279552210488148</v>
      </c>
      <c r="AS217" t="str">
        <f t="shared" si="215"/>
        <v>-0.0000166666666666667</v>
      </c>
      <c r="AT217" t="str">
        <f t="shared" si="216"/>
        <v>0.0000208765526643511i</v>
      </c>
      <c r="AU217">
        <f t="shared" si="239"/>
        <v>2.08765526643511E-5</v>
      </c>
      <c r="AV217">
        <f t="shared" si="240"/>
        <v>1.5707963267948966</v>
      </c>
      <c r="AW217" t="str">
        <f t="shared" si="217"/>
        <v>1+0.021216067534671i</v>
      </c>
      <c r="AX217">
        <f t="shared" si="241"/>
        <v>1.0002250354403432</v>
      </c>
      <c r="AY217">
        <f t="shared" si="242"/>
        <v>2.1212885124575618E-2</v>
      </c>
      <c r="AZ217" t="str">
        <f t="shared" si="218"/>
        <v>1+0.721346296178815i</v>
      </c>
      <c r="BA217">
        <f t="shared" si="243"/>
        <v>1.2330208753345966</v>
      </c>
      <c r="BB217">
        <f t="shared" si="244"/>
        <v>0.62490914156430699</v>
      </c>
      <c r="BC217" s="41" t="str">
        <f t="shared" si="245"/>
        <v>-0.558693156864308+0.810197085241207i</v>
      </c>
      <c r="BD217">
        <f t="shared" si="246"/>
        <v>-0.13874654145964938</v>
      </c>
      <c r="BE217" s="43">
        <f t="shared" si="247"/>
        <v>124.58924760184408</v>
      </c>
      <c r="BF217" s="41" t="str">
        <f t="shared" si="248"/>
        <v>1.82236433937066-0.460807592711794i</v>
      </c>
      <c r="BG217" s="20">
        <f t="shared" si="249"/>
        <v>5.4818732564460895</v>
      </c>
      <c r="BH217" s="43">
        <f t="shared" si="250"/>
        <v>-14.190500471768793</v>
      </c>
      <c r="BI217" s="41" t="str">
        <f t="shared" si="203"/>
        <v>12.3798882104642+9.78044851115018i</v>
      </c>
      <c r="BJ217" s="20">
        <f t="shared" si="251"/>
        <v>23.960577076919108</v>
      </c>
      <c r="BK217" s="43">
        <f t="shared" si="204"/>
        <v>38.30969539135603</v>
      </c>
      <c r="BL217">
        <f t="shared" si="252"/>
        <v>5.4818732564460895</v>
      </c>
      <c r="BM217" s="43">
        <f t="shared" si="253"/>
        <v>-14.190500471768793</v>
      </c>
    </row>
    <row r="218" spans="14:65" x14ac:dyDescent="0.25">
      <c r="N218" s="9">
        <v>100</v>
      </c>
      <c r="O218" s="34">
        <f t="shared" si="205"/>
        <v>1000</v>
      </c>
      <c r="P218" s="33" t="str">
        <f t="shared" si="206"/>
        <v>16.5157725627975</v>
      </c>
      <c r="Q218" s="4" t="str">
        <f t="shared" si="207"/>
        <v>1+16.2575599888486i</v>
      </c>
      <c r="R218" s="4">
        <f t="shared" si="219"/>
        <v>16.288285876390152</v>
      </c>
      <c r="S218" s="4">
        <f t="shared" si="220"/>
        <v>1.5093638792322612</v>
      </c>
      <c r="T218" s="4" t="str">
        <f t="shared" si="208"/>
        <v>1+0.103358398303104i</v>
      </c>
      <c r="U218" s="4">
        <f t="shared" si="221"/>
        <v>1.0053272892445442</v>
      </c>
      <c r="V218" s="4">
        <f t="shared" si="222"/>
        <v>0.10299268179065398</v>
      </c>
      <c r="W218" t="str">
        <f t="shared" si="209"/>
        <v>1-1.5707963267949i</v>
      </c>
      <c r="X218" s="4">
        <f t="shared" si="223"/>
        <v>1.8620958891185897</v>
      </c>
      <c r="Y218" s="4">
        <f t="shared" si="224"/>
        <v>-1.0038848218538883</v>
      </c>
      <c r="Z218" t="str">
        <f t="shared" si="210"/>
        <v>0.999979338842975+0.0219911485751285i</v>
      </c>
      <c r="AA218" s="4">
        <f t="shared" si="225"/>
        <v>1.0002211199172344</v>
      </c>
      <c r="AB218" s="4">
        <f t="shared" si="226"/>
        <v>2.1988058704785051E-2</v>
      </c>
      <c r="AC218" s="47" t="str">
        <f t="shared" si="227"/>
        <v>-1.4399801458761-1.23607407420889i</v>
      </c>
      <c r="AD218" s="20">
        <f t="shared" si="228"/>
        <v>5.5647400567311838</v>
      </c>
      <c r="AE218" s="43">
        <f t="shared" si="229"/>
        <v>-139.3573204151042</v>
      </c>
      <c r="AF218" t="str">
        <f t="shared" si="211"/>
        <v>247.084651286898</v>
      </c>
      <c r="AG218" t="str">
        <f t="shared" si="212"/>
        <v>1+15.8986899697133i</v>
      </c>
      <c r="AH218">
        <f t="shared" si="230"/>
        <v>15.930108058423906</v>
      </c>
      <c r="AI218">
        <f t="shared" si="231"/>
        <v>1.5079808122566856</v>
      </c>
      <c r="AJ218" t="str">
        <f t="shared" si="213"/>
        <v>1+0.103358398303104i</v>
      </c>
      <c r="AK218">
        <f t="shared" si="232"/>
        <v>1.0053272892445442</v>
      </c>
      <c r="AL218">
        <f t="shared" si="233"/>
        <v>0.10299268179065398</v>
      </c>
      <c r="AM218" t="str">
        <f t="shared" si="214"/>
        <v>1-0.102676832702859i</v>
      </c>
      <c r="AN218">
        <f t="shared" si="234"/>
        <v>1.0052574456197234</v>
      </c>
      <c r="AO218">
        <f t="shared" si="235"/>
        <v>-0.10231827346088776</v>
      </c>
      <c r="AP218" s="41" t="str">
        <f t="shared" si="236"/>
        <v>0.994545840271056-15.6435715764718i</v>
      </c>
      <c r="AQ218">
        <f t="shared" si="237"/>
        <v>23.904236327747665</v>
      </c>
      <c r="AR218" s="43">
        <f t="shared" si="238"/>
        <v>-86.362295378053759</v>
      </c>
      <c r="AS218" t="str">
        <f t="shared" si="215"/>
        <v>-0.0000166666666666667</v>
      </c>
      <c r="AT218" t="str">
        <f t="shared" si="216"/>
        <v>0.0000213628300444106i</v>
      </c>
      <c r="AU218">
        <f t="shared" si="239"/>
        <v>2.1362830044410598E-5</v>
      </c>
      <c r="AV218">
        <f t="shared" si="240"/>
        <v>1.5707963267948966</v>
      </c>
      <c r="AW218" t="str">
        <f t="shared" si="217"/>
        <v>1+0.0217102532319841i</v>
      </c>
      <c r="AX218">
        <f t="shared" si="241"/>
        <v>1.0002356397846444</v>
      </c>
      <c r="AY218">
        <f t="shared" si="242"/>
        <v>2.1706843261516024E-2</v>
      </c>
      <c r="AZ218" t="str">
        <f t="shared" si="218"/>
        <v>1+0.738148609887458i</v>
      </c>
      <c r="BA218">
        <f t="shared" si="243"/>
        <v>1.2429253277163461</v>
      </c>
      <c r="BB218">
        <f t="shared" si="244"/>
        <v>0.6358729723093014</v>
      </c>
      <c r="BC218" s="41" t="str">
        <f t="shared" si="245"/>
        <v>-0.558681310569388+0.792300402394593i</v>
      </c>
      <c r="BD218">
        <f t="shared" si="246"/>
        <v>-0.26934645681814984</v>
      </c>
      <c r="BE218" s="43">
        <f t="shared" si="247"/>
        <v>125.18912711432517</v>
      </c>
      <c r="BF218" s="41" t="str">
        <f t="shared" si="248"/>
        <v>1.78383198147719-0.450325365277993i</v>
      </c>
      <c r="BG218" s="20">
        <f t="shared" si="249"/>
        <v>5.2953935999130506</v>
      </c>
      <c r="BH218" s="43">
        <f t="shared" si="250"/>
        <v>-14.168193300778977</v>
      </c>
      <c r="BI218" s="41" t="str">
        <f t="shared" si="203"/>
        <v>11.8387738814633+9.52775013977592i</v>
      </c>
      <c r="BJ218" s="20">
        <f t="shared" si="251"/>
        <v>23.634889870929534</v>
      </c>
      <c r="BK218" s="43">
        <f t="shared" si="204"/>
        <v>38.826831736271323</v>
      </c>
      <c r="BL218">
        <f t="shared" si="252"/>
        <v>5.2953935999130506</v>
      </c>
      <c r="BM218" s="43">
        <f t="shared" si="253"/>
        <v>-14.168193300778977</v>
      </c>
    </row>
    <row r="219" spans="14:65" x14ac:dyDescent="0.25">
      <c r="N219" s="9">
        <v>1</v>
      </c>
      <c r="O219" s="34">
        <f>10^(3+(N219/100))</f>
        <v>1023.2929922807547</v>
      </c>
      <c r="P219" s="33" t="str">
        <f t="shared" si="206"/>
        <v>16.5157725627975</v>
      </c>
      <c r="Q219" s="4" t="str">
        <f t="shared" si="207"/>
        <v>1+16.6362472081727i</v>
      </c>
      <c r="R219" s="4">
        <f t="shared" si="219"/>
        <v>16.666274963873423</v>
      </c>
      <c r="S219" s="4">
        <f t="shared" si="220"/>
        <v>1.5107588556411928</v>
      </c>
      <c r="T219" s="4" t="str">
        <f t="shared" si="208"/>
        <v>1+0.10576592467693i</v>
      </c>
      <c r="U219" s="4">
        <f t="shared" si="221"/>
        <v>1.0055776602643707</v>
      </c>
      <c r="V219" s="4">
        <f t="shared" si="222"/>
        <v>0.10537416967200997</v>
      </c>
      <c r="W219" t="str">
        <f t="shared" si="209"/>
        <v>1-1.60738487350957i</v>
      </c>
      <c r="X219" s="4">
        <f t="shared" si="223"/>
        <v>1.8930626327692848</v>
      </c>
      <c r="Y219" s="4">
        <f t="shared" si="224"/>
        <v>-1.0142645489183457</v>
      </c>
      <c r="Z219" t="str">
        <f t="shared" si="210"/>
        <v>0.999978365112644+0.0225033882291339i</v>
      </c>
      <c r="AA219" s="4">
        <f t="shared" si="225"/>
        <v>1.0002315397822386</v>
      </c>
      <c r="AB219" s="4">
        <f t="shared" si="226"/>
        <v>2.2500077414707383E-2</v>
      </c>
      <c r="AC219" s="47" t="str">
        <f t="shared" si="227"/>
        <v>-1.443164216767-1.21418780801064i</v>
      </c>
      <c r="AD219" s="20">
        <f t="shared" si="228"/>
        <v>5.5108081152177935</v>
      </c>
      <c r="AE219" s="43">
        <f t="shared" si="229"/>
        <v>-139.92484853569459</v>
      </c>
      <c r="AF219" t="str">
        <f t="shared" si="211"/>
        <v>247.084651286898</v>
      </c>
      <c r="AG219" t="str">
        <f t="shared" si="212"/>
        <v>1+16.2690180324519i</v>
      </c>
      <c r="AH219">
        <f t="shared" si="230"/>
        <v>16.299722320955198</v>
      </c>
      <c r="AI219">
        <f t="shared" si="231"/>
        <v>1.5094070365933954</v>
      </c>
      <c r="AJ219" t="str">
        <f t="shared" si="213"/>
        <v>1+0.10576592467693i</v>
      </c>
      <c r="AK219">
        <f t="shared" si="232"/>
        <v>1.0055776602643707</v>
      </c>
      <c r="AL219">
        <f t="shared" si="233"/>
        <v>0.10537416967200997</v>
      </c>
      <c r="AM219" t="str">
        <f t="shared" si="214"/>
        <v>1-0.105068483374419i</v>
      </c>
      <c r="AN219">
        <f t="shared" si="234"/>
        <v>1.0055045431019198</v>
      </c>
      <c r="AO219">
        <f t="shared" si="235"/>
        <v>-0.1046843937292934</v>
      </c>
      <c r="AP219" s="41" t="str">
        <f t="shared" si="236"/>
        <v>0.950892467840572-15.2977596651969i</v>
      </c>
      <c r="AQ219">
        <f t="shared" si="237"/>
        <v>23.709304320831002</v>
      </c>
      <c r="AR219" s="43">
        <f t="shared" si="238"/>
        <v>-86.443131513822834</v>
      </c>
      <c r="AS219" t="str">
        <f t="shared" si="215"/>
        <v>-0.0000166666666666667</v>
      </c>
      <c r="AT219" t="str">
        <f t="shared" si="216"/>
        <v>0.0000218604342797301i</v>
      </c>
      <c r="AU219">
        <f t="shared" si="239"/>
        <v>2.1860434279730101E-5</v>
      </c>
      <c r="AV219">
        <f t="shared" si="240"/>
        <v>1.5707963267948966</v>
      </c>
      <c r="AW219" t="str">
        <f t="shared" si="217"/>
        <v>1+0.0222159499929299i</v>
      </c>
      <c r="AX219">
        <f t="shared" si="241"/>
        <v>1.0002467437757987</v>
      </c>
      <c r="AY219">
        <f t="shared" si="242"/>
        <v>2.2212296192421797E-2</v>
      </c>
      <c r="AZ219" t="str">
        <f t="shared" si="218"/>
        <v>1+0.755342299759616i</v>
      </c>
      <c r="BA219">
        <f t="shared" si="243"/>
        <v>1.2532126674296529</v>
      </c>
      <c r="BB219">
        <f t="shared" si="244"/>
        <v>0.64691142230437071</v>
      </c>
      <c r="BC219" s="41" t="str">
        <f t="shared" si="245"/>
        <v>-0.558668906514218+0.77482378347259i</v>
      </c>
      <c r="BD219">
        <f t="shared" si="246"/>
        <v>-0.39784811921525509</v>
      </c>
      <c r="BE219" s="43">
        <f t="shared" si="247"/>
        <v>125.79262339172539</v>
      </c>
      <c r="BF219" s="41" t="str">
        <f t="shared" si="248"/>
        <v>1.74703256615076-0.439868983603464i</v>
      </c>
      <c r="BG219" s="20">
        <f t="shared" si="249"/>
        <v>5.1129599960025249</v>
      </c>
      <c r="BH219" s="43">
        <f t="shared" si="250"/>
        <v>-14.132225143969201</v>
      </c>
      <c r="BI219" s="41" t="str">
        <f t="shared" si="203"/>
        <v>11.3218339672211+9.28315676388068i</v>
      </c>
      <c r="BJ219" s="20">
        <f t="shared" si="251"/>
        <v>23.31145620161573</v>
      </c>
      <c r="BK219" s="43">
        <f t="shared" si="204"/>
        <v>39.349491877902672</v>
      </c>
      <c r="BL219">
        <f t="shared" si="252"/>
        <v>5.1129599960025249</v>
      </c>
      <c r="BM219" s="43">
        <f t="shared" si="253"/>
        <v>-14.132225143969201</v>
      </c>
    </row>
    <row r="220" spans="14:65" x14ac:dyDescent="0.25">
      <c r="N220" s="9">
        <v>2</v>
      </c>
      <c r="O220" s="34">
        <f t="shared" ref="O220:O283" si="254">10^(3+(N220/100))</f>
        <v>1047.1285480509</v>
      </c>
      <c r="P220" s="33" t="str">
        <f t="shared" si="206"/>
        <v>16.5157725627975</v>
      </c>
      <c r="Q220" s="4" t="str">
        <f t="shared" si="207"/>
        <v>1+17.0237551859734i</v>
      </c>
      <c r="R220" s="4">
        <f t="shared" si="219"/>
        <v>17.053100616367576</v>
      </c>
      <c r="S220" s="4">
        <f t="shared" si="220"/>
        <v>1.512122304602441</v>
      </c>
      <c r="T220" s="4" t="str">
        <f t="shared" si="208"/>
        <v>1+0.108229529543996i</v>
      </c>
      <c r="U220" s="4">
        <f t="shared" si="221"/>
        <v>1.0058397641102259</v>
      </c>
      <c r="V220" s="4">
        <f t="shared" si="222"/>
        <v>0.10780988800840124</v>
      </c>
      <c r="W220" t="str">
        <f t="shared" si="209"/>
        <v>1-1.64482567696043i</v>
      </c>
      <c r="X220" s="4">
        <f t="shared" si="223"/>
        <v>1.9249549365084724</v>
      </c>
      <c r="Y220" s="4">
        <f t="shared" si="224"/>
        <v>-1.0245392039867751</v>
      </c>
      <c r="Z220" t="str">
        <f t="shared" si="210"/>
        <v>0.999977345491815+0.023027559477446i</v>
      </c>
      <c r="AA220" s="4">
        <f t="shared" si="225"/>
        <v>1.0002424506050243</v>
      </c>
      <c r="AB220" s="4">
        <f t="shared" si="226"/>
        <v>2.3024011922206745E-2</v>
      </c>
      <c r="AC220" s="47" t="str">
        <f t="shared" si="227"/>
        <v>-1.44621865471533-1.19292861073381i</v>
      </c>
      <c r="AD220" s="20">
        <f t="shared" si="228"/>
        <v>5.4587924938543972</v>
      </c>
      <c r="AE220" s="43">
        <f t="shared" si="229"/>
        <v>-140.48212563339243</v>
      </c>
      <c r="AF220" t="str">
        <f t="shared" si="211"/>
        <v>247.084651286898</v>
      </c>
      <c r="AG220" t="str">
        <f t="shared" si="212"/>
        <v>1+16.6479721438973i</v>
      </c>
      <c r="AH220">
        <f t="shared" si="230"/>
        <v>16.677978789529035</v>
      </c>
      <c r="AI220">
        <f t="shared" si="231"/>
        <v>1.5108010377716918</v>
      </c>
      <c r="AJ220" t="str">
        <f t="shared" si="213"/>
        <v>1+0.108229529543996i</v>
      </c>
      <c r="AK220">
        <f t="shared" si="232"/>
        <v>1.0058397641102259</v>
      </c>
      <c r="AL220">
        <f t="shared" si="233"/>
        <v>0.10780988800840124</v>
      </c>
      <c r="AM220" t="str">
        <f t="shared" si="214"/>
        <v>1-0.10751584274661i</v>
      </c>
      <c r="AN220">
        <f t="shared" si="234"/>
        <v>1.0057632208633966</v>
      </c>
      <c r="AO220">
        <f t="shared" si="235"/>
        <v>-0.10710441053972745</v>
      </c>
      <c r="AP220" s="41" t="str">
        <f t="shared" si="236"/>
        <v>0.909189361086016-14.9598181034276i</v>
      </c>
      <c r="AQ220">
        <f t="shared" si="237"/>
        <v>23.514538036687007</v>
      </c>
      <c r="AR220" s="43">
        <f t="shared" si="238"/>
        <v>-86.522102266806229</v>
      </c>
      <c r="AS220" t="str">
        <f t="shared" si="215"/>
        <v>-0.0000166666666666667</v>
      </c>
      <c r="AT220" t="str">
        <f t="shared" si="216"/>
        <v>0.0000223696292066618i</v>
      </c>
      <c r="AU220">
        <f t="shared" si="239"/>
        <v>2.2369629206661802E-5</v>
      </c>
      <c r="AV220">
        <f t="shared" si="240"/>
        <v>1.5707963267948966</v>
      </c>
      <c r="AW220" t="str">
        <f t="shared" si="217"/>
        <v>1+0.0227334259446248i</v>
      </c>
      <c r="AX220">
        <f t="shared" si="241"/>
        <v>1.0002583709498161</v>
      </c>
      <c r="AY220">
        <f t="shared" si="242"/>
        <v>2.2729510881459542E-2</v>
      </c>
      <c r="AZ220" t="str">
        <f t="shared" si="218"/>
        <v>1+0.772936482117244i</v>
      </c>
      <c r="BA220">
        <f t="shared" si="243"/>
        <v>1.2638950927144945</v>
      </c>
      <c r="BB220">
        <f t="shared" si="244"/>
        <v>0.65801958460752963</v>
      </c>
      <c r="BC220" s="41" t="str">
        <f t="shared" si="245"/>
        <v>-0.558655918464273+0.757757960408895i</v>
      </c>
      <c r="BD220">
        <f t="shared" si="246"/>
        <v>-0.52422405480363077</v>
      </c>
      <c r="BE220" s="43">
        <f t="shared" si="247"/>
        <v>126.39943999105873</v>
      </c>
      <c r="BF220" s="41" t="str">
        <f t="shared" si="248"/>
        <v>1.71188976183323-0.429447069410579i</v>
      </c>
      <c r="BG220" s="20">
        <f t="shared" si="249"/>
        <v>4.9345684390507847</v>
      </c>
      <c r="BH220" s="43">
        <f t="shared" si="250"/>
        <v>-14.082685642333683</v>
      </c>
      <c r="BI220" s="41" t="str">
        <f t="shared" si="203"/>
        <v>10.8279972365659+9.04633639851081i</v>
      </c>
      <c r="BJ220" s="20">
        <f t="shared" si="251"/>
        <v>22.990313981883371</v>
      </c>
      <c r="BK220" s="43">
        <f t="shared" si="204"/>
        <v>39.87733772425252</v>
      </c>
      <c r="BL220">
        <f t="shared" si="252"/>
        <v>4.9345684390507847</v>
      </c>
      <c r="BM220" s="43">
        <f t="shared" si="253"/>
        <v>-14.082685642333683</v>
      </c>
    </row>
    <row r="221" spans="14:65" x14ac:dyDescent="0.25">
      <c r="N221" s="9">
        <v>3</v>
      </c>
      <c r="O221" s="34">
        <f t="shared" si="254"/>
        <v>1071.5193052376069</v>
      </c>
      <c r="P221" s="33" t="str">
        <f t="shared" si="206"/>
        <v>16.5157725627975</v>
      </c>
      <c r="Q221" s="4" t="str">
        <f t="shared" si="207"/>
        <v>1+17.4202893841097i</v>
      </c>
      <c r="R221" s="4">
        <f t="shared" si="219"/>
        <v>17.448967941575372</v>
      </c>
      <c r="S221" s="4">
        <f t="shared" si="220"/>
        <v>1.5134549287460941</v>
      </c>
      <c r="T221" s="4" t="str">
        <f t="shared" si="208"/>
        <v>1+0.110750519140214i</v>
      </c>
      <c r="U221" s="4">
        <f t="shared" si="221"/>
        <v>1.0061141473460289</v>
      </c>
      <c r="V221" s="4">
        <f t="shared" si="222"/>
        <v>0.11030101258339639</v>
      </c>
      <c r="W221" t="str">
        <f t="shared" si="209"/>
        <v>1-1.68313858875705i</v>
      </c>
      <c r="X221" s="4">
        <f t="shared" si="223"/>
        <v>1.9577935307286809</v>
      </c>
      <c r="Y221" s="4">
        <f t="shared" si="224"/>
        <v>-1.034705556971492</v>
      </c>
      <c r="Z221" t="str">
        <f t="shared" si="210"/>
        <v>0.999976277817738+0.0235639402425987i</v>
      </c>
      <c r="AA221" s="4">
        <f t="shared" si="225"/>
        <v>1.0002538755125994</v>
      </c>
      <c r="AB221" s="4">
        <f t="shared" si="226"/>
        <v>2.3560139020660269E-2</v>
      </c>
      <c r="AC221" s="47" t="str">
        <f t="shared" si="227"/>
        <v>-1.44914980775069-1.17228627956502i</v>
      </c>
      <c r="AD221" s="20">
        <f t="shared" si="228"/>
        <v>5.408661021319209</v>
      </c>
      <c r="AE221" s="43">
        <f t="shared" si="229"/>
        <v>-141.02895538720094</v>
      </c>
      <c r="AF221" t="str">
        <f t="shared" si="211"/>
        <v>247.084651286898</v>
      </c>
      <c r="AG221" t="str">
        <f t="shared" si="212"/>
        <v>1+17.0357532305353i</v>
      </c>
      <c r="AH221">
        <f t="shared" si="230"/>
        <v>17.065078028877977</v>
      </c>
      <c r="AI221">
        <f t="shared" si="231"/>
        <v>1.5121635332261882</v>
      </c>
      <c r="AJ221" t="str">
        <f t="shared" si="213"/>
        <v>1+0.110750519140214i</v>
      </c>
      <c r="AK221">
        <f t="shared" si="232"/>
        <v>1.0061141473460289</v>
      </c>
      <c r="AL221">
        <f t="shared" si="233"/>
        <v>0.11030101258339639</v>
      </c>
      <c r="AM221" t="str">
        <f t="shared" si="214"/>
        <v>1-0.110020208441766i</v>
      </c>
      <c r="AN221">
        <f t="shared" si="234"/>
        <v>1.0060340184434966</v>
      </c>
      <c r="AO221">
        <f t="shared" si="235"/>
        <v>-0.10957949357305366</v>
      </c>
      <c r="AP221" s="41" t="str">
        <f t="shared" si="236"/>
        <v>0.869350009183192-14.6295836631513i</v>
      </c>
      <c r="AQ221">
        <f t="shared" si="237"/>
        <v>23.319948239806241</v>
      </c>
      <c r="AR221" s="43">
        <f t="shared" si="238"/>
        <v>-86.59924839332011</v>
      </c>
      <c r="AS221" t="str">
        <f t="shared" si="215"/>
        <v>-0.0000166666666666667</v>
      </c>
      <c r="AT221" t="str">
        <f t="shared" si="216"/>
        <v>0.0000228906848070959i</v>
      </c>
      <c r="AU221">
        <f t="shared" si="239"/>
        <v>2.28906848070959E-5</v>
      </c>
      <c r="AV221">
        <f t="shared" si="240"/>
        <v>1.5707963267948966</v>
      </c>
      <c r="AW221" t="str">
        <f t="shared" si="217"/>
        <v>1+0.0232629554596681i</v>
      </c>
      <c r="AX221">
        <f t="shared" si="241"/>
        <v>1.0002705459508034</v>
      </c>
      <c r="AY221">
        <f t="shared" si="242"/>
        <v>2.3258760455184123E-2</v>
      </c>
      <c r="AZ221" t="str">
        <f t="shared" si="218"/>
        <v>1+0.790940485628714i</v>
      </c>
      <c r="BA221">
        <f t="shared" si="243"/>
        <v>1.274985039836384</v>
      </c>
      <c r="BB221">
        <f t="shared" si="244"/>
        <v>0.66919238417846783</v>
      </c>
      <c r="BC221" s="41" t="str">
        <f t="shared" si="245"/>
        <v>-0.558642318953634+0.741093882822978i</v>
      </c>
      <c r="BD221">
        <f t="shared" si="246"/>
        <v>-0.64844855087744524</v>
      </c>
      <c r="BE221" s="43">
        <f t="shared" si="247"/>
        <v>127.00927048493554</v>
      </c>
      <c r="BF221" s="41" t="str">
        <f t="shared" si="248"/>
        <v>1.678330599816-0.4190673321244i</v>
      </c>
      <c r="BG221" s="20">
        <f t="shared" si="249"/>
        <v>4.7602124704417523</v>
      </c>
      <c r="BH221" s="43">
        <f t="shared" si="250"/>
        <v>-14.019684902265393</v>
      </c>
      <c r="BI221" s="41" t="str">
        <f t="shared" si="203"/>
        <v>10.3562392558959+8.81697451674681i</v>
      </c>
      <c r="BJ221" s="20">
        <f t="shared" si="251"/>
        <v>22.671499688928776</v>
      </c>
      <c r="BK221" s="43">
        <f t="shared" si="204"/>
        <v>40.410022091615566</v>
      </c>
      <c r="BL221">
        <f t="shared" si="252"/>
        <v>4.7602124704417523</v>
      </c>
      <c r="BM221" s="43">
        <f t="shared" si="253"/>
        <v>-14.019684902265393</v>
      </c>
    </row>
    <row r="222" spans="14:65" x14ac:dyDescent="0.25">
      <c r="N222" s="9">
        <v>4</v>
      </c>
      <c r="O222" s="34">
        <f t="shared" si="254"/>
        <v>1096.4781961431863</v>
      </c>
      <c r="P222" s="33" t="str">
        <f t="shared" si="206"/>
        <v>16.5157725627975</v>
      </c>
      <c r="Q222" s="4" t="str">
        <f t="shared" si="207"/>
        <v>1+17.8260600502623i</v>
      </c>
      <c r="R222" s="4">
        <f t="shared" si="219"/>
        <v>17.854086840708419</v>
      </c>
      <c r="S222" s="4">
        <f t="shared" si="220"/>
        <v>1.5147574157036838</v>
      </c>
      <c r="T222" s="4" t="str">
        <f t="shared" si="208"/>
        <v>1+0.113330230127637i</v>
      </c>
      <c r="U222" s="4">
        <f t="shared" si="221"/>
        <v>1.0064013816866426</v>
      </c>
      <c r="V222" s="4">
        <f t="shared" si="222"/>
        <v>0.11284874048360201</v>
      </c>
      <c r="W222" t="str">
        <f t="shared" si="209"/>
        <v>1-1.72234392291241i</v>
      </c>
      <c r="X222" s="4">
        <f t="shared" si="223"/>
        <v>1.9915995051197692</v>
      </c>
      <c r="Y222" s="4">
        <f t="shared" si="224"/>
        <v>-1.0447605917980469</v>
      </c>
      <c r="Z222" t="str">
        <f t="shared" si="210"/>
        <v>0.999975159825731+0.0241128149207737i</v>
      </c>
      <c r="AA222" s="4">
        <f t="shared" si="225"/>
        <v>1.0002658387208372</v>
      </c>
      <c r="AB222" s="4">
        <f t="shared" si="226"/>
        <v>2.4108741896411445E-2</v>
      </c>
      <c r="AC222" s="47" t="str">
        <f t="shared" si="227"/>
        <v>-1.45196377367567-1.15225086544469i</v>
      </c>
      <c r="AD222" s="20">
        <f t="shared" si="228"/>
        <v>5.3603809577291495</v>
      </c>
      <c r="AE222" s="43">
        <f t="shared" si="229"/>
        <v>-141.56515202453997</v>
      </c>
      <c r="AF222" t="str">
        <f t="shared" si="211"/>
        <v>247.084651286898</v>
      </c>
      <c r="AG222" t="str">
        <f t="shared" si="212"/>
        <v>1+17.432566899031i</v>
      </c>
      <c r="AH222">
        <f t="shared" si="230"/>
        <v>17.46122529174832</v>
      </c>
      <c r="AI222">
        <f t="shared" si="231"/>
        <v>1.5134952251239475</v>
      </c>
      <c r="AJ222" t="str">
        <f t="shared" si="213"/>
        <v>1+0.113330230127637i</v>
      </c>
      <c r="AK222">
        <f t="shared" si="232"/>
        <v>1.0064013816866426</v>
      </c>
      <c r="AL222">
        <f t="shared" si="233"/>
        <v>0.11284874048360201</v>
      </c>
      <c r="AM222" t="str">
        <f t="shared" si="214"/>
        <v>1-0.112582908307727i</v>
      </c>
      <c r="AN222">
        <f t="shared" si="234"/>
        <v>1.006317500217017</v>
      </c>
      <c r="AO222">
        <f t="shared" si="235"/>
        <v>-0.11211083378550644</v>
      </c>
      <c r="AP222" s="41" t="str">
        <f t="shared" si="236"/>
        <v>0.83129168443993-14.3068961503357i</v>
      </c>
      <c r="AQ222">
        <f t="shared" si="237"/>
        <v>23.125546040187331</v>
      </c>
      <c r="AR222" s="43">
        <f t="shared" si="238"/>
        <v>-86.67460977332928</v>
      </c>
      <c r="AS222" t="str">
        <f t="shared" si="215"/>
        <v>-0.0000166666666666667</v>
      </c>
      <c r="AT222" t="str">
        <f t="shared" si="216"/>
        <v>0.0000234238773516088i</v>
      </c>
      <c r="AU222">
        <f t="shared" si="239"/>
        <v>2.3423877351608799E-5</v>
      </c>
      <c r="AV222">
        <f t="shared" si="240"/>
        <v>1.5707963267948966</v>
      </c>
      <c r="AW222" t="str">
        <f t="shared" si="217"/>
        <v>1+0.0238048193016176i</v>
      </c>
      <c r="AX222">
        <f t="shared" si="241"/>
        <v>1.0002832945830809</v>
      </c>
      <c r="AY222">
        <f t="shared" si="242"/>
        <v>2.3800324342080976E-2</v>
      </c>
      <c r="AZ222" t="str">
        <f t="shared" si="218"/>
        <v>1+0.809363856255i</v>
      </c>
      <c r="BA222">
        <f t="shared" si="243"/>
        <v>1.2864951814180901</v>
      </c>
      <c r="BB222">
        <f t="shared" si="244"/>
        <v>0.6804245878047338</v>
      </c>
      <c r="BC222" s="41" t="str">
        <f t="shared" si="245"/>
        <v>-0.558628079227443+0.72482271321263i</v>
      </c>
      <c r="BD222">
        <f t="shared" si="246"/>
        <v>-0.77049775479051996</v>
      </c>
      <c r="BE222" s="43">
        <f t="shared" si="247"/>
        <v>127.62179902229629</v>
      </c>
      <c r="BF222" s="41" t="str">
        <f t="shared" si="248"/>
        <v>1.64628533258949-0.408736634170522i</v>
      </c>
      <c r="BG222" s="20">
        <f t="shared" si="249"/>
        <v>4.5898832029386254</v>
      </c>
      <c r="BH222" s="43">
        <f t="shared" si="250"/>
        <v>-13.943353002243686</v>
      </c>
      <c r="BI222" s="41" t="str">
        <f t="shared" si="203"/>
        <v>9.90558040838123+8.59477301035538i</v>
      </c>
      <c r="BJ222" s="20">
        <f t="shared" si="251"/>
        <v>22.355048285396816</v>
      </c>
      <c r="BK222" s="43">
        <f t="shared" si="204"/>
        <v>40.947189248967014</v>
      </c>
      <c r="BL222">
        <f t="shared" si="252"/>
        <v>4.5898832029386254</v>
      </c>
      <c r="BM222" s="43">
        <f t="shared" si="253"/>
        <v>-13.943353002243686</v>
      </c>
    </row>
    <row r="223" spans="14:65" x14ac:dyDescent="0.25">
      <c r="N223" s="9">
        <v>5</v>
      </c>
      <c r="O223" s="34">
        <f t="shared" si="254"/>
        <v>1122.0184543019636</v>
      </c>
      <c r="P223" s="33" t="str">
        <f t="shared" si="206"/>
        <v>16.5157725627975</v>
      </c>
      <c r="Q223" s="4" t="str">
        <f t="shared" si="207"/>
        <v>1+18.2412823294093i</v>
      </c>
      <c r="R223" s="4">
        <f t="shared" si="219"/>
        <v>18.268672119812649</v>
      </c>
      <c r="S223" s="4">
        <f t="shared" si="220"/>
        <v>1.5160304383839656</v>
      </c>
      <c r="T223" s="4" t="str">
        <f t="shared" si="208"/>
        <v>1+0.115970030303176i</v>
      </c>
      <c r="U223" s="4">
        <f t="shared" si="221"/>
        <v>1.0067020651257848</v>
      </c>
      <c r="V223" s="4">
        <f t="shared" si="222"/>
        <v>0.11545429017963364</v>
      </c>
      <c r="W223" t="str">
        <f t="shared" si="209"/>
        <v>1-1.76246246661361i</v>
      </c>
      <c r="X223" s="4">
        <f t="shared" si="223"/>
        <v>2.0263943215035249</v>
      </c>
      <c r="Y223" s="4">
        <f t="shared" si="224"/>
        <v>-1.0547015064075798</v>
      </c>
      <c r="Z223" t="str">
        <f t="shared" si="210"/>
        <v>0.999973989144384+0.0246744745325906i</v>
      </c>
      <c r="AA223" s="4">
        <f t="shared" si="225"/>
        <v>1.0002783655856964</v>
      </c>
      <c r="AB223" s="4">
        <f t="shared" si="226"/>
        <v>2.4670110273798843E-2</v>
      </c>
      <c r="AC223" s="47" t="str">
        <f t="shared" si="227"/>
        <v>-1.45466641200194-1.13281267240087i</v>
      </c>
      <c r="AD223" s="20">
        <f t="shared" si="228"/>
        <v>5.3139191160131363</v>
      </c>
      <c r="AE223" s="43">
        <f t="shared" si="229"/>
        <v>-142.09054034085304</v>
      </c>
      <c r="AF223" t="str">
        <f t="shared" si="211"/>
        <v>247.084651286898</v>
      </c>
      <c r="AG223" t="str">
        <f t="shared" si="212"/>
        <v>1+17.8386235452438i</v>
      </c>
      <c r="AH223">
        <f t="shared" si="230"/>
        <v>17.866630627763211</v>
      </c>
      <c r="AI223">
        <f t="shared" si="231"/>
        <v>1.5147968006419397</v>
      </c>
      <c r="AJ223" t="str">
        <f t="shared" si="213"/>
        <v>1+0.115970030303176i</v>
      </c>
      <c r="AK223">
        <f t="shared" si="232"/>
        <v>1.0067020651257848</v>
      </c>
      <c r="AL223">
        <f t="shared" si="233"/>
        <v>0.11545429017963364</v>
      </c>
      <c r="AM223" t="str">
        <f t="shared" si="214"/>
        <v>1-0.115205301121883i</v>
      </c>
      <c r="AN223">
        <f t="shared" si="234"/>
        <v>1.0066142565087104</v>
      </c>
      <c r="AO223">
        <f t="shared" si="235"/>
        <v>-0.11469964349657522</v>
      </c>
      <c r="AP223" s="41" t="str">
        <f t="shared" si="236"/>
        <v>0.794935281639064-13.9915983889029i</v>
      </c>
      <c r="AQ223">
        <f t="shared" si="237"/>
        <v>22.931342913914932</v>
      </c>
      <c r="AR223" s="43">
        <f t="shared" si="238"/>
        <v>-86.748225426740291</v>
      </c>
      <c r="AS223" t="str">
        <f t="shared" si="215"/>
        <v>-0.0000166666666666667</v>
      </c>
      <c r="AT223" t="str">
        <f t="shared" si="216"/>
        <v>0.0000239694895459451i</v>
      </c>
      <c r="AU223">
        <f t="shared" si="239"/>
        <v>2.3969489545945099E-5</v>
      </c>
      <c r="AV223">
        <f t="shared" si="240"/>
        <v>1.5707963267948966</v>
      </c>
      <c r="AW223" t="str">
        <f t="shared" si="217"/>
        <v>1+0.024359304773855i</v>
      </c>
      <c r="AX223">
        <f t="shared" si="241"/>
        <v>1.0002966438657412</v>
      </c>
      <c r="AY223">
        <f t="shared" si="242"/>
        <v>2.4354488415075086E-2</v>
      </c>
      <c r="AZ223" t="str">
        <f t="shared" si="218"/>
        <v>1+0.828216362311069i</v>
      </c>
      <c r="BA223">
        <f t="shared" si="243"/>
        <v>1.2984384247240144</v>
      </c>
      <c r="BB223">
        <f t="shared" si="244"/>
        <v>0.69171081493521058</v>
      </c>
      <c r="BC223" s="41" t="str">
        <f t="shared" si="245"/>
        <v>-0.558613169181674+0.708935822258762i</v>
      </c>
      <c r="BD223">
        <f t="shared" si="246"/>
        <v>-0.89034976752893669</v>
      </c>
      <c r="BE223" s="43">
        <f t="shared" si="247"/>
        <v>128.2367009409582</v>
      </c>
      <c r="BF223" s="41" t="str">
        <f t="shared" si="248"/>
        <v>1.61568729788419-0.398461051885787i</v>
      </c>
      <c r="BG223" s="20">
        <f t="shared" si="249"/>
        <v>4.4235693484841763</v>
      </c>
      <c r="BH223" s="43">
        <f t="shared" si="250"/>
        <v>-13.853839399894873</v>
      </c>
      <c r="BI223" s="41" t="str">
        <f t="shared" si="203"/>
        <v>9.47508399158052+8.37944921547354i</v>
      </c>
      <c r="BJ223" s="20">
        <f t="shared" si="251"/>
        <v>22.040993146385993</v>
      </c>
      <c r="BK223" s="43">
        <f t="shared" si="204"/>
        <v>41.488475514217932</v>
      </c>
      <c r="BL223">
        <f t="shared" si="252"/>
        <v>4.4235693484841763</v>
      </c>
      <c r="BM223" s="43">
        <f t="shared" si="253"/>
        <v>-13.853839399894873</v>
      </c>
    </row>
    <row r="224" spans="14:65" x14ac:dyDescent="0.25">
      <c r="N224" s="9">
        <v>6</v>
      </c>
      <c r="O224" s="34">
        <f t="shared" si="254"/>
        <v>1148.1536214968839</v>
      </c>
      <c r="P224" s="33" t="str">
        <f t="shared" si="206"/>
        <v>16.5157725627975</v>
      </c>
      <c r="Q224" s="4" t="str">
        <f t="shared" si="207"/>
        <v>1+18.6661763778993i</v>
      </c>
      <c r="R224" s="4">
        <f t="shared" si="219"/>
        <v>18.692943603692971</v>
      </c>
      <c r="S224" s="4">
        <f t="shared" si="220"/>
        <v>1.5172746552467178</v>
      </c>
      <c r="T224" s="4" t="str">
        <f t="shared" si="208"/>
        <v>1+0.118671319323826i</v>
      </c>
      <c r="U224" s="4">
        <f t="shared" si="221"/>
        <v>1.007016823111738</v>
      </c>
      <c r="V224" s="4">
        <f t="shared" si="222"/>
        <v>0.11811890158163257</v>
      </c>
      <c r="W224" t="str">
        <f t="shared" si="209"/>
        <v>1-1.80351549124356i</v>
      </c>
      <c r="X224" s="4">
        <f t="shared" si="223"/>
        <v>2.0621998271640654</v>
      </c>
      <c r="Y224" s="4">
        <f t="shared" si="224"/>
        <v>-1.0645257119429399</v>
      </c>
      <c r="Z224" t="str">
        <f t="shared" si="210"/>
        <v>0.999972763290526+0.0252492168774099i</v>
      </c>
      <c r="AA224" s="4">
        <f t="shared" si="225"/>
        <v>1.0002914826568368</v>
      </c>
      <c r="AB224" s="4">
        <f t="shared" si="226"/>
        <v>2.5244540563287135E-2</v>
      </c>
      <c r="AC224" s="47" t="str">
        <f t="shared" si="227"/>
        <v>-1.45726335546614-1.11396225670508i</v>
      </c>
      <c r="AD224" s="20">
        <f t="shared" si="228"/>
        <v>5.2692419809028177</v>
      </c>
      <c r="AE224" s="43">
        <f t="shared" si="229"/>
        <v>-142.60495567396822</v>
      </c>
      <c r="AF224" t="str">
        <f t="shared" si="211"/>
        <v>247.084651286898</v>
      </c>
      <c r="AG224" t="str">
        <f t="shared" si="212"/>
        <v>1+18.2541384657825i</v>
      </c>
      <c r="AH224">
        <f t="shared" si="230"/>
        <v>18.28150899482754</v>
      </c>
      <c r="AI224">
        <f t="shared" si="231"/>
        <v>1.5160689322427681</v>
      </c>
      <c r="AJ224" t="str">
        <f t="shared" si="213"/>
        <v>1+0.118671319323826i</v>
      </c>
      <c r="AK224">
        <f t="shared" si="232"/>
        <v>1.007016823111738</v>
      </c>
      <c r="AL224">
        <f t="shared" si="233"/>
        <v>0.11811890158163257</v>
      </c>
      <c r="AM224" t="str">
        <f t="shared" si="214"/>
        <v>1-0.117888777311617i</v>
      </c>
      <c r="AN224">
        <f t="shared" si="234"/>
        <v>1.0069249047550806</v>
      </c>
      <c r="AO224">
        <f t="shared" si="235"/>
        <v>-0.11734715645206122</v>
      </c>
      <c r="AP224" s="41" t="str">
        <f t="shared" si="236"/>
        <v>0.760205163780514-13.6835362018484i</v>
      </c>
      <c r="AQ224">
        <f t="shared" si="237"/>
        <v>22.737350724260899</v>
      </c>
      <c r="AR224" s="43">
        <f t="shared" si="238"/>
        <v>-86.820133529631576</v>
      </c>
      <c r="AS224" t="str">
        <f t="shared" si="215"/>
        <v>-0.0000166666666666667</v>
      </c>
      <c r="AT224" t="str">
        <f t="shared" si="216"/>
        <v>0.0000245278106809125i</v>
      </c>
      <c r="AU224">
        <f t="shared" si="239"/>
        <v>2.45278106809125E-5</v>
      </c>
      <c r="AV224">
        <f t="shared" si="240"/>
        <v>1.5707963267948966</v>
      </c>
      <c r="AW224" t="str">
        <f t="shared" si="217"/>
        <v>1+0.0249267058719169i</v>
      </c>
      <c r="AX224">
        <f t="shared" si="241"/>
        <v>1.0003106220897713</v>
      </c>
      <c r="AY224">
        <f t="shared" si="242"/>
        <v>2.492154513705222E-2</v>
      </c>
      <c r="AZ224" t="str">
        <f t="shared" si="218"/>
        <v>1+0.847507999645175i</v>
      </c>
      <c r="BA224">
        <f t="shared" si="243"/>
        <v>1.3108279099342393</v>
      </c>
      <c r="BB224">
        <f t="shared" si="244"/>
        <v>0.70304554937629637</v>
      </c>
      <c r="BC224" s="41" t="str">
        <f t="shared" si="245"/>
        <v>-0.558597557300131+0.69342478423989i</v>
      </c>
      <c r="BD224">
        <f t="shared" si="246"/>
        <v>-1.0079847312018886</v>
      </c>
      <c r="BE224" s="43">
        <f t="shared" si="247"/>
        <v>128.8536434294202</v>
      </c>
      <c r="BF224" s="41" t="str">
        <f t="shared" si="248"/>
        <v>1.58647278821348-0.388245932324807i</v>
      </c>
      <c r="BG224" s="20">
        <f t="shared" si="249"/>
        <v>4.2612572497009307</v>
      </c>
      <c r="BH224" s="43">
        <f t="shared" si="250"/>
        <v>-13.751312244548018</v>
      </c>
      <c r="BI224" s="41" t="str">
        <f t="shared" si="203"/>
        <v>9.06385439087071+8.17073499925298i</v>
      </c>
      <c r="BJ224" s="20">
        <f t="shared" si="251"/>
        <v>21.729365993059009</v>
      </c>
      <c r="BK224" s="43">
        <f t="shared" si="204"/>
        <v>42.033509899788633</v>
      </c>
      <c r="BL224">
        <f t="shared" si="252"/>
        <v>4.2612572497009307</v>
      </c>
      <c r="BM224" s="43">
        <f t="shared" si="253"/>
        <v>-13.751312244548018</v>
      </c>
    </row>
    <row r="225" spans="14:65" x14ac:dyDescent="0.25">
      <c r="N225" s="9">
        <v>7</v>
      </c>
      <c r="O225" s="34">
        <f t="shared" si="254"/>
        <v>1174.8975549395295</v>
      </c>
      <c r="P225" s="33" t="str">
        <f t="shared" si="206"/>
        <v>16.5157725627975</v>
      </c>
      <c r="Q225" s="4" t="str">
        <f t="shared" si="207"/>
        <v>1+19.1009674801809i</v>
      </c>
      <c r="R225" s="4">
        <f t="shared" si="219"/>
        <v>19.127126252496168</v>
      </c>
      <c r="S225" s="4">
        <f t="shared" si="220"/>
        <v>1.5184907105743226</v>
      </c>
      <c r="T225" s="4" t="str">
        <f t="shared" si="208"/>
        <v>1+0.121435529448783i</v>
      </c>
      <c r="U225" s="4">
        <f t="shared" si="221"/>
        <v>1.0073463097726154</v>
      </c>
      <c r="V225" s="4">
        <f t="shared" si="222"/>
        <v>0.12084383606705225</v>
      </c>
      <c r="W225" t="str">
        <f t="shared" si="209"/>
        <v>1-1.84552476365932i</v>
      </c>
      <c r="X225" s="4">
        <f t="shared" si="223"/>
        <v>2.0990382686553835</v>
      </c>
      <c r="Y225" s="4">
        <f t="shared" si="224"/>
        <v>-1.0742308311653128</v>
      </c>
      <c r="Z225" t="str">
        <f t="shared" si="210"/>
        <v>0.999971479663954+0.0258373466912304i</v>
      </c>
      <c r="AA225" s="4">
        <f t="shared" si="225"/>
        <v>1.0003052177337477</v>
      </c>
      <c r="AB225" s="4">
        <f t="shared" si="226"/>
        <v>2.5832336012752331E-2</v>
      </c>
      <c r="AC225" s="47" t="str">
        <f t="shared" si="227"/>
        <v>-1.45976002114227-1.09569042586833i</v>
      </c>
      <c r="AD225" s="20">
        <f t="shared" si="228"/>
        <v>5.2263158250813158</v>
      </c>
      <c r="AE225" s="43">
        <f t="shared" si="229"/>
        <v>-143.10824383601454</v>
      </c>
      <c r="AF225" t="str">
        <f t="shared" si="211"/>
        <v>247.084651286898</v>
      </c>
      <c r="AG225" t="str">
        <f t="shared" si="212"/>
        <v>1+18.6793319721578i</v>
      </c>
      <c r="AH225">
        <f t="shared" si="230"/>
        <v>18.706080373132064</v>
      </c>
      <c r="AI225">
        <f t="shared" si="231"/>
        <v>1.517312277948401</v>
      </c>
      <c r="AJ225" t="str">
        <f t="shared" si="213"/>
        <v>1+0.121435529448783i</v>
      </c>
      <c r="AK225">
        <f t="shared" si="232"/>
        <v>1.0073463097726154</v>
      </c>
      <c r="AL225">
        <f t="shared" si="233"/>
        <v>0.12084383606705225</v>
      </c>
      <c r="AM225" t="str">
        <f t="shared" si="214"/>
        <v>1-0.120634759691524i</v>
      </c>
      <c r="AN225">
        <f t="shared" si="234"/>
        <v>1.0072500907152264</v>
      </c>
      <c r="AO225">
        <f t="shared" si="235"/>
        <v>-0.12005462786006785</v>
      </c>
      <c r="AP225" s="41" t="str">
        <f t="shared" si="236"/>
        <v>0.727029014006018-13.3825583897755i</v>
      </c>
      <c r="AQ225">
        <f t="shared" si="237"/>
        <v>22.543581743327636</v>
      </c>
      <c r="AR225" s="43">
        <f t="shared" si="238"/>
        <v>-86.890371430406958</v>
      </c>
      <c r="AS225" t="str">
        <f t="shared" si="215"/>
        <v>-0.0000166666666666667</v>
      </c>
      <c r="AT225" t="str">
        <f t="shared" si="216"/>
        <v>0.0000250991367857667i</v>
      </c>
      <c r="AU225">
        <f t="shared" si="239"/>
        <v>2.5099136785766699E-5</v>
      </c>
      <c r="AV225">
        <f t="shared" si="240"/>
        <v>1.5707963267948966</v>
      </c>
      <c r="AW225" t="str">
        <f t="shared" si="217"/>
        <v>1+0.0255073234393761i</v>
      </c>
      <c r="AX225">
        <f t="shared" si="241"/>
        <v>1.0003252588778517</v>
      </c>
      <c r="AY225">
        <f t="shared" si="242"/>
        <v>2.5501793709444928E-2</v>
      </c>
      <c r="AZ225" t="str">
        <f t="shared" si="218"/>
        <v>1+0.867248996938786i</v>
      </c>
      <c r="BA225">
        <f t="shared" si="243"/>
        <v>1.3236770084470495</v>
      </c>
      <c r="BB225">
        <f t="shared" si="244"/>
        <v>0.71442315179712423</v>
      </c>
      <c r="BC225" s="41" t="str">
        <f t="shared" si="245"/>
        <v>-0.558581210588541+0.67828137255391i</v>
      </c>
      <c r="BD225">
        <f t="shared" si="246"/>
        <v>-1.123384909746034</v>
      </c>
      <c r="BE225" s="43">
        <f t="shared" si="247"/>
        <v>129.47228623484489</v>
      </c>
      <c r="BF225" s="41" t="str">
        <f t="shared" si="248"/>
        <v>1.55858092573055-0.378095946227898i</v>
      </c>
      <c r="BG225" s="20">
        <f t="shared" si="249"/>
        <v>4.1029309153352687</v>
      </c>
      <c r="BH225" s="43">
        <f t="shared" si="250"/>
        <v>-13.635957601169661</v>
      </c>
      <c r="BI225" s="41" t="str">
        <f t="shared" si="203"/>
        <v>8.6710353261233+7.96837590363915i</v>
      </c>
      <c r="BJ225" s="20">
        <f t="shared" si="251"/>
        <v>21.420196833581603</v>
      </c>
      <c r="BK225" s="43">
        <f t="shared" si="204"/>
        <v>42.581914804437936</v>
      </c>
      <c r="BL225">
        <f t="shared" si="252"/>
        <v>4.1029309153352687</v>
      </c>
      <c r="BM225" s="43">
        <f t="shared" si="253"/>
        <v>-13.635957601169661</v>
      </c>
    </row>
    <row r="226" spans="14:65" x14ac:dyDescent="0.25">
      <c r="N226" s="9">
        <v>8</v>
      </c>
      <c r="O226" s="34">
        <f t="shared" si="254"/>
        <v>1202.2644346174138</v>
      </c>
      <c r="P226" s="33" t="str">
        <f t="shared" si="206"/>
        <v>16.5157725627975</v>
      </c>
      <c r="Q226" s="4" t="str">
        <f t="shared" si="207"/>
        <v>1+19.5458861682517i</v>
      </c>
      <c r="R226" s="4">
        <f t="shared" si="219"/>
        <v>19.571450281015281</v>
      </c>
      <c r="S226" s="4">
        <f t="shared" si="220"/>
        <v>1.5196792347409238</v>
      </c>
      <c r="T226" s="4" t="str">
        <f t="shared" si="208"/>
        <v>1+0.124264126298843i</v>
      </c>
      <c r="U226" s="4">
        <f t="shared" si="221"/>
        <v>1.0076912091929822</v>
      </c>
      <c r="V226" s="4">
        <f t="shared" si="222"/>
        <v>0.1236303764782971</v>
      </c>
      <c r="W226" t="str">
        <f t="shared" si="209"/>
        <v>1-1.88851255773318i</v>
      </c>
      <c r="X226" s="4">
        <f t="shared" si="223"/>
        <v>2.1369323060677234</v>
      </c>
      <c r="Y226" s="4">
        <f t="shared" si="224"/>
        <v>-1.0838146961513078</v>
      </c>
      <c r="Z226" t="str">
        <f t="shared" si="210"/>
        <v>0.999970135541927+0.0264391758082645i</v>
      </c>
      <c r="AA226" s="4">
        <f t="shared" si="225"/>
        <v>1.0003195999245242</v>
      </c>
      <c r="AB226" s="4">
        <f t="shared" si="226"/>
        <v>2.6433806861973098E-2</v>
      </c>
      <c r="AC226" s="47" t="str">
        <f t="shared" si="227"/>
        <v>-1.46216162116748-1.07798823749451i</v>
      </c>
      <c r="AD226" s="20">
        <f t="shared" si="228"/>
        <v>5.1851068220849914</v>
      </c>
      <c r="AE226" s="43">
        <f t="shared" si="229"/>
        <v>-143.60026100588431</v>
      </c>
      <c r="AF226" t="str">
        <f t="shared" si="211"/>
        <v>247.084651286898</v>
      </c>
      <c r="AG226" t="str">
        <f t="shared" si="212"/>
        <v>1+19.1144295075949i</v>
      </c>
      <c r="AH226">
        <f t="shared" si="230"/>
        <v>19.140569881819474</v>
      </c>
      <c r="AI226">
        <f t="shared" si="231"/>
        <v>1.518527481611684</v>
      </c>
      <c r="AJ226" t="str">
        <f t="shared" si="213"/>
        <v>1+0.124264126298843i</v>
      </c>
      <c r="AK226">
        <f t="shared" si="232"/>
        <v>1.0076912091929822</v>
      </c>
      <c r="AL226">
        <f t="shared" si="233"/>
        <v>0.1236303764782971</v>
      </c>
      <c r="AM226" t="str">
        <f t="shared" si="214"/>
        <v>1-0.12344470421781i</v>
      </c>
      <c r="AN226">
        <f t="shared" si="234"/>
        <v>1.0075904897325216</v>
      </c>
      <c r="AO226">
        <f t="shared" si="235"/>
        <v>-0.122823334397564</v>
      </c>
      <c r="AP226" s="41" t="str">
        <f t="shared" si="236"/>
        <v>0.695337693493205-13.0885167071007i</v>
      </c>
      <c r="AQ226">
        <f t="shared" si="237"/>
        <v>22.350048674253653</v>
      </c>
      <c r="AR226" s="43">
        <f t="shared" si="238"/>
        <v>-86.958975665863775</v>
      </c>
      <c r="AS226" t="str">
        <f t="shared" si="215"/>
        <v>-0.0000166666666666667</v>
      </c>
      <c r="AT226" t="str">
        <f t="shared" si="216"/>
        <v>0.0000256837707851712i</v>
      </c>
      <c r="AU226">
        <f t="shared" si="239"/>
        <v>2.5683770785171201E-5</v>
      </c>
      <c r="AV226">
        <f t="shared" si="240"/>
        <v>1.5707963267948966</v>
      </c>
      <c r="AW226" t="str">
        <f t="shared" si="217"/>
        <v>1+0.0261014653273522i</v>
      </c>
      <c r="AX226">
        <f t="shared" si="241"/>
        <v>1.0003405852469622</v>
      </c>
      <c r="AY226">
        <f t="shared" si="242"/>
        <v>2.6095540223927755E-2</v>
      </c>
      <c r="AZ226" t="str">
        <f t="shared" si="218"/>
        <v>1+0.887449821129975i</v>
      </c>
      <c r="BA226">
        <f t="shared" si="243"/>
        <v>1.3369993212502482</v>
      </c>
      <c r="BB226">
        <f t="shared" si="244"/>
        <v>0.72583787298144553</v>
      </c>
      <c r="BC226" s="41" t="str">
        <f t="shared" si="245"/>
        <v>-0.558564094505568+0.663497555344596i</v>
      </c>
      <c r="BD226">
        <f t="shared" si="246"/>
        <v>-1.2365347621821219</v>
      </c>
      <c r="BE226" s="43">
        <f t="shared" si="247"/>
        <v>130.09228241364463</v>
      </c>
      <c r="BF226" s="41" t="str">
        <f t="shared" si="248"/>
        <v>1.53195354221604-0.36801513739954i</v>
      </c>
      <c r="BG226" s="20">
        <f t="shared" si="249"/>
        <v>3.9485720599028507</v>
      </c>
      <c r="BH226" s="43">
        <f t="shared" si="250"/>
        <v>-13.507978592239727</v>
      </c>
      <c r="BI226" s="41" t="str">
        <f t="shared" si="203"/>
        <v>8.29580816910659+7.77213034269439i</v>
      </c>
      <c r="BJ226" s="20">
        <f t="shared" si="251"/>
        <v>21.113513912071529</v>
      </c>
      <c r="BK226" s="43">
        <f t="shared" si="204"/>
        <v>43.133306747780857</v>
      </c>
      <c r="BL226">
        <f t="shared" si="252"/>
        <v>3.9485720599028507</v>
      </c>
      <c r="BM226" s="43">
        <f t="shared" si="253"/>
        <v>-13.507978592239727</v>
      </c>
    </row>
    <row r="227" spans="14:65" x14ac:dyDescent="0.25">
      <c r="N227" s="9">
        <v>9</v>
      </c>
      <c r="O227" s="34">
        <f t="shared" si="254"/>
        <v>1230.2687708123824</v>
      </c>
      <c r="P227" s="33" t="str">
        <f t="shared" si="206"/>
        <v>16.5157725627975</v>
      </c>
      <c r="Q227" s="4" t="str">
        <f t="shared" si="207"/>
        <v>1+20.0011683438893i</v>
      </c>
      <c r="R227" s="4">
        <f t="shared" si="219"/>
        <v>20.026151280777828</v>
      </c>
      <c r="S227" s="4">
        <f t="shared" si="220"/>
        <v>1.5208408444789692</v>
      </c>
      <c r="T227" s="4" t="str">
        <f t="shared" si="208"/>
        <v>1+0.127158609633497i</v>
      </c>
      <c r="U227" s="4">
        <f t="shared" si="221"/>
        <v>1.0080522367436739</v>
      </c>
      <c r="V227" s="4">
        <f t="shared" si="222"/>
        <v>0.12647982708766173</v>
      </c>
      <c r="W227" t="str">
        <f t="shared" si="209"/>
        <v>1-1.93250166616256i</v>
      </c>
      <c r="X227" s="4">
        <f t="shared" si="223"/>
        <v>2.1759050277346828</v>
      </c>
      <c r="Y227" s="4">
        <f t="shared" si="224"/>
        <v>-1.0932753453228166</v>
      </c>
      <c r="Z227" t="str">
        <f t="shared" si="210"/>
        <v>0.999968728073379+0.0270550233262759i</v>
      </c>
      <c r="AA227" s="4">
        <f t="shared" si="225"/>
        <v>1.0003346597073783</v>
      </c>
      <c r="AB227" s="4">
        <f t="shared" si="226"/>
        <v>2.7049270500379943E-2</v>
      </c>
      <c r="AC227" s="47" t="str">
        <f t="shared" si="227"/>
        <v>-1.46447317309758-1.06084699800706i</v>
      </c>
      <c r="AD227" s="20">
        <f t="shared" si="228"/>
        <v>5.1455811556042335</v>
      </c>
      <c r="AE227" s="43">
        <f t="shared" si="229"/>
        <v>-144.08087358537409</v>
      </c>
      <c r="AF227" t="str">
        <f t="shared" si="211"/>
        <v>247.084651286898</v>
      </c>
      <c r="AG227" t="str">
        <f t="shared" si="212"/>
        <v>1+19.5596617665663i</v>
      </c>
      <c r="AH227">
        <f t="shared" si="230"/>
        <v>19.585207898372577</v>
      </c>
      <c r="AI227">
        <f t="shared" si="231"/>
        <v>1.5197151731854199</v>
      </c>
      <c r="AJ227" t="str">
        <f t="shared" si="213"/>
        <v>1+0.127158609633497i</v>
      </c>
      <c r="AK227">
        <f t="shared" si="232"/>
        <v>1.0080522367436739</v>
      </c>
      <c r="AL227">
        <f t="shared" si="233"/>
        <v>0.12647982708766173</v>
      </c>
      <c r="AM227" t="str">
        <f t="shared" si="214"/>
        <v>1-0.126320100760255i</v>
      </c>
      <c r="AN227">
        <f t="shared" si="234"/>
        <v>1.0079468080489571</v>
      </c>
      <c r="AO227">
        <f t="shared" si="235"/>
        <v>-0.12565457418498463</v>
      </c>
      <c r="AP227" s="41" t="str">
        <f t="shared" si="236"/>
        <v>0.66506510511058-12.8012658361628i</v>
      </c>
      <c r="AQ227">
        <f t="shared" si="237"/>
        <v>22.15676467399706</v>
      </c>
      <c r="AR227" s="43">
        <f t="shared" si="238"/>
        <v>-87.025981977163212</v>
      </c>
      <c r="AS227" t="str">
        <f t="shared" si="215"/>
        <v>-0.0000166666666666667</v>
      </c>
      <c r="AT227" t="str">
        <f t="shared" si="216"/>
        <v>0.0000262820226598109i</v>
      </c>
      <c r="AU227">
        <f t="shared" si="239"/>
        <v>2.62820226598109E-5</v>
      </c>
      <c r="AV227">
        <f t="shared" si="240"/>
        <v>1.5707963267948966</v>
      </c>
      <c r="AW227" t="str">
        <f t="shared" si="217"/>
        <v>1+0.0267094465577386i</v>
      </c>
      <c r="AX227">
        <f t="shared" si="241"/>
        <v>1.0003566336739216</v>
      </c>
      <c r="AY227">
        <f t="shared" si="242"/>
        <v>2.6703097817271707E-2</v>
      </c>
      <c r="AZ227" t="str">
        <f t="shared" si="218"/>
        <v>1+0.908121182963111i</v>
      </c>
      <c r="BA227">
        <f t="shared" si="243"/>
        <v>1.3508086774026586</v>
      </c>
      <c r="BB227">
        <f t="shared" si="244"/>
        <v>0.73728386775553223</v>
      </c>
      <c r="BC227" s="41" t="str">
        <f t="shared" si="245"/>
        <v>-0.558546172890679+0.649065491230603i</v>
      </c>
      <c r="BD227">
        <f t="shared" si="246"/>
        <v>-1.3474210078105453</v>
      </c>
      <c r="BE227" s="43">
        <f t="shared" si="247"/>
        <v>130.71327912061884</v>
      </c>
      <c r="BF227" s="41" t="str">
        <f t="shared" si="248"/>
        <v>1.50653506401669-0.358006968731211i</v>
      </c>
      <c r="BG227" s="20">
        <f t="shared" si="249"/>
        <v>3.7981601477937126</v>
      </c>
      <c r="BH227" s="43">
        <f t="shared" si="250"/>
        <v>-13.367594464755225</v>
      </c>
      <c r="BI227" s="41" t="str">
        <f t="shared" si="203"/>
        <v>7.93739032913989+7.58176885009386i</v>
      </c>
      <c r="BJ227" s="20">
        <f t="shared" si="251"/>
        <v>20.809343666186511</v>
      </c>
      <c r="BK227" s="43">
        <f t="shared" si="204"/>
        <v>43.687297143455609</v>
      </c>
      <c r="BL227">
        <f t="shared" si="252"/>
        <v>3.7981601477937126</v>
      </c>
      <c r="BM227" s="43">
        <f t="shared" si="253"/>
        <v>-13.367594464755225</v>
      </c>
    </row>
    <row r="228" spans="14:65" x14ac:dyDescent="0.25">
      <c r="N228" s="9">
        <v>10</v>
      </c>
      <c r="O228" s="34">
        <f t="shared" si="254"/>
        <v>1258.925411794168</v>
      </c>
      <c r="P228" s="33" t="str">
        <f t="shared" si="206"/>
        <v>16.5157725627975</v>
      </c>
      <c r="Q228" s="4" t="str">
        <f t="shared" si="207"/>
        <v>1+20.4670554037296i</v>
      </c>
      <c r="R228" s="4">
        <f t="shared" si="219"/>
        <v>20.491470344983473</v>
      </c>
      <c r="S228" s="4">
        <f t="shared" si="220"/>
        <v>1.5219761431429726</v>
      </c>
      <c r="T228" s="4" t="str">
        <f t="shared" si="208"/>
        <v>1+0.130120514146121i</v>
      </c>
      <c r="U228" s="4">
        <f t="shared" si="221"/>
        <v>1.0084301404666816</v>
      </c>
      <c r="V228" s="4">
        <f t="shared" si="222"/>
        <v>0.12939351352684095</v>
      </c>
      <c r="W228" t="str">
        <f t="shared" si="209"/>
        <v>1-1.97751541255503i</v>
      </c>
      <c r="X228" s="4">
        <f t="shared" si="223"/>
        <v>2.2159799653635615</v>
      </c>
      <c r="Y228" s="4">
        <f t="shared" si="224"/>
        <v>-1.1026110198636694</v>
      </c>
      <c r="Z228" t="str">
        <f t="shared" si="210"/>
        <v>0.999967254272883+0.0276852157757704i</v>
      </c>
      <c r="AA228" s="4">
        <f t="shared" si="225"/>
        <v>1.0003504289950595</v>
      </c>
      <c r="AB228" s="4">
        <f t="shared" si="226"/>
        <v>2.7679051628115941E-2</v>
      </c>
      <c r="AC228" s="47" t="str">
        <f t="shared" si="227"/>
        <v>-1.4666995099086-1.04425826126349i</v>
      </c>
      <c r="AD228" s="20">
        <f t="shared" si="228"/>
        <v>5.1077051248819689</v>
      </c>
      <c r="AE228" s="43">
        <f t="shared" si="229"/>
        <v>-144.54995802225349</v>
      </c>
      <c r="AF228" t="str">
        <f t="shared" si="211"/>
        <v>247.084651286898</v>
      </c>
      <c r="AG228" t="str">
        <f t="shared" si="212"/>
        <v>1+20.0152648171091i</v>
      </c>
      <c r="AH228">
        <f t="shared" si="230"/>
        <v>20.040230180788978</v>
      </c>
      <c r="AI228">
        <f t="shared" si="231"/>
        <v>1.5208759689888272</v>
      </c>
      <c r="AJ228" t="str">
        <f t="shared" si="213"/>
        <v>1+0.130120514146121i</v>
      </c>
      <c r="AK228">
        <f t="shared" si="232"/>
        <v>1.0084301404666816</v>
      </c>
      <c r="AL228">
        <f t="shared" si="233"/>
        <v>0.12939351352684095</v>
      </c>
      <c r="AM228" t="str">
        <f t="shared" si="214"/>
        <v>1-0.129262473892168i</v>
      </c>
      <c r="AN228">
        <f t="shared" si="234"/>
        <v>1.0083197841740106</v>
      </c>
      <c r="AO228">
        <f t="shared" si="235"/>
        <v>-0.12854966672621509</v>
      </c>
      <c r="AP228" s="41" t="str">
        <f t="shared" si="236"/>
        <v>0.636148062628363-12.5206633594595i</v>
      </c>
      <c r="AQ228">
        <f t="shared" si="237"/>
        <v>21.963743376716337</v>
      </c>
      <c r="AR228" s="43">
        <f t="shared" si="238"/>
        <v>-87.091425325697784</v>
      </c>
      <c r="AS228" t="str">
        <f t="shared" si="215"/>
        <v>-0.0000166666666666667</v>
      </c>
      <c r="AT228" t="str">
        <f t="shared" si="216"/>
        <v>0.0000268942096107484i</v>
      </c>
      <c r="AU228">
        <f t="shared" si="239"/>
        <v>2.6894209610748399E-5</v>
      </c>
      <c r="AV228">
        <f t="shared" si="240"/>
        <v>1.5707963267948966</v>
      </c>
      <c r="AW228" t="str">
        <f t="shared" si="217"/>
        <v>1+0.0273315894902312i</v>
      </c>
      <c r="AX228">
        <f t="shared" si="241"/>
        <v>1.0003734381640002</v>
      </c>
      <c r="AY228">
        <f t="shared" si="242"/>
        <v>2.7324786829403761E-2</v>
      </c>
      <c r="AZ228" t="str">
        <f t="shared" si="218"/>
        <v>1+0.929274042667861i</v>
      </c>
      <c r="BA228">
        <f t="shared" si="243"/>
        <v>1.3651191326680134</v>
      </c>
      <c r="BB228">
        <f t="shared" si="244"/>
        <v>0.74875520951390895</v>
      </c>
      <c r="BC228" s="41" t="str">
        <f t="shared" si="245"/>
        <v>-0.558527407888678+0.63497752513454i</v>
      </c>
      <c r="BD228">
        <f t="shared" si="246"/>
        <v>-1.4560326827946271</v>
      </c>
      <c r="BE228" s="43">
        <f t="shared" si="247"/>
        <v>131.33491843216115</v>
      </c>
      <c r="BF228" s="41" t="str">
        <f t="shared" si="248"/>
        <v>1.48227240175923-0.348074365087971i</v>
      </c>
      <c r="BG228" s="20">
        <f t="shared" si="249"/>
        <v>3.6516724420873232</v>
      </c>
      <c r="BH228" s="43">
        <f t="shared" si="250"/>
        <v>-13.21503959009241</v>
      </c>
      <c r="BI228" s="41" t="str">
        <f t="shared" si="203"/>
        <v>7.59503370457908+7.39707337363255i</v>
      </c>
      <c r="BJ228" s="20">
        <f t="shared" si="251"/>
        <v>20.507710693921709</v>
      </c>
      <c r="BK228" s="43">
        <f t="shared" si="204"/>
        <v>44.243493106463383</v>
      </c>
      <c r="BL228">
        <f t="shared" si="252"/>
        <v>3.6516724420873232</v>
      </c>
      <c r="BM228" s="43">
        <f t="shared" si="253"/>
        <v>-13.21503959009241</v>
      </c>
    </row>
    <row r="229" spans="14:65" x14ac:dyDescent="0.25">
      <c r="N229" s="9">
        <v>11</v>
      </c>
      <c r="O229" s="34">
        <f t="shared" si="254"/>
        <v>1288.2495516931347</v>
      </c>
      <c r="P229" s="33" t="str">
        <f t="shared" si="206"/>
        <v>16.5157725627975</v>
      </c>
      <c r="Q229" s="4" t="str">
        <f t="shared" si="207"/>
        <v>1+20.9437943672584i</v>
      </c>
      <c r="R229" s="4">
        <f t="shared" si="219"/>
        <v>20.967654196356932</v>
      </c>
      <c r="S229" s="4">
        <f t="shared" si="220"/>
        <v>1.5230857209703439</v>
      </c>
      <c r="T229" s="4" t="str">
        <f t="shared" si="208"/>
        <v>1+0.133151410277694i</v>
      </c>
      <c r="U229" s="4">
        <f t="shared" si="221"/>
        <v>1.00882570251701</v>
      </c>
      <c r="V229" s="4">
        <f t="shared" si="222"/>
        <v>0.13237278267814476</v>
      </c>
      <c r="W229" t="str">
        <f t="shared" si="209"/>
        <v>1-2.02357766379475i</v>
      </c>
      <c r="X229" s="4">
        <f t="shared" si="223"/>
        <v>2.2571811095720737</v>
      </c>
      <c r="Y229" s="4">
        <f t="shared" si="224"/>
        <v>-1.1118201595780983</v>
      </c>
      <c r="Z229" t="str">
        <f t="shared" si="210"/>
        <v>0.999965711014309+0.0283300872931264i</v>
      </c>
      <c r="AA229" s="4">
        <f t="shared" si="225"/>
        <v>1.0003669412022715</v>
      </c>
      <c r="AB229" s="4">
        <f t="shared" si="226"/>
        <v>2.8323482420458235E-2</v>
      </c>
      <c r="AC229" s="47" t="str">
        <f t="shared" si="227"/>
        <v>-1.46884528966025-1.02821382707137i</v>
      </c>
      <c r="AD229" s="20">
        <f t="shared" si="228"/>
        <v>5.0714452459594881</v>
      </c>
      <c r="AE229" s="43">
        <f t="shared" si="229"/>
        <v>-145.00740060357253</v>
      </c>
      <c r="AF229" t="str">
        <f t="shared" si="211"/>
        <v>247.084651286898</v>
      </c>
      <c r="AG229" t="str">
        <f t="shared" si="212"/>
        <v>1+20.4814802259913i</v>
      </c>
      <c r="AH229">
        <f t="shared" si="230"/>
        <v>20.50587799260672</v>
      </c>
      <c r="AI229">
        <f t="shared" si="231"/>
        <v>1.5220104719712158</v>
      </c>
      <c r="AJ229" t="str">
        <f t="shared" si="213"/>
        <v>1+0.133151410277694i</v>
      </c>
      <c r="AK229">
        <f t="shared" si="232"/>
        <v>1.00882570251701</v>
      </c>
      <c r="AL229">
        <f t="shared" si="233"/>
        <v>0.13237278267814476</v>
      </c>
      <c r="AM229" t="str">
        <f t="shared" si="214"/>
        <v>1-0.132273383698729i</v>
      </c>
      <c r="AN229">
        <f t="shared" si="234"/>
        <v>1.008710190309938</v>
      </c>
      <c r="AO229">
        <f t="shared" si="235"/>
        <v>-0.13150995281110486</v>
      </c>
      <c r="AP229" s="41" t="str">
        <f t="shared" si="236"/>
        <v>0.608526165285648-12.2465697302121i</v>
      </c>
      <c r="AQ229">
        <f t="shared" si="237"/>
        <v>21.77099891776141</v>
      </c>
      <c r="AR229" s="43">
        <f t="shared" si="238"/>
        <v>-87.155339908845903</v>
      </c>
      <c r="AS229" t="str">
        <f t="shared" si="215"/>
        <v>-0.0000166666666666667</v>
      </c>
      <c r="AT229" t="str">
        <f t="shared" si="216"/>
        <v>0.0000275206562276086i</v>
      </c>
      <c r="AU229">
        <f t="shared" si="239"/>
        <v>2.75206562276086E-5</v>
      </c>
      <c r="AV229">
        <f t="shared" si="240"/>
        <v>1.5707963267948966</v>
      </c>
      <c r="AW229" t="str">
        <f t="shared" si="217"/>
        <v>1+0.0279682239932479i</v>
      </c>
      <c r="AX229">
        <f t="shared" si="241"/>
        <v>1.0003910343227473</v>
      </c>
      <c r="AY229">
        <f t="shared" si="242"/>
        <v>2.7960934964717975E-2</v>
      </c>
      <c r="AZ229" t="str">
        <f t="shared" si="218"/>
        <v>1+0.950919615770427i</v>
      </c>
      <c r="BA229">
        <f t="shared" si="243"/>
        <v>1.3799449683436571</v>
      </c>
      <c r="BB229">
        <f t="shared" si="244"/>
        <v>0.7602459052577919</v>
      </c>
      <c r="BC229" s="41" t="str">
        <f t="shared" si="245"/>
        <v>-0.558507759870725+0.621226184209871i</v>
      </c>
      <c r="BD229">
        <f t="shared" si="246"/>
        <v>-1.5623611876467935</v>
      </c>
      <c r="BE229" s="43">
        <f t="shared" si="247"/>
        <v>131.95683819865607</v>
      </c>
      <c r="BF229" s="41" t="str">
        <f t="shared" si="248"/>
        <v>1.45911484466819-0.338219753264544i</v>
      </c>
      <c r="BG229" s="20">
        <f t="shared" si="249"/>
        <v>3.5090840583127085</v>
      </c>
      <c r="BH229" s="43">
        <f t="shared" si="250"/>
        <v>-13.050562404916459</v>
      </c>
      <c r="BI229" s="41" t="str">
        <f t="shared" si="203"/>
        <v>7.26802319776336+7.21783661377366i</v>
      </c>
      <c r="BJ229" s="20">
        <f t="shared" si="251"/>
        <v>20.208637730114614</v>
      </c>
      <c r="BK229" s="43">
        <f t="shared" si="204"/>
        <v>44.801498289810183</v>
      </c>
      <c r="BL229">
        <f t="shared" si="252"/>
        <v>3.5090840583127085</v>
      </c>
      <c r="BM229" s="43">
        <f t="shared" si="253"/>
        <v>-13.050562404916459</v>
      </c>
    </row>
    <row r="230" spans="14:65" x14ac:dyDescent="0.25">
      <c r="N230" s="9">
        <v>12</v>
      </c>
      <c r="O230" s="34">
        <f t="shared" si="254"/>
        <v>1318.2567385564089</v>
      </c>
      <c r="P230" s="33" t="str">
        <f t="shared" si="206"/>
        <v>16.5157725627975</v>
      </c>
      <c r="Q230" s="4" t="str">
        <f t="shared" si="207"/>
        <v>1+21.4316380077847i</v>
      </c>
      <c r="R230" s="4">
        <f t="shared" si="219"/>
        <v>21.454955317984741</v>
      </c>
      <c r="S230" s="4">
        <f t="shared" si="220"/>
        <v>1.5241701553391547</v>
      </c>
      <c r="T230" s="4" t="str">
        <f t="shared" si="208"/>
        <v>1+0.136252905049464i</v>
      </c>
      <c r="U230" s="4">
        <f t="shared" si="221"/>
        <v>1.0092397406634452</v>
      </c>
      <c r="V230" s="4">
        <f t="shared" si="222"/>
        <v>0.13541900252436351</v>
      </c>
      <c r="W230" t="str">
        <f t="shared" si="209"/>
        <v>1-2.07071284269703i</v>
      </c>
      <c r="X230" s="4">
        <f t="shared" si="223"/>
        <v>2.299532925815678</v>
      </c>
      <c r="Y230" s="4">
        <f t="shared" si="224"/>
        <v>-1.1209013982464737</v>
      </c>
      <c r="Z230" t="str">
        <f t="shared" si="210"/>
        <v>0.999964095024199+0.0289899797977584i</v>
      </c>
      <c r="AA230" s="4">
        <f t="shared" si="225"/>
        <v>1.0003842313162676</v>
      </c>
      <c r="AB230" s="4">
        <f t="shared" si="226"/>
        <v>2.8982902695651465E-2</v>
      </c>
      <c r="AC230" s="47" t="str">
        <f t="shared" si="227"/>
        <v>-1.47091500483697-1.0127057396185i</v>
      </c>
      <c r="AD230" s="20">
        <f t="shared" si="228"/>
        <v>5.0367683485695487</v>
      </c>
      <c r="AE230" s="43">
        <f t="shared" si="229"/>
        <v>-145.45309722254984</v>
      </c>
      <c r="AF230" t="str">
        <f t="shared" si="211"/>
        <v>247.084651286898</v>
      </c>
      <c r="AG230" t="str">
        <f t="shared" si="212"/>
        <v>1+20.9585551867937i</v>
      </c>
      <c r="AH230">
        <f t="shared" si="230"/>
        <v>20.982398230847615</v>
      </c>
      <c r="AI230">
        <f t="shared" si="231"/>
        <v>1.5231192719727245</v>
      </c>
      <c r="AJ230" t="str">
        <f t="shared" si="213"/>
        <v>1+0.136252905049464i</v>
      </c>
      <c r="AK230">
        <f t="shared" si="232"/>
        <v>1.0092397406634452</v>
      </c>
      <c r="AL230">
        <f t="shared" si="233"/>
        <v>0.13541900252436351</v>
      </c>
      <c r="AM230" t="str">
        <f t="shared" si="214"/>
        <v>1-0.135354426604173i</v>
      </c>
      <c r="AN230">
        <f t="shared" si="234"/>
        <v>1.0091188338354133</v>
      </c>
      <c r="AO230">
        <f t="shared" si="235"/>
        <v>-0.13453679437754257</v>
      </c>
      <c r="AP230" s="41" t="str">
        <f t="shared" si="236"/>
        <v>0.582141677518001-11.9788482414502i</v>
      </c>
      <c r="AQ230">
        <f t="shared" si="237"/>
        <v>21.578545958290036</v>
      </c>
      <c r="AR230" s="43">
        <f t="shared" si="238"/>
        <v>-87.217759175610809</v>
      </c>
      <c r="AS230" t="str">
        <f t="shared" si="215"/>
        <v>-0.0000166666666666667</v>
      </c>
      <c r="AT230" t="str">
        <f t="shared" si="216"/>
        <v>0.0000281616946606796i</v>
      </c>
      <c r="AU230">
        <f t="shared" si="239"/>
        <v>2.8161694660679599E-5</v>
      </c>
      <c r="AV230">
        <f t="shared" si="240"/>
        <v>1.5707963267948966</v>
      </c>
      <c r="AW230" t="str">
        <f t="shared" si="217"/>
        <v>1+0.028619687618829i</v>
      </c>
      <c r="AX230">
        <f t="shared" si="241"/>
        <v>1.0004094594311868</v>
      </c>
      <c r="AY230">
        <f t="shared" si="242"/>
        <v>2.861187745668296E-2</v>
      </c>
      <c r="AZ230" t="str">
        <f t="shared" si="218"/>
        <v>1+0.973069379040187i</v>
      </c>
      <c r="BA230">
        <f t="shared" si="243"/>
        <v>1.395300690326517</v>
      </c>
      <c r="BB230">
        <f t="shared" si="244"/>
        <v>0.77174991105526536</v>
      </c>
      <c r="BC230" s="41" t="str">
        <f t="shared" si="245"/>
        <v>-0.558487187351784+0.607804173863468i</v>
      </c>
      <c r="BD230">
        <f t="shared" si="246"/>
        <v>-1.6664003252064372</v>
      </c>
      <c r="BE230" s="43">
        <f t="shared" si="247"/>
        <v>132.57867292084993</v>
      </c>
      <c r="BF230" s="41" t="str">
        <f t="shared" si="248"/>
        <v>1.43701395932055-0.328445099203769i</v>
      </c>
      <c r="BG230" s="20">
        <f t="shared" si="249"/>
        <v>3.370368023363111</v>
      </c>
      <c r="BH230" s="43">
        <f t="shared" si="250"/>
        <v>-12.874424301699898</v>
      </c>
      <c r="BI230" s="41" t="str">
        <f t="shared" si="203"/>
        <v>6.95567529111322+7.04386140345671i</v>
      </c>
      <c r="BJ230" s="20">
        <f t="shared" si="251"/>
        <v>19.912145633083597</v>
      </c>
      <c r="BK230" s="43">
        <f t="shared" si="204"/>
        <v>45.360913745239138</v>
      </c>
      <c r="BL230">
        <f t="shared" si="252"/>
        <v>3.370368023363111</v>
      </c>
      <c r="BM230" s="43">
        <f t="shared" si="253"/>
        <v>-12.874424301699898</v>
      </c>
    </row>
    <row r="231" spans="14:65" x14ac:dyDescent="0.25">
      <c r="N231" s="9">
        <v>13</v>
      </c>
      <c r="O231" s="34">
        <f t="shared" si="254"/>
        <v>1348.9628825916541</v>
      </c>
      <c r="P231" s="33" t="str">
        <f t="shared" si="206"/>
        <v>16.5157725627975</v>
      </c>
      <c r="Q231" s="4" t="str">
        <f t="shared" si="207"/>
        <v>1+21.9308449864639i</v>
      </c>
      <c r="R231" s="4">
        <f t="shared" si="219"/>
        <v>21.9536320872039</v>
      </c>
      <c r="S231" s="4">
        <f t="shared" si="220"/>
        <v>1.525230011022719</v>
      </c>
      <c r="T231" s="4" t="str">
        <f t="shared" si="208"/>
        <v>1+0.139426642915012i</v>
      </c>
      <c r="U231" s="4">
        <f t="shared" si="221"/>
        <v>1.0096731098501883</v>
      </c>
      <c r="V231" s="4">
        <f t="shared" si="222"/>
        <v>0.13853356195407721</v>
      </c>
      <c r="W231" t="str">
        <f t="shared" si="209"/>
        <v>1-2.11894594095763i</v>
      </c>
      <c r="X231" s="4">
        <f t="shared" si="223"/>
        <v>2.3430603706906097</v>
      </c>
      <c r="Y231" s="4">
        <f t="shared" si="224"/>
        <v>-1.1298535585335421</v>
      </c>
      <c r="Z231" t="str">
        <f t="shared" si="210"/>
        <v>0.999962402874822+0.0296652431734067i</v>
      </c>
      <c r="AA231" s="4">
        <f t="shared" si="225"/>
        <v>1.0004023359707459</v>
      </c>
      <c r="AB231" s="4">
        <f t="shared" si="226"/>
        <v>2.9657660086202825E-2</v>
      </c>
      <c r="AC231" s="47" t="str">
        <f t="shared" si="227"/>
        <v>-1.47291299138191-0.997726285828643i</v>
      </c>
      <c r="AD231" s="20">
        <f t="shared" si="228"/>
        <v>5.0036416685232954</v>
      </c>
      <c r="AE231" s="43">
        <f t="shared" si="229"/>
        <v>-145.88695312239327</v>
      </c>
      <c r="AF231" t="str">
        <f t="shared" si="211"/>
        <v>247.084651286898</v>
      </c>
      <c r="AG231" t="str">
        <f t="shared" si="212"/>
        <v>1+21.4467426509754i</v>
      </c>
      <c r="AH231">
        <f t="shared" si="230"/>
        <v>21.470043556946205</v>
      </c>
      <c r="AI231">
        <f t="shared" si="231"/>
        <v>1.524202945981991</v>
      </c>
      <c r="AJ231" t="str">
        <f t="shared" si="213"/>
        <v>1+0.139426642915012i</v>
      </c>
      <c r="AK231">
        <f t="shared" si="232"/>
        <v>1.0096731098501883</v>
      </c>
      <c r="AL231">
        <f t="shared" si="233"/>
        <v>0.13853356195407721</v>
      </c>
      <c r="AM231" t="str">
        <f t="shared" si="214"/>
        <v>1-0.13850723621823i</v>
      </c>
      <c r="AN231">
        <f t="shared" si="234"/>
        <v>1.0095465588494732</v>
      </c>
      <c r="AO231">
        <f t="shared" si="235"/>
        <v>-0.13763157432990247</v>
      </c>
      <c r="AP231" s="41" t="str">
        <f t="shared" si="236"/>
        <v>0.556939413655582-11.7173649937912i</v>
      </c>
      <c r="AQ231">
        <f t="shared" si="237"/>
        <v>21.386399710520791</v>
      </c>
      <c r="AR231" s="43">
        <f t="shared" si="238"/>
        <v>-87.278715842136435</v>
      </c>
      <c r="AS231" t="str">
        <f t="shared" si="215"/>
        <v>-0.0000166666666666667</v>
      </c>
      <c r="AT231" t="str">
        <f t="shared" si="216"/>
        <v>0.0000288176647970237i</v>
      </c>
      <c r="AU231">
        <f t="shared" si="239"/>
        <v>2.88176647970237E-5</v>
      </c>
      <c r="AV231">
        <f t="shared" si="240"/>
        <v>1.5707963267948966</v>
      </c>
      <c r="AW231" t="str">
        <f t="shared" si="217"/>
        <v>1+0.029286325781612i</v>
      </c>
      <c r="AX231">
        <f t="shared" si="241"/>
        <v>1.0004287525245297</v>
      </c>
      <c r="AY231">
        <f t="shared" si="242"/>
        <v>2.9277957235790544E-2</v>
      </c>
      <c r="AZ231" t="str">
        <f t="shared" si="218"/>
        <v>1+0.995735076574807i</v>
      </c>
      <c r="BA231">
        <f t="shared" si="243"/>
        <v>1.4112010284581842</v>
      </c>
      <c r="BB231">
        <f t="shared" si="244"/>
        <v>0.7832611478271706</v>
      </c>
      <c r="BC231" s="41" t="str">
        <f t="shared" si="245"/>
        <v>-0.558465646904226+0.594704373871541i</v>
      </c>
      <c r="BD231">
        <f t="shared" si="246"/>
        <v>-1.7681463287815573</v>
      </c>
      <c r="BE231" s="43">
        <f t="shared" si="247"/>
        <v>133.20005464469406</v>
      </c>
      <c r="BF231" s="41" t="str">
        <f t="shared" si="248"/>
        <v>1.41592349267464-0.318751942658393i</v>
      </c>
      <c r="BG231" s="20">
        <f t="shared" si="249"/>
        <v>3.2354953397417505</v>
      </c>
      <c r="BH231" s="43">
        <f t="shared" si="250"/>
        <v>-12.686898477699186</v>
      </c>
      <c r="BI231" s="41" t="str">
        <f t="shared" si="203"/>
        <v>6.65733668212328+6.87496012655296i</v>
      </c>
      <c r="BJ231" s="20">
        <f t="shared" si="251"/>
        <v>19.618253381739233</v>
      </c>
      <c r="BK231" s="43">
        <f t="shared" si="204"/>
        <v>45.921338802557621</v>
      </c>
      <c r="BL231">
        <f t="shared" si="252"/>
        <v>3.2354953397417505</v>
      </c>
      <c r="BM231" s="43">
        <f t="shared" si="253"/>
        <v>-12.686898477699186</v>
      </c>
    </row>
    <row r="232" spans="14:65" x14ac:dyDescent="0.25">
      <c r="N232" s="9">
        <v>14</v>
      </c>
      <c r="O232" s="34">
        <f t="shared" si="254"/>
        <v>1380.3842646028863</v>
      </c>
      <c r="P232" s="33" t="str">
        <f t="shared" si="206"/>
        <v>16.5157725627975</v>
      </c>
      <c r="Q232" s="4" t="str">
        <f t="shared" si="207"/>
        <v>1+22.441679989444i</v>
      </c>
      <c r="R232" s="4">
        <f t="shared" si="219"/>
        <v>22.463948912615773</v>
      </c>
      <c r="S232" s="4">
        <f t="shared" si="220"/>
        <v>1.5262658404408951</v>
      </c>
      <c r="T232" s="4" t="str">
        <f t="shared" si="208"/>
        <v>1+0.142674306632163i</v>
      </c>
      <c r="U232" s="4">
        <f t="shared" si="221"/>
        <v>1.0101267038213415</v>
      </c>
      <c r="V232" s="4">
        <f t="shared" si="222"/>
        <v>0.14171787051901344</v>
      </c>
      <c r="W232" t="str">
        <f t="shared" si="209"/>
        <v>1-2.16830253240369i</v>
      </c>
      <c r="X232" s="4">
        <f t="shared" si="223"/>
        <v>2.387788908598969</v>
      </c>
      <c r="Y232" s="4">
        <f t="shared" si="224"/>
        <v>-1.1386756465037102</v>
      </c>
      <c r="Z232" t="str">
        <f t="shared" si="210"/>
        <v>0.999960630976902+0.0303562354536516i</v>
      </c>
      <c r="AA232" s="4">
        <f t="shared" si="225"/>
        <v>1.0004212935232044</v>
      </c>
      <c r="AB232" s="4">
        <f t="shared" si="226"/>
        <v>3.0348110213689598E-2</v>
      </c>
      <c r="AC232" s="47" t="str">
        <f t="shared" si="227"/>
        <v>-1.47484343743895-0.983267993653654i</v>
      </c>
      <c r="AD232" s="20">
        <f t="shared" si="228"/>
        <v>4.9720329354837842</v>
      </c>
      <c r="AE232" s="43">
        <f t="shared" si="229"/>
        <v>-146.30888262036521</v>
      </c>
      <c r="AF232" t="str">
        <f t="shared" si="211"/>
        <v>247.084651286898</v>
      </c>
      <c r="AG232" t="str">
        <f t="shared" si="212"/>
        <v>1+21.946301461992i</v>
      </c>
      <c r="AH232">
        <f t="shared" si="230"/>
        <v>21.96907253073357</v>
      </c>
      <c r="AI232">
        <f t="shared" si="231"/>
        <v>1.5252620583906356</v>
      </c>
      <c r="AJ232" t="str">
        <f t="shared" si="213"/>
        <v>1+0.142674306632163i</v>
      </c>
      <c r="AK232">
        <f t="shared" si="232"/>
        <v>1.0101267038213415</v>
      </c>
      <c r="AL232">
        <f t="shared" si="233"/>
        <v>0.14171787051901344</v>
      </c>
      <c r="AM232" t="str">
        <f t="shared" si="214"/>
        <v>1-0.14173348420229i</v>
      </c>
      <c r="AN232">
        <f t="shared" si="234"/>
        <v>1.0099942477777391</v>
      </c>
      <c r="AO232">
        <f t="shared" si="235"/>
        <v>-0.14079569631054151</v>
      </c>
      <c r="AP232" s="41" t="str">
        <f t="shared" si="236"/>
        <v>0.532866627406033-11.4619888620797i</v>
      </c>
      <c r="AQ232">
        <f t="shared" si="237"/>
        <v>21.194575963633735</v>
      </c>
      <c r="AR232" s="43">
        <f t="shared" si="238"/>
        <v>-87.338241907098677</v>
      </c>
      <c r="AS232" t="str">
        <f t="shared" si="215"/>
        <v>-0.0000166666666666667</v>
      </c>
      <c r="AT232" t="str">
        <f t="shared" si="216"/>
        <v>0.0000294889144406902i</v>
      </c>
      <c r="AU232">
        <f t="shared" si="239"/>
        <v>2.9488914440690199E-5</v>
      </c>
      <c r="AV232">
        <f t="shared" si="240"/>
        <v>1.5707963267948966</v>
      </c>
      <c r="AW232" t="str">
        <f t="shared" si="217"/>
        <v>1+0.0299684919419747i</v>
      </c>
      <c r="AX232">
        <f t="shared" si="241"/>
        <v>1.000448954474578</v>
      </c>
      <c r="AY232">
        <f t="shared" si="242"/>
        <v>2.9959525100887421E-2</v>
      </c>
      <c r="AZ232" t="str">
        <f t="shared" si="218"/>
        <v>1+1.01892872602714i</v>
      </c>
      <c r="BA232">
        <f t="shared" si="243"/>
        <v>1.4276609361901342</v>
      </c>
      <c r="BB232">
        <f t="shared" si="244"/>
        <v>0.7947735173589231</v>
      </c>
      <c r="BC232" s="41" t="str">
        <f t="shared" si="245"/>
        <v>-0.558443093067484+0.581919834586888i</v>
      </c>
      <c r="BD232">
        <f t="shared" si="246"/>
        <v>-1.8675978802095337</v>
      </c>
      <c r="BE232" s="43">
        <f t="shared" si="247"/>
        <v>133.82061386893662</v>
      </c>
      <c r="BF232" s="41" t="str">
        <f t="shared" si="248"/>
        <v>1.3957992792152-0.309141429465825i</v>
      </c>
      <c r="BG232" s="20">
        <f t="shared" si="249"/>
        <v>3.1044350552742301</v>
      </c>
      <c r="BH232" s="43">
        <f t="shared" si="250"/>
        <v>-12.48826875142859</v>
      </c>
      <c r="BI232" s="41" t="str">
        <f t="shared" si="203"/>
        <v>6.37238297505711+6.71095417252183i</v>
      </c>
      <c r="BJ232" s="20">
        <f t="shared" si="251"/>
        <v>19.326978083424205</v>
      </c>
      <c r="BK232" s="43">
        <f t="shared" si="204"/>
        <v>46.482371961837949</v>
      </c>
      <c r="BL232">
        <f t="shared" si="252"/>
        <v>3.1044350552742301</v>
      </c>
      <c r="BM232" s="43">
        <f t="shared" si="253"/>
        <v>-12.48826875142859</v>
      </c>
    </row>
    <row r="233" spans="14:65" x14ac:dyDescent="0.25">
      <c r="N233" s="9">
        <v>15</v>
      </c>
      <c r="O233" s="34">
        <f t="shared" si="254"/>
        <v>1412.5375446227545</v>
      </c>
      <c r="P233" s="33" t="str">
        <f t="shared" si="206"/>
        <v>16.5157725627975</v>
      </c>
      <c r="Q233" s="4" t="str">
        <f t="shared" si="207"/>
        <v>1+22.9644138682053i</v>
      </c>
      <c r="R233" s="4">
        <f t="shared" si="219"/>
        <v>22.986176374295482</v>
      </c>
      <c r="S233" s="4">
        <f t="shared" si="220"/>
        <v>1.5272781839080065</v>
      </c>
      <c r="T233" s="4" t="str">
        <f t="shared" si="208"/>
        <v>1+0.145997618155207i</v>
      </c>
      <c r="U233" s="4">
        <f t="shared" si="221"/>
        <v>1.010601456810247</v>
      </c>
      <c r="V233" s="4">
        <f t="shared" si="222"/>
        <v>0.14497335813987991</v>
      </c>
      <c r="W233" t="str">
        <f t="shared" si="209"/>
        <v>1-2.2188087865533i</v>
      </c>
      <c r="X233" s="4">
        <f t="shared" si="223"/>
        <v>2.4337445287634707</v>
      </c>
      <c r="Y233" s="4">
        <f t="shared" si="224"/>
        <v>-1.1473668457967507</v>
      </c>
      <c r="Z233" t="str">
        <f t="shared" si="210"/>
        <v>0.999958775572005+0.0310633230117462i</v>
      </c>
      <c r="AA233" s="4">
        <f t="shared" si="225"/>
        <v>1.0004411441359233</v>
      </c>
      <c r="AB233" s="4">
        <f t="shared" si="226"/>
        <v>3.1054616867122634E-2</v>
      </c>
      <c r="AC233" s="47" t="str">
        <f t="shared" si="227"/>
        <v>-1.47671039181741-0.969323630311723i</v>
      </c>
      <c r="AD233" s="20">
        <f t="shared" si="228"/>
        <v>4.941910456059877</v>
      </c>
      <c r="AE233" s="43">
        <f t="shared" si="229"/>
        <v>-146.71880881535355</v>
      </c>
      <c r="AF233" t="str">
        <f t="shared" si="211"/>
        <v>247.084651286898</v>
      </c>
      <c r="AG233" t="str">
        <f t="shared" si="212"/>
        <v>1+22.4574964925372i</v>
      </c>
      <c r="AH233">
        <f t="shared" si="230"/>
        <v>22.479749747546581</v>
      </c>
      <c r="AI233">
        <f t="shared" si="231"/>
        <v>1.5262971612444551</v>
      </c>
      <c r="AJ233" t="str">
        <f t="shared" si="213"/>
        <v>1+0.145997618155207i</v>
      </c>
      <c r="AK233">
        <f t="shared" si="232"/>
        <v>1.010601456810247</v>
      </c>
      <c r="AL233">
        <f t="shared" si="233"/>
        <v>0.14497335813987991</v>
      </c>
      <c r="AM233" t="str">
        <f t="shared" si="214"/>
        <v>1-0.145034881155738i</v>
      </c>
      <c r="AN233">
        <f t="shared" si="234"/>
        <v>1.0104628230429158</v>
      </c>
      <c r="AO233">
        <f t="shared" si="235"/>
        <v>-0.14403058442081132</v>
      </c>
      <c r="AP233" s="41" t="str">
        <f t="shared" si="236"/>
        <v>0.509872905942003-11.2125914610375i</v>
      </c>
      <c r="AQ233">
        <f t="shared" si="237"/>
        <v>21.003091110326114</v>
      </c>
      <c r="AR233" s="43">
        <f t="shared" si="238"/>
        <v>-87.396368666967277</v>
      </c>
      <c r="AS233" t="str">
        <f t="shared" si="215"/>
        <v>-0.0000166666666666667</v>
      </c>
      <c r="AT233" t="str">
        <f t="shared" si="216"/>
        <v>0.0000301757994971249i</v>
      </c>
      <c r="AU233">
        <f t="shared" si="239"/>
        <v>3.0175799497124901E-5</v>
      </c>
      <c r="AV233">
        <f t="shared" si="240"/>
        <v>1.5707963267948966</v>
      </c>
      <c r="AW233" t="str">
        <f t="shared" si="217"/>
        <v>1+0.030666547793445i</v>
      </c>
      <c r="AX233">
        <f t="shared" si="241"/>
        <v>1.0004701080759824</v>
      </c>
      <c r="AY233">
        <f t="shared" si="242"/>
        <v>3.065693989393246E-2</v>
      </c>
      <c r="AZ233" t="str">
        <f t="shared" si="218"/>
        <v>1+1.04266262497713i</v>
      </c>
      <c r="BA233">
        <f t="shared" si="243"/>
        <v>1.4446955906086927</v>
      </c>
      <c r="BB233">
        <f t="shared" si="244"/>
        <v>0.80628091843568506</v>
      </c>
      <c r="BC233" s="41" t="str">
        <f t="shared" si="245"/>
        <v>-0.558419478253578+0.569443773235346i</v>
      </c>
      <c r="BD233">
        <f t="shared" si="246"/>
        <v>-1.9647561176832682</v>
      </c>
      <c r="BE233" s="43">
        <f t="shared" si="247"/>
        <v>134.43998045958793</v>
      </c>
      <c r="BF233" s="41" t="str">
        <f t="shared" si="248"/>
        <v>1.37659915206121-0.299614341594816i</v>
      </c>
      <c r="BG233" s="20">
        <f t="shared" si="249"/>
        <v>2.9771543383766339</v>
      </c>
      <c r="BH233" s="43">
        <f t="shared" si="250"/>
        <v>-12.278828355765583</v>
      </c>
      <c r="BI233" s="41" t="str">
        <f t="shared" si="203"/>
        <v>6.10021742720785+6.55167342497317i</v>
      </c>
      <c r="BJ233" s="20">
        <f t="shared" si="251"/>
        <v>19.038334992642845</v>
      </c>
      <c r="BK233" s="43">
        <f t="shared" si="204"/>
        <v>47.043611792620645</v>
      </c>
      <c r="BL233">
        <f t="shared" si="252"/>
        <v>2.9771543383766339</v>
      </c>
      <c r="BM233" s="43">
        <f t="shared" si="253"/>
        <v>-12.278828355765583</v>
      </c>
    </row>
    <row r="234" spans="14:65" x14ac:dyDescent="0.25">
      <c r="N234" s="9">
        <v>16</v>
      </c>
      <c r="O234" s="34">
        <f t="shared" si="254"/>
        <v>1445.4397707459289</v>
      </c>
      <c r="P234" s="33" t="str">
        <f t="shared" si="206"/>
        <v>16.5157725627975</v>
      </c>
      <c r="Q234" s="4" t="str">
        <f t="shared" si="207"/>
        <v>1+23.4993237831695i</v>
      </c>
      <c r="R234" s="4">
        <f t="shared" si="219"/>
        <v>23.520591367272971</v>
      </c>
      <c r="S234" s="4">
        <f t="shared" si="220"/>
        <v>1.5282675698773192</v>
      </c>
      <c r="T234" s="4" t="str">
        <f t="shared" si="208"/>
        <v>1+0.149398339547905i</v>
      </c>
      <c r="U234" s="4">
        <f t="shared" si="221"/>
        <v>1.0110983452956845</v>
      </c>
      <c r="V234" s="4">
        <f t="shared" si="222"/>
        <v>0.1483014747569108</v>
      </c>
      <c r="W234" t="str">
        <f t="shared" si="209"/>
        <v>1-2.27049148249096i</v>
      </c>
      <c r="X234" s="4">
        <f t="shared" si="223"/>
        <v>2.480953762580834</v>
      </c>
      <c r="Y234" s="4">
        <f t="shared" si="224"/>
        <v>-1.1559265115157247</v>
      </c>
      <c r="Z234" t="str">
        <f t="shared" si="210"/>
        <v>0.999956832724569+0.0317868807548734i</v>
      </c>
      <c r="AA234" s="4">
        <f t="shared" si="225"/>
        <v>1.00046192986074</v>
      </c>
      <c r="AB234" s="4">
        <f t="shared" si="226"/>
        <v>3.1777552184917214E-2</v>
      </c>
      <c r="AC234" s="47" t="str">
        <f t="shared" si="227"/>
        <v>-1.47851777219415-0.955886200480759i</v>
      </c>
      <c r="AD234" s="20">
        <f t="shared" si="228"/>
        <v>4.913243192195103</v>
      </c>
      <c r="AE234" s="43">
        <f t="shared" si="229"/>
        <v>-147.11666328213187</v>
      </c>
      <c r="AF234" t="str">
        <f t="shared" si="211"/>
        <v>247.084651286898</v>
      </c>
      <c r="AG234" t="str">
        <f t="shared" si="212"/>
        <v>1+22.980598784983i</v>
      </c>
      <c r="AH234">
        <f t="shared" si="230"/>
        <v>23.002345978537974</v>
      </c>
      <c r="AI234">
        <f t="shared" si="231"/>
        <v>1.5273087944912482</v>
      </c>
      <c r="AJ234" t="str">
        <f t="shared" si="213"/>
        <v>1+0.149398339547905i</v>
      </c>
      <c r="AK234">
        <f t="shared" si="232"/>
        <v>1.0110983452956845</v>
      </c>
      <c r="AL234">
        <f t="shared" si="233"/>
        <v>0.1483014747569108</v>
      </c>
      <c r="AM234" t="str">
        <f t="shared" si="214"/>
        <v>1-0.148413177522939i</v>
      </c>
      <c r="AN234">
        <f t="shared" si="234"/>
        <v>1.0109532488015731</v>
      </c>
      <c r="AO234">
        <f t="shared" si="235"/>
        <v>-0.14733768288788665</v>
      </c>
      <c r="AP234" s="41" t="str">
        <f t="shared" si="236"/>
        <v>0.487910068417803-10.9690471100633i</v>
      </c>
      <c r="AQ234">
        <f t="shared" si="237"/>
        <v>20.811962174027471</v>
      </c>
      <c r="AR234" s="43">
        <f t="shared" si="238"/>
        <v>-87.453126731137999</v>
      </c>
      <c r="AS234" t="str">
        <f t="shared" si="215"/>
        <v>-0.0000166666666666667</v>
      </c>
      <c r="AT234" t="str">
        <f t="shared" si="216"/>
        <v>0.0000308786841618771i</v>
      </c>
      <c r="AU234">
        <f t="shared" si="239"/>
        <v>3.0878684161877099E-5</v>
      </c>
      <c r="AV234">
        <f t="shared" si="240"/>
        <v>1.5707963267948966</v>
      </c>
      <c r="AW234" t="str">
        <f t="shared" si="217"/>
        <v>1+0.0313808634544751i</v>
      </c>
      <c r="AX234">
        <f t="shared" si="241"/>
        <v>1.0004922581365376</v>
      </c>
      <c r="AY234">
        <f t="shared" si="242"/>
        <v>3.1370568678217671E-2</v>
      </c>
      <c r="AZ234" t="str">
        <f t="shared" si="218"/>
        <v>1+1.06694935745215i</v>
      </c>
      <c r="BA234">
        <f t="shared" si="243"/>
        <v>1.4623203928577195</v>
      </c>
      <c r="BB234">
        <f t="shared" si="244"/>
        <v>0.817777262996913</v>
      </c>
      <c r="BC234" s="41" t="str">
        <f t="shared" si="245"/>
        <v>-0.558394752648278+0.557269570299365i</v>
      </c>
      <c r="BD234">
        <f t="shared" si="246"/>
        <v>-2.0596246332810622</v>
      </c>
      <c r="BE234" s="43">
        <f t="shared" si="247"/>
        <v>135.05778456529595</v>
      </c>
      <c r="BF234" s="41" t="str">
        <f t="shared" si="248"/>
        <v>1.35828285788744-0.290171125113253i</v>
      </c>
      <c r="BG234" s="20">
        <f t="shared" si="249"/>
        <v>2.8536185589140355</v>
      </c>
      <c r="BH234" s="43">
        <f t="shared" si="250"/>
        <v>-12.058878716835942</v>
      </c>
      <c r="BI234" s="41" t="str">
        <f t="shared" si="203"/>
        <v>5.8402697476497+6.39695578198303i</v>
      </c>
      <c r="BJ234" s="20">
        <f t="shared" si="251"/>
        <v>18.75233754074641</v>
      </c>
      <c r="BK234" s="43">
        <f t="shared" si="204"/>
        <v>47.604657834157962</v>
      </c>
      <c r="BL234">
        <f t="shared" si="252"/>
        <v>2.8536185589140355</v>
      </c>
      <c r="BM234" s="43">
        <f t="shared" si="253"/>
        <v>-12.058878716835942</v>
      </c>
    </row>
    <row r="235" spans="14:65" x14ac:dyDescent="0.25">
      <c r="N235" s="9">
        <v>17</v>
      </c>
      <c r="O235" s="34">
        <f t="shared" si="254"/>
        <v>1479.1083881682086</v>
      </c>
      <c r="P235" s="33" t="str">
        <f t="shared" si="206"/>
        <v>16.5157725627975</v>
      </c>
      <c r="Q235" s="4" t="str">
        <f t="shared" si="207"/>
        <v>1+24.0466933506538i</v>
      </c>
      <c r="R235" s="4">
        <f t="shared" si="219"/>
        <v>24.067477248361072</v>
      </c>
      <c r="S235" s="4">
        <f t="shared" si="220"/>
        <v>1.5292345151819988</v>
      </c>
      <c r="T235" s="4" t="str">
        <f t="shared" si="208"/>
        <v>1+0.152878273917752i</v>
      </c>
      <c r="U235" s="4">
        <f t="shared" si="221"/>
        <v>1.01161838982695</v>
      </c>
      <c r="V235" s="4">
        <f t="shared" si="222"/>
        <v>0.15170368992116198</v>
      </c>
      <c r="W235" t="str">
        <f t="shared" si="209"/>
        <v>1-2.32337802306614i</v>
      </c>
      <c r="X235" s="4">
        <f t="shared" si="223"/>
        <v>2.5294437013040487</v>
      </c>
      <c r="Y235" s="4">
        <f t="shared" si="224"/>
        <v>-1.1643541638769583</v>
      </c>
      <c r="Z235" t="str">
        <f t="shared" si="210"/>
        <v>0.999954798313555+0.032527292322926i</v>
      </c>
      <c r="AA235" s="4">
        <f t="shared" si="225"/>
        <v>1.0004836947277869</v>
      </c>
      <c r="AB235" s="4">
        <f t="shared" si="226"/>
        <v>3.2517296840512321E-2</v>
      </c>
      <c r="AC235" s="47" t="str">
        <f t="shared" si="227"/>
        <v>-1.48026937306698-0.942948944455061i</v>
      </c>
      <c r="AD235" s="20">
        <f t="shared" si="228"/>
        <v>4.8860008348595194</v>
      </c>
      <c r="AE235" s="43">
        <f t="shared" si="229"/>
        <v>-147.5023857553881</v>
      </c>
      <c r="AF235" t="str">
        <f t="shared" si="211"/>
        <v>247.084651286898</v>
      </c>
      <c r="AG235" t="str">
        <f t="shared" si="212"/>
        <v>1+23.5158856950887i</v>
      </c>
      <c r="AH235">
        <f t="shared" si="230"/>
        <v>23.537138314257266</v>
      </c>
      <c r="AI235">
        <f t="shared" si="231"/>
        <v>1.5282974862251775</v>
      </c>
      <c r="AJ235" t="str">
        <f t="shared" si="213"/>
        <v>1+0.152878273917752i</v>
      </c>
      <c r="AK235">
        <f t="shared" si="232"/>
        <v>1.01161838982695</v>
      </c>
      <c r="AL235">
        <f t="shared" si="233"/>
        <v>0.15170368992116198</v>
      </c>
      <c r="AM235" t="str">
        <f t="shared" si="214"/>
        <v>1-0.151870164521343i</v>
      </c>
      <c r="AN235">
        <f t="shared" si="234"/>
        <v>1.0114665327492254</v>
      </c>
      <c r="AO235">
        <f t="shared" si="235"/>
        <v>-0.15071845567350139</v>
      </c>
      <c r="AP235" s="41" t="str">
        <f t="shared" si="236"/>
        <v>0.466932068745322-10.7312327973155i</v>
      </c>
      <c r="AQ235">
        <f t="shared" si="237"/>
        <v>20.621206836779574</v>
      </c>
      <c r="AR235" s="43">
        <f t="shared" si="238"/>
        <v>-87.508546036933041</v>
      </c>
      <c r="AS235" t="str">
        <f t="shared" si="215"/>
        <v>-0.0000166666666666667</v>
      </c>
      <c r="AT235" t="str">
        <f t="shared" si="216"/>
        <v>0.0000315979411136995i</v>
      </c>
      <c r="AU235">
        <f t="shared" si="239"/>
        <v>3.1597941113699499E-5</v>
      </c>
      <c r="AV235">
        <f t="shared" si="240"/>
        <v>1.5707963267948966</v>
      </c>
      <c r="AW235" t="str">
        <f t="shared" si="217"/>
        <v>1+0.0321118176646836i</v>
      </c>
      <c r="AX235">
        <f t="shared" si="241"/>
        <v>1.0005154515717036</v>
      </c>
      <c r="AY235">
        <f t="shared" si="242"/>
        <v>3.2100786920092349E-2</v>
      </c>
      <c r="AZ235" t="str">
        <f t="shared" si="218"/>
        <v>1+1.09180180059924i</v>
      </c>
      <c r="BA235">
        <f t="shared" si="243"/>
        <v>1.4805509689949019</v>
      </c>
      <c r="BB235">
        <f t="shared" si="244"/>
        <v>0.82925649220604603</v>
      </c>
      <c r="BC235" s="41" t="str">
        <f t="shared" si="245"/>
        <v>-0.558368864107808+0.545390765986761i</v>
      </c>
      <c r="BD235">
        <f t="shared" si="246"/>
        <v>-2.152209460229856</v>
      </c>
      <c r="BE235" s="43">
        <f t="shared" si="247"/>
        <v>135.67365752765957</v>
      </c>
      <c r="BF235" s="41" t="str">
        <f t="shared" si="248"/>
        <v>1.34081197551574-0.280811916216714i</v>
      </c>
      <c r="BG235" s="20">
        <f t="shared" si="249"/>
        <v>2.7337913746296651</v>
      </c>
      <c r="BH235" s="43">
        <f t="shared" si="250"/>
        <v>-11.828728227728535</v>
      </c>
      <c r="BI235" s="41" t="str">
        <f t="shared" si="203"/>
        <v>5.59199494646932+6.2466467061503i</v>
      </c>
      <c r="BJ235" s="20">
        <f t="shared" si="251"/>
        <v>18.468997376549719</v>
      </c>
      <c r="BK235" s="43">
        <f t="shared" si="204"/>
        <v>48.165111490726524</v>
      </c>
      <c r="BL235">
        <f t="shared" si="252"/>
        <v>2.7337913746296651</v>
      </c>
      <c r="BM235" s="43">
        <f t="shared" si="253"/>
        <v>-11.828728227728535</v>
      </c>
    </row>
    <row r="236" spans="14:65" x14ac:dyDescent="0.25">
      <c r="N236" s="9">
        <v>18</v>
      </c>
      <c r="O236" s="34">
        <f t="shared" si="254"/>
        <v>1513.5612484362093</v>
      </c>
      <c r="P236" s="33" t="str">
        <f t="shared" si="206"/>
        <v>16.5157725627975</v>
      </c>
      <c r="Q236" s="4" t="str">
        <f t="shared" si="207"/>
        <v>1+24.6068127932482i</v>
      </c>
      <c r="R236" s="4">
        <f t="shared" si="219"/>
        <v>24.627123986409035</v>
      </c>
      <c r="S236" s="4">
        <f t="shared" si="220"/>
        <v>1.530179525272503</v>
      </c>
      <c r="T236" s="4" t="str">
        <f t="shared" si="208"/>
        <v>1+0.156439266372013i</v>
      </c>
      <c r="U236" s="4">
        <f t="shared" si="221"/>
        <v>1.0121626569198321</v>
      </c>
      <c r="V236" s="4">
        <f t="shared" si="222"/>
        <v>0.15518149232242545</v>
      </c>
      <c r="W236" t="str">
        <f t="shared" si="209"/>
        <v>1-2.3774964494227i</v>
      </c>
      <c r="X236" s="4">
        <f t="shared" si="223"/>
        <v>2.5792420140455112</v>
      </c>
      <c r="Y236" s="4">
        <f t="shared" si="224"/>
        <v>-1.1726494816697488</v>
      </c>
      <c r="Z236" t="str">
        <f t="shared" si="210"/>
        <v>0.999952668023703+0.0332849502919177i</v>
      </c>
      <c r="AA236" s="4">
        <f t="shared" si="225"/>
        <v>1.0005064848383831</v>
      </c>
      <c r="AB236" s="4">
        <f t="shared" si="226"/>
        <v>3.3274240231684141E-2</v>
      </c>
      <c r="AC236" s="47" t="str">
        <f t="shared" si="227"/>
        <v>-1.48196887347355-0.930505336272853i</v>
      </c>
      <c r="AD236" s="20">
        <f t="shared" si="228"/>
        <v>4.8601538730875218</v>
      </c>
      <c r="AE236" s="43">
        <f t="shared" si="229"/>
        <v>-147.87592380648968</v>
      </c>
      <c r="AF236" t="str">
        <f t="shared" si="211"/>
        <v>247.084651286898</v>
      </c>
      <c r="AG236" t="str">
        <f t="shared" si="212"/>
        <v>1+24.0636410390595i</v>
      </c>
      <c r="AH236">
        <f t="shared" si="230"/>
        <v>24.084410311583479</v>
      </c>
      <c r="AI236">
        <f t="shared" si="231"/>
        <v>1.5292637529276243</v>
      </c>
      <c r="AJ236" t="str">
        <f t="shared" si="213"/>
        <v>1+0.156439266372013i</v>
      </c>
      <c r="AK236">
        <f t="shared" si="232"/>
        <v>1.0121626569198321</v>
      </c>
      <c r="AL236">
        <f t="shared" si="233"/>
        <v>0.15518149232242545</v>
      </c>
      <c r="AM236" t="str">
        <f t="shared" si="214"/>
        <v>1-0.155407675091215i</v>
      </c>
      <c r="AN236">
        <f t="shared" si="234"/>
        <v>1.0120037279957306</v>
      </c>
      <c r="AO236">
        <f t="shared" si="235"/>
        <v>-0.15417438602051195</v>
      </c>
      <c r="AP236" s="41" t="str">
        <f t="shared" si="236"/>
        <v>0.446894902464085-10.4990281431947i</v>
      </c>
      <c r="AQ236">
        <f t="shared" si="237"/>
        <v>20.430843467777883</v>
      </c>
      <c r="AR236" s="43">
        <f t="shared" si="238"/>
        <v>-87.562655864469306</v>
      </c>
      <c r="AS236" t="str">
        <f t="shared" si="215"/>
        <v>-0.0000166666666666667</v>
      </c>
      <c r="AT236" t="str">
        <f t="shared" si="216"/>
        <v>0.0000323339517121487i</v>
      </c>
      <c r="AU236">
        <f t="shared" si="239"/>
        <v>3.2333951712148702E-5</v>
      </c>
      <c r="AV236">
        <f t="shared" si="240"/>
        <v>1.5707963267948966</v>
      </c>
      <c r="AW236" t="str">
        <f t="shared" si="217"/>
        <v>1+0.032859797985668i</v>
      </c>
      <c r="AX236">
        <f t="shared" si="241"/>
        <v>1.000539737503543</v>
      </c>
      <c r="AY236">
        <f t="shared" si="242"/>
        <v>3.2847978674224565E-2</v>
      </c>
      <c r="AZ236" t="str">
        <f t="shared" si="218"/>
        <v>1+1.11723313151271i</v>
      </c>
      <c r="BA236">
        <f t="shared" si="243"/>
        <v>1.4994031713150724</v>
      </c>
      <c r="BB236">
        <f t="shared" si="244"/>
        <v>0.84071259233207851</v>
      </c>
      <c r="BC236" s="41" t="str">
        <f t="shared" si="245"/>
        <v>-0.558341758050765+0.533801056782574i</v>
      </c>
      <c r="BD236">
        <f t="shared" si="246"/>
        <v>-2.2425190500267753</v>
      </c>
      <c r="BE236" s="43">
        <f t="shared" si="247"/>
        <v>136.28723278056194</v>
      </c>
      <c r="BF236" s="41" t="str">
        <f t="shared" si="248"/>
        <v>1.32414983803601-0.271536565448859i</v>
      </c>
      <c r="BG236" s="20">
        <f t="shared" si="249"/>
        <v>2.6176348230607638</v>
      </c>
      <c r="BH236" s="43">
        <f t="shared" si="250"/>
        <v>-11.588691025927728</v>
      </c>
      <c r="BI236" s="41" t="str">
        <f t="shared" si="203"/>
        <v>5.35487223252159+6.10059880250186i</v>
      </c>
      <c r="BJ236" s="20">
        <f t="shared" si="251"/>
        <v>18.188324417751105</v>
      </c>
      <c r="BK236" s="43">
        <f t="shared" si="204"/>
        <v>48.724576916092659</v>
      </c>
      <c r="BL236">
        <f t="shared" si="252"/>
        <v>2.6176348230607638</v>
      </c>
      <c r="BM236" s="43">
        <f t="shared" si="253"/>
        <v>-11.588691025927728</v>
      </c>
    </row>
    <row r="237" spans="14:65" x14ac:dyDescent="0.25">
      <c r="N237" s="9">
        <v>19</v>
      </c>
      <c r="O237" s="34">
        <f t="shared" si="254"/>
        <v>1548.8166189124822</v>
      </c>
      <c r="P237" s="33" t="str">
        <f t="shared" si="206"/>
        <v>16.5157725627975</v>
      </c>
      <c r="Q237" s="4" t="str">
        <f t="shared" si="207"/>
        <v>1+25.1799790936953i</v>
      </c>
      <c r="R237" s="4">
        <f t="shared" si="219"/>
        <v>25.199828316060653</v>
      </c>
      <c r="S237" s="4">
        <f t="shared" si="220"/>
        <v>1.5311030944503567</v>
      </c>
      <c r="T237" s="4" t="str">
        <f t="shared" si="208"/>
        <v>1+0.160083204996023i</v>
      </c>
      <c r="U237" s="4">
        <f t="shared" si="221"/>
        <v>1.0127322610254887</v>
      </c>
      <c r="V237" s="4">
        <f t="shared" si="222"/>
        <v>0.15873638924940076</v>
      </c>
      <c r="W237" t="str">
        <f t="shared" si="209"/>
        <v>1-2.43287545586662i</v>
      </c>
      <c r="X237" s="4">
        <f t="shared" si="223"/>
        <v>2.6303769660940639</v>
      </c>
      <c r="Y237" s="4">
        <f t="shared" si="224"/>
        <v>-1.180812295570931</v>
      </c>
      <c r="Z237" t="str">
        <f t="shared" si="210"/>
        <v>0.999950437336384+0.0340602563821326i</v>
      </c>
      <c r="AA237" s="4">
        <f t="shared" si="225"/>
        <v>1.0005303484622754</v>
      </c>
      <c r="AB237" s="4">
        <f t="shared" si="226"/>
        <v>3.4048780673594341E-2</v>
      </c>
      <c r="AC237" s="47" t="str">
        <f t="shared" si="227"/>
        <v>-1.48361984448907-0.918549081821307i</v>
      </c>
      <c r="AD237" s="20">
        <f t="shared" si="228"/>
        <v>4.8356736584302062</v>
      </c>
      <c r="AE237" s="43">
        <f t="shared" si="229"/>
        <v>-148.23723251582146</v>
      </c>
      <c r="AF237" t="str">
        <f t="shared" si="211"/>
        <v>247.084651286898</v>
      </c>
      <c r="AG237" t="str">
        <f t="shared" si="212"/>
        <v>1+24.6241552440291i</v>
      </c>
      <c r="AH237">
        <f t="shared" si="230"/>
        <v>24.644452144083985</v>
      </c>
      <c r="AI237">
        <f t="shared" si="231"/>
        <v>1.5302080997044676</v>
      </c>
      <c r="AJ237" t="str">
        <f t="shared" si="213"/>
        <v>1+0.160083204996023i</v>
      </c>
      <c r="AK237">
        <f t="shared" si="232"/>
        <v>1.0127322610254887</v>
      </c>
      <c r="AL237">
        <f t="shared" si="233"/>
        <v>0.15873638924940076</v>
      </c>
      <c r="AM237" t="str">
        <f t="shared" si="214"/>
        <v>1-0.159027584867485i</v>
      </c>
      <c r="AN237">
        <f t="shared" si="234"/>
        <v>1.0125659350130169</v>
      </c>
      <c r="AO237">
        <f t="shared" si="235"/>
        <v>-0.15770697593298971</v>
      </c>
      <c r="AP237" s="41" t="str">
        <f t="shared" si="236"/>
        <v>0.427756517545693-10.2723153633391i</v>
      </c>
      <c r="AQ237">
        <f t="shared" si="237"/>
        <v>20.240891152572587</v>
      </c>
      <c r="AR237" s="43">
        <f t="shared" si="238"/>
        <v>-87.615484851394939</v>
      </c>
      <c r="AS237" t="str">
        <f t="shared" si="215"/>
        <v>-0.0000166666666666667</v>
      </c>
      <c r="AT237" t="str">
        <f t="shared" si="216"/>
        <v>0.000033087106199786i</v>
      </c>
      <c r="AU237">
        <f t="shared" si="239"/>
        <v>3.3087106199786002E-5</v>
      </c>
      <c r="AV237">
        <f t="shared" si="240"/>
        <v>1.5707963267948966</v>
      </c>
      <c r="AW237" t="str">
        <f t="shared" si="217"/>
        <v>1+0.0336252010064953i</v>
      </c>
      <c r="AX237">
        <f t="shared" si="241"/>
        <v>1.0005651673642888</v>
      </c>
      <c r="AY237">
        <f t="shared" si="242"/>
        <v>3.3612536772434337E-2</v>
      </c>
      <c r="AZ237" t="str">
        <f t="shared" si="218"/>
        <v>1+1.14325683422084i</v>
      </c>
      <c r="BA237">
        <f t="shared" si="243"/>
        <v>1.5188930801714311</v>
      </c>
      <c r="BB237">
        <f t="shared" si="244"/>
        <v>0.85213961034209618</v>
      </c>
      <c r="BC237" s="41" t="str">
        <f t="shared" si="245"/>
        <v>-0.558313377345166+0.522494292082221i</v>
      </c>
      <c r="BD237">
        <f t="shared" si="246"/>
        <v>-2.3305642396309647</v>
      </c>
      <c r="BE237" s="43">
        <f t="shared" si="247"/>
        <v>136.89814673273582</v>
      </c>
      <c r="BF237" s="41" t="str">
        <f t="shared" si="248"/>
        <v>1.308261458322-0.262344660236496i</v>
      </c>
      <c r="BG237" s="20">
        <f t="shared" si="249"/>
        <v>2.5051094187992389</v>
      </c>
      <c r="BH237" s="43">
        <f t="shared" si="250"/>
        <v>-11.339085783085606</v>
      </c>
      <c r="BI237" s="41" t="str">
        <f t="shared" si="203"/>
        <v>5.12840395782084+5.95867142247908i</v>
      </c>
      <c r="BJ237" s="20">
        <f t="shared" si="251"/>
        <v>17.910326912941624</v>
      </c>
      <c r="BK237" s="43">
        <f t="shared" si="204"/>
        <v>49.282661881340914</v>
      </c>
      <c r="BL237">
        <f t="shared" si="252"/>
        <v>2.5051094187992389</v>
      </c>
      <c r="BM237" s="43">
        <f t="shared" si="253"/>
        <v>-11.339085783085606</v>
      </c>
    </row>
    <row r="238" spans="14:65" x14ac:dyDescent="0.25">
      <c r="N238" s="9">
        <v>20</v>
      </c>
      <c r="O238" s="34">
        <f t="shared" si="254"/>
        <v>1584.8931924611156</v>
      </c>
      <c r="P238" s="33" t="str">
        <f t="shared" si="206"/>
        <v>16.5157725627975</v>
      </c>
      <c r="Q238" s="4" t="str">
        <f t="shared" si="207"/>
        <v>1+25.7664961523543i</v>
      </c>
      <c r="R238" s="4">
        <f t="shared" si="219"/>
        <v>25.785893895098713</v>
      </c>
      <c r="S238" s="4">
        <f t="shared" si="220"/>
        <v>1.5320057060982801</v>
      </c>
      <c r="T238" s="4" t="str">
        <f t="shared" si="208"/>
        <v>1+0.163812021854274i</v>
      </c>
      <c r="U238" s="4">
        <f t="shared" si="221"/>
        <v>1.0133283665742241</v>
      </c>
      <c r="V238" s="4">
        <f t="shared" si="222"/>
        <v>0.16236990597758075</v>
      </c>
      <c r="W238" t="str">
        <f t="shared" si="209"/>
        <v>1-2.48954440508016i</v>
      </c>
      <c r="X238" s="4">
        <f t="shared" si="223"/>
        <v>2.6828774375408817</v>
      </c>
      <c r="Y238" s="4">
        <f t="shared" si="224"/>
        <v>-1.1888425813568675</v>
      </c>
      <c r="Z238" t="str">
        <f t="shared" si="210"/>
        <v>0.99994810152001+0.0348536216711222i</v>
      </c>
      <c r="AA238" s="4">
        <f t="shared" si="225"/>
        <v>1.000555336139419</v>
      </c>
      <c r="AB238" s="4">
        <f t="shared" si="226"/>
        <v>3.4841325595611886E-2</v>
      </c>
      <c r="AC238" s="47" t="str">
        <f t="shared" si="227"/>
        <v>-1.48522575651666-0.907074116925376i</v>
      </c>
      <c r="AD238" s="20">
        <f t="shared" si="228"/>
        <v>4.8125324649200181</v>
      </c>
      <c r="AE238" s="43">
        <f t="shared" si="229"/>
        <v>-148.586274143396</v>
      </c>
      <c r="AF238" t="str">
        <f t="shared" si="211"/>
        <v>247.084651286898</v>
      </c>
      <c r="AG238" t="str">
        <f t="shared" si="212"/>
        <v>1+25.1977255020484i</v>
      </c>
      <c r="AH238">
        <f t="shared" si="230"/>
        <v>25.217560755881614</v>
      </c>
      <c r="AI238">
        <f t="shared" si="231"/>
        <v>1.5311310205197495</v>
      </c>
      <c r="AJ238" t="str">
        <f t="shared" si="213"/>
        <v>1+0.163812021854274i</v>
      </c>
      <c r="AK238">
        <f t="shared" si="232"/>
        <v>1.0133283665742241</v>
      </c>
      <c r="AL238">
        <f t="shared" si="233"/>
        <v>0.16236990597758075</v>
      </c>
      <c r="AM238" t="str">
        <f t="shared" si="214"/>
        <v>1-0.16273181317423i</v>
      </c>
      <c r="AN238">
        <f t="shared" si="234"/>
        <v>1.0131543036571342</v>
      </c>
      <c r="AO238">
        <f t="shared" si="235"/>
        <v>-0.16131774558535053</v>
      </c>
      <c r="AP238" s="41" t="str">
        <f t="shared" si="236"/>
        <v>0.409476728977879-10.0509792312355i</v>
      </c>
      <c r="AQ238">
        <f t="shared" si="237"/>
        <v>20.051369722921919</v>
      </c>
      <c r="AR238" s="43">
        <f t="shared" si="238"/>
        <v>-87.667061007494652</v>
      </c>
      <c r="AS238" t="str">
        <f t="shared" si="215"/>
        <v>-0.0000166666666666667</v>
      </c>
      <c r="AT238" t="str">
        <f t="shared" si="216"/>
        <v>0.0000338578039090901i</v>
      </c>
      <c r="AU238">
        <f t="shared" si="239"/>
        <v>3.3857803909090099E-5</v>
      </c>
      <c r="AV238">
        <f t="shared" si="240"/>
        <v>1.5707963267948966</v>
      </c>
      <c r="AW238" t="str">
        <f t="shared" si="217"/>
        <v>1+0.0344084325539784i</v>
      </c>
      <c r="AX238">
        <f t="shared" si="241"/>
        <v>1.0005917950047469</v>
      </c>
      <c r="AY238">
        <f t="shared" si="242"/>
        <v>3.439486301612793E-2</v>
      </c>
      <c r="AZ238" t="str">
        <f t="shared" si="218"/>
        <v>1+1.16988670683527i</v>
      </c>
      <c r="BA238">
        <f t="shared" si="243"/>
        <v>1.539037006322419</v>
      </c>
      <c r="BB238">
        <f t="shared" si="244"/>
        <v>0.86353166910718493</v>
      </c>
      <c r="BC238" s="41" t="str">
        <f t="shared" si="245"/>
        <v>-0.558283662190326+0.511464470903909i</v>
      </c>
      <c r="BD238">
        <f t="shared" si="246"/>
        <v>-2.4163582090285134</v>
      </c>
      <c r="BE238" s="43">
        <f t="shared" si="247"/>
        <v>137.50603962797447</v>
      </c>
      <c r="BF238" s="41" t="str">
        <f t="shared" si="248"/>
        <v>1.29311345781139-0.253235545854497i</v>
      </c>
      <c r="BG238" s="20">
        <f t="shared" si="249"/>
        <v>2.3961742558915291</v>
      </c>
      <c r="BH238" s="43">
        <f t="shared" si="250"/>
        <v>-11.080234515421511</v>
      </c>
      <c r="BI238" s="41" t="str">
        <f t="shared" si="203"/>
        <v>4.91211460673456+5.8207302923472i</v>
      </c>
      <c r="BJ238" s="20">
        <f t="shared" si="251"/>
        <v>17.63501151389341</v>
      </c>
      <c r="BK238" s="43">
        <f t="shared" si="204"/>
        <v>49.838978620479814</v>
      </c>
      <c r="BL238">
        <f t="shared" si="252"/>
        <v>2.3961742558915291</v>
      </c>
      <c r="BM238" s="43">
        <f t="shared" si="253"/>
        <v>-11.080234515421511</v>
      </c>
    </row>
    <row r="239" spans="14:65" x14ac:dyDescent="0.25">
      <c r="N239" s="9">
        <v>21</v>
      </c>
      <c r="O239" s="34">
        <f t="shared" si="254"/>
        <v>1621.8100973589308</v>
      </c>
      <c r="P239" s="33" t="str">
        <f t="shared" si="206"/>
        <v>16.5157725627975</v>
      </c>
      <c r="Q239" s="4" t="str">
        <f t="shared" si="207"/>
        <v>1+26.3666749483331i</v>
      </c>
      <c r="R239" s="4">
        <f t="shared" si="219"/>
        <v>26.385631465459685</v>
      </c>
      <c r="S239" s="4">
        <f t="shared" si="220"/>
        <v>1.5328878329066431</v>
      </c>
      <c r="T239" s="4" t="str">
        <f t="shared" si="208"/>
        <v>1+0.16762769401482i</v>
      </c>
      <c r="U239" s="4">
        <f t="shared" si="221"/>
        <v>1.0139521900961239</v>
      </c>
      <c r="V239" s="4">
        <f t="shared" si="222"/>
        <v>0.16608358508010396</v>
      </c>
      <c r="W239" t="str">
        <f t="shared" si="209"/>
        <v>1-2.54753334369027i</v>
      </c>
      <c r="X239" s="4">
        <f t="shared" si="223"/>
        <v>2.7367729422101732</v>
      </c>
      <c r="Y239" s="4">
        <f t="shared" si="224"/>
        <v>-1.1967404530525663</v>
      </c>
      <c r="Z239" t="str">
        <f t="shared" si="210"/>
        <v>0.999945655620002+0.0356654668116638i</v>
      </c>
      <c r="AA239" s="4">
        <f t="shared" si="225"/>
        <v>1.0005815007865224</v>
      </c>
      <c r="AB239" s="4">
        <f t="shared" si="226"/>
        <v>3.5652291741945286E-2</v>
      </c>
      <c r="AC239" s="47" t="str">
        <f t="shared" si="227"/>
        <v>-1.48678998638278-0.896074605425639i</v>
      </c>
      <c r="AD239" s="20">
        <f t="shared" si="228"/>
        <v>4.7907035446608672</v>
      </c>
      <c r="AE239" s="43">
        <f t="shared" si="229"/>
        <v>-148.92301780028234</v>
      </c>
      <c r="AF239" t="str">
        <f t="shared" si="211"/>
        <v>247.084651286898</v>
      </c>
      <c r="AG239" t="str">
        <f t="shared" si="212"/>
        <v>1+25.7846559276601i</v>
      </c>
      <c r="AH239">
        <f t="shared" si="230"/>
        <v>25.804040019109745</v>
      </c>
      <c r="AI239">
        <f t="shared" si="231"/>
        <v>1.5320329984256909</v>
      </c>
      <c r="AJ239" t="str">
        <f t="shared" si="213"/>
        <v>1+0.16762769401482i</v>
      </c>
      <c r="AK239">
        <f t="shared" si="232"/>
        <v>1.0139521900961239</v>
      </c>
      <c r="AL239">
        <f t="shared" si="233"/>
        <v>0.16608358508010396</v>
      </c>
      <c r="AM239" t="str">
        <f t="shared" si="214"/>
        <v>1-0.16652232404233i</v>
      </c>
      <c r="AN239">
        <f t="shared" si="234"/>
        <v>1.0137700352666075</v>
      </c>
      <c r="AO239">
        <f t="shared" si="235"/>
        <v>-0.16500823265584455</v>
      </c>
      <c r="AP239" s="41" t="str">
        <f t="shared" si="236"/>
        <v>0.392017136978388-9.83490704053844i</v>
      </c>
      <c r="AQ239">
        <f t="shared" si="237"/>
        <v>19.862299787284382</v>
      </c>
      <c r="AR239" s="43">
        <f t="shared" si="238"/>
        <v>-87.717411729165562</v>
      </c>
      <c r="AS239" t="str">
        <f t="shared" si="215"/>
        <v>-0.0000166666666666667</v>
      </c>
      <c r="AT239" t="str">
        <f t="shared" si="216"/>
        <v>0.0000346464534741878i</v>
      </c>
      <c r="AU239">
        <f t="shared" si="239"/>
        <v>3.46464534741878E-5</v>
      </c>
      <c r="AV239">
        <f t="shared" si="240"/>
        <v>1.5707963267948966</v>
      </c>
      <c r="AW239" t="str">
        <f t="shared" si="217"/>
        <v>1+0.035209907907851i</v>
      </c>
      <c r="AX239">
        <f t="shared" si="241"/>
        <v>1.0006196768077666</v>
      </c>
      <c r="AY239">
        <f t="shared" si="242"/>
        <v>3.5195368372361799E-2</v>
      </c>
      <c r="AZ239" t="str">
        <f t="shared" si="218"/>
        <v>1+1.19713686886693i</v>
      </c>
      <c r="BA239">
        <f t="shared" si="243"/>
        <v>1.5598514938289854</v>
      </c>
      <c r="BB239">
        <f t="shared" si="244"/>
        <v>0.87488298212875837</v>
      </c>
      <c r="BC239" s="41" t="str">
        <f t="shared" si="245"/>
        <v>-0.558252549993369+0.500705738678568i</v>
      </c>
      <c r="BD239">
        <f t="shared" si="246"/>
        <v>-2.4999164295533722</v>
      </c>
      <c r="BE239" s="43">
        <f t="shared" si="247"/>
        <v>138.11055637765267</v>
      </c>
      <c r="BF239" s="41" t="str">
        <f t="shared" si="248"/>
        <v>1.27867399842354-0.244208344928523i</v>
      </c>
      <c r="BG239" s="20">
        <f t="shared" si="249"/>
        <v>2.290787115107467</v>
      </c>
      <c r="BH239" s="43">
        <f t="shared" si="250"/>
        <v>-10.812461422629696</v>
      </c>
      <c r="BI239" s="41" t="str">
        <f t="shared" si="203"/>
        <v>4.70554982820856+5.68664716447374i</v>
      </c>
      <c r="BJ239" s="20">
        <f t="shared" si="251"/>
        <v>17.362383357731005</v>
      </c>
      <c r="BK239" s="43">
        <f t="shared" si="204"/>
        <v>50.393144648487123</v>
      </c>
      <c r="BL239">
        <f t="shared" si="252"/>
        <v>2.290787115107467</v>
      </c>
      <c r="BM239" s="43">
        <f t="shared" si="253"/>
        <v>-10.812461422629696</v>
      </c>
    </row>
    <row r="240" spans="14:65" x14ac:dyDescent="0.25">
      <c r="N240" s="9">
        <v>22</v>
      </c>
      <c r="O240" s="34">
        <f t="shared" si="254"/>
        <v>1659.5869074375626</v>
      </c>
      <c r="P240" s="33" t="str">
        <f t="shared" si="206"/>
        <v>16.5157725627975</v>
      </c>
      <c r="Q240" s="4" t="str">
        <f t="shared" si="207"/>
        <v>1+26.9808337043739i</v>
      </c>
      <c r="R240" s="4">
        <f t="shared" si="219"/>
        <v>26.999359018004089</v>
      </c>
      <c r="S240" s="4">
        <f t="shared" si="220"/>
        <v>1.5337499370962231</v>
      </c>
      <c r="T240" s="4" t="str">
        <f t="shared" si="208"/>
        <v>1+0.171532244597548i</v>
      </c>
      <c r="U240" s="4">
        <f t="shared" si="221"/>
        <v>1.0146050024204853</v>
      </c>
      <c r="V240" s="4">
        <f t="shared" si="222"/>
        <v>0.16987898565663026</v>
      </c>
      <c r="W240" t="str">
        <f t="shared" si="209"/>
        <v>1-2.60687301819982i</v>
      </c>
      <c r="X240" s="4">
        <f t="shared" si="223"/>
        <v>2.7920936468926394</v>
      </c>
      <c r="Y240" s="4">
        <f t="shared" si="224"/>
        <v>-1.2045061560548442</v>
      </c>
      <c r="Z240" t="str">
        <f t="shared" si="210"/>
        <v>0.999943094448278+0.0364962222547975i</v>
      </c>
      <c r="AA240" s="4">
        <f t="shared" si="225"/>
        <v>1.0006088978085641</v>
      </c>
      <c r="AB240" s="4">
        <f t="shared" si="226"/>
        <v>3.6482105376121475E-2</v>
      </c>
      <c r="AC240" s="47" t="str">
        <f t="shared" si="227"/>
        <v>-1.48831582425122-0.885544937250352i</v>
      </c>
      <c r="AD240" s="20">
        <f t="shared" si="228"/>
        <v>4.7701611791819527</v>
      </c>
      <c r="AE240" s="43">
        <f t="shared" si="229"/>
        <v>-149.24743912325258</v>
      </c>
      <c r="AF240" t="str">
        <f t="shared" si="211"/>
        <v>247.084651286898</v>
      </c>
      <c r="AG240" t="str">
        <f t="shared" si="212"/>
        <v>1+26.3852577191451i</v>
      </c>
      <c r="AH240">
        <f t="shared" si="230"/>
        <v>26.40420089504142</v>
      </c>
      <c r="AI240">
        <f t="shared" si="231"/>
        <v>1.5329145057890337</v>
      </c>
      <c r="AJ240" t="str">
        <f t="shared" si="213"/>
        <v>1+0.171532244597548i</v>
      </c>
      <c r="AK240">
        <f t="shared" si="232"/>
        <v>1.0146050024204853</v>
      </c>
      <c r="AL240">
        <f t="shared" si="233"/>
        <v>0.16987898565663026</v>
      </c>
      <c r="AM240" t="str">
        <f t="shared" si="214"/>
        <v>1-0.170401127250822i</v>
      </c>
      <c r="AN240">
        <f t="shared" si="234"/>
        <v>1.0144143848390317</v>
      </c>
      <c r="AO240">
        <f t="shared" si="235"/>
        <v>-0.16877999157950163</v>
      </c>
      <c r="AP240" s="41" t="str">
        <f t="shared" si="236"/>
        <v>0.375341048694079-9.62398856718711i</v>
      </c>
      <c r="AQ240">
        <f t="shared" si="237"/>
        <v>19.673702761936049</v>
      </c>
      <c r="AR240" s="43">
        <f t="shared" si="238"/>
        <v>-87.766563813764677</v>
      </c>
      <c r="AS240" t="str">
        <f t="shared" si="215"/>
        <v>-0.0000166666666666667</v>
      </c>
      <c r="AT240" t="str">
        <f t="shared" si="216"/>
        <v>0.0000354534730475176i</v>
      </c>
      <c r="AU240">
        <f t="shared" si="239"/>
        <v>3.5453473047517601E-5</v>
      </c>
      <c r="AV240">
        <f t="shared" si="240"/>
        <v>1.5707963267948966</v>
      </c>
      <c r="AW240" t="str">
        <f t="shared" si="217"/>
        <v>1+0.0360300520209547i</v>
      </c>
      <c r="AX240">
        <f t="shared" si="241"/>
        <v>1.0006488718070055</v>
      </c>
      <c r="AY240">
        <f t="shared" si="242"/>
        <v>3.6014473173560331E-2</v>
      </c>
      <c r="AZ240" t="str">
        <f t="shared" si="218"/>
        <v>1+1.22502176871246i</v>
      </c>
      <c r="BA240">
        <f t="shared" si="243"/>
        <v>1.5813533235236847</v>
      </c>
      <c r="BB240">
        <f t="shared" si="244"/>
        <v>0.88618786769794022</v>
      </c>
      <c r="BC240" s="41" t="str">
        <f t="shared" si="245"/>
        <v>-0.558219975240185+0.490212384115376i</v>
      </c>
      <c r="BD240">
        <f t="shared" si="246"/>
        <v>-2.5812566034256044</v>
      </c>
      <c r="BE240" s="43">
        <f t="shared" si="247"/>
        <v>138.71134736055768</v>
      </c>
      <c r="BF240" s="41" t="str">
        <f t="shared" si="248"/>
        <v>1.26491271749389-0.235261975576869i</v>
      </c>
      <c r="BG240" s="20">
        <f t="shared" si="249"/>
        <v>2.1889045757563657</v>
      </c>
      <c r="BH240" s="43">
        <f t="shared" si="250"/>
        <v>-10.5360917626949</v>
      </c>
      <c r="BI240" s="41" t="str">
        <f t="shared" si="203"/>
        <v>4.50827550931128+5.5562994900237i</v>
      </c>
      <c r="BJ240" s="20">
        <f t="shared" si="251"/>
        <v>17.092446158510441</v>
      </c>
      <c r="BK240" s="43">
        <f t="shared" si="204"/>
        <v>50.944783546792991</v>
      </c>
      <c r="BL240">
        <f t="shared" si="252"/>
        <v>2.1889045757563657</v>
      </c>
      <c r="BM240" s="43">
        <f t="shared" si="253"/>
        <v>-10.5360917626949</v>
      </c>
    </row>
    <row r="241" spans="14:65" x14ac:dyDescent="0.25">
      <c r="N241" s="9">
        <v>23</v>
      </c>
      <c r="O241" s="34">
        <f t="shared" si="254"/>
        <v>1698.2436524617447</v>
      </c>
      <c r="P241" s="33" t="str">
        <f t="shared" si="206"/>
        <v>16.5157725627975</v>
      </c>
      <c r="Q241" s="4" t="str">
        <f t="shared" si="207"/>
        <v>1+27.6092980555781i</v>
      </c>
      <c r="R241" s="4">
        <f t="shared" si="219"/>
        <v>27.627401961128168</v>
      </c>
      <c r="S241" s="4">
        <f t="shared" si="220"/>
        <v>1.5345924706372565</v>
      </c>
      <c r="T241" s="4" t="str">
        <f t="shared" si="208"/>
        <v>1+0.175527743846859i</v>
      </c>
      <c r="U241" s="4">
        <f t="shared" si="221"/>
        <v>1.0152881309559216</v>
      </c>
      <c r="V241" s="4">
        <f t="shared" si="222"/>
        <v>0.17375768247508194</v>
      </c>
      <c r="W241" t="str">
        <f t="shared" si="209"/>
        <v>1-2.66759489128965i</v>
      </c>
      <c r="X241" s="4">
        <f t="shared" si="223"/>
        <v>2.8488703908803288</v>
      </c>
      <c r="Y241" s="4">
        <f t="shared" si="224"/>
        <v>-1.2121400602634145</v>
      </c>
      <c r="Z241" t="str">
        <f t="shared" si="210"/>
        <v>0.999940412572249+0.0373463284780551i</v>
      </c>
      <c r="AA241" s="4">
        <f t="shared" si="225"/>
        <v>1.0006375852155216</v>
      </c>
      <c r="AB241" s="4">
        <f t="shared" si="226"/>
        <v>3.7331202489337086E-2</v>
      </c>
      <c r="AC241" s="47" t="str">
        <f t="shared" si="227"/>
        <v>-1.4898064803678-0.875479726485794i</v>
      </c>
      <c r="AD241" s="20">
        <f t="shared" si="228"/>
        <v>4.7508807267020181</v>
      </c>
      <c r="AE241" s="43">
        <f t="shared" si="229"/>
        <v>-149.55951995488635</v>
      </c>
      <c r="AF241" t="str">
        <f t="shared" si="211"/>
        <v>247.084651286898</v>
      </c>
      <c r="AG241" t="str">
        <f t="shared" si="212"/>
        <v>1+26.9998493235227i</v>
      </c>
      <c r="AH241">
        <f t="shared" si="230"/>
        <v>27.018361598974302</v>
      </c>
      <c r="AI241">
        <f t="shared" si="231"/>
        <v>1.533776004513683</v>
      </c>
      <c r="AJ241" t="str">
        <f t="shared" si="213"/>
        <v>1+0.175527743846859i</v>
      </c>
      <c r="AK241">
        <f t="shared" si="232"/>
        <v>1.0152881309559216</v>
      </c>
      <c r="AL241">
        <f t="shared" si="233"/>
        <v>0.17375768247508194</v>
      </c>
      <c r="AM241" t="str">
        <f t="shared" si="214"/>
        <v>1-0.174370279392506i</v>
      </c>
      <c r="AN241">
        <f t="shared" si="234"/>
        <v>1.015088663287804</v>
      </c>
      <c r="AO241">
        <f t="shared" si="235"/>
        <v>-0.17263459271544385</v>
      </c>
      <c r="AP241" s="41" t="str">
        <f t="shared" si="236"/>
        <v>0.359413403245374-9.41811603139882i</v>
      </c>
      <c r="AQ241">
        <f t="shared" si="237"/>
        <v>19.485600902690557</v>
      </c>
      <c r="AR241" s="43">
        <f t="shared" si="238"/>
        <v>-87.814543473830724</v>
      </c>
      <c r="AS241" t="str">
        <f t="shared" si="215"/>
        <v>-0.0000166666666666667</v>
      </c>
      <c r="AT241" t="str">
        <f t="shared" si="216"/>
        <v>0.0000362792905215393i</v>
      </c>
      <c r="AU241">
        <f t="shared" si="239"/>
        <v>3.6279290521539303E-5</v>
      </c>
      <c r="AV241">
        <f t="shared" si="240"/>
        <v>1.5707963267948966</v>
      </c>
      <c r="AW241" t="str">
        <f t="shared" si="217"/>
        <v>1+0.0368692997445539i</v>
      </c>
      <c r="AX241">
        <f t="shared" si="241"/>
        <v>1.0006794418112395</v>
      </c>
      <c r="AY241">
        <f t="shared" si="242"/>
        <v>3.6852607320906526E-2</v>
      </c>
      <c r="AZ241" t="str">
        <f t="shared" si="218"/>
        <v>1+1.25355619131483i</v>
      </c>
      <c r="BA241">
        <f t="shared" si="243"/>
        <v>1.6035595170693673</v>
      </c>
      <c r="BB241">
        <f t="shared" si="244"/>
        <v>0.89744076240703052</v>
      </c>
      <c r="BC241" s="41" t="str">
        <f t="shared" si="245"/>
        <v>-0.558185869360446+0.479978836141128i</v>
      </c>
      <c r="BD241">
        <f t="shared" si="246"/>
        <v>-2.6603985950391937</v>
      </c>
      <c r="BE241" s="43">
        <f t="shared" si="247"/>
        <v>139.30806918538482</v>
      </c>
      <c r="BF241" s="41" t="str">
        <f t="shared" si="248"/>
        <v>1.25180066560673-0.226395168286529i</v>
      </c>
      <c r="BG241" s="20">
        <f t="shared" si="249"/>
        <v>2.0904821316628155</v>
      </c>
      <c r="BH241" s="43">
        <f t="shared" si="250"/>
        <v>-10.251450769501528</v>
      </c>
      <c r="BI241" s="41" t="str">
        <f t="shared" si="203"/>
        <v>4.31987688844259+5.42957011170714i</v>
      </c>
      <c r="BJ241" s="20">
        <f t="shared" si="251"/>
        <v>16.825202307651367</v>
      </c>
      <c r="BK241" s="43">
        <f t="shared" si="204"/>
        <v>51.493525711554121</v>
      </c>
      <c r="BL241">
        <f t="shared" si="252"/>
        <v>2.0904821316628155</v>
      </c>
      <c r="BM241" s="43">
        <f t="shared" si="253"/>
        <v>-10.251450769501528</v>
      </c>
    </row>
    <row r="242" spans="14:65" x14ac:dyDescent="0.25">
      <c r="N242" s="9">
        <v>24</v>
      </c>
      <c r="O242" s="34">
        <f t="shared" si="254"/>
        <v>1737.8008287493772</v>
      </c>
      <c r="P242" s="33" t="str">
        <f t="shared" si="206"/>
        <v>16.5157725627975</v>
      </c>
      <c r="Q242" s="4" t="str">
        <f t="shared" si="207"/>
        <v>1+28.2524012220638i</v>
      </c>
      <c r="R242" s="4">
        <f t="shared" si="219"/>
        <v>28.270093293310374</v>
      </c>
      <c r="S242" s="4">
        <f t="shared" si="220"/>
        <v>1.5354158754647822</v>
      </c>
      <c r="T242" s="4" t="str">
        <f t="shared" si="208"/>
        <v>1+0.179616310229343i</v>
      </c>
      <c r="U242" s="4">
        <f t="shared" si="221"/>
        <v>1.0160029620529674</v>
      </c>
      <c r="V242" s="4">
        <f t="shared" si="222"/>
        <v>0.17772126502092359</v>
      </c>
      <c r="W242" t="str">
        <f t="shared" si="209"/>
        <v>1-2.72973115850065i</v>
      </c>
      <c r="X242" s="4">
        <f t="shared" si="223"/>
        <v>2.9071347058038612</v>
      </c>
      <c r="Y242" s="4">
        <f t="shared" si="224"/>
        <v>-1.2196426532509899</v>
      </c>
      <c r="Z242" t="str">
        <f t="shared" si="210"/>
        <v>0.999937604303297+0.0382162362190091i</v>
      </c>
      <c r="AA242" s="4">
        <f t="shared" si="225"/>
        <v>1.00066762374455</v>
      </c>
      <c r="AB242" s="4">
        <f t="shared" si="226"/>
        <v>3.8200029012716991E-2</v>
      </c>
      <c r="AC242" s="47" t="str">
        <f t="shared" si="227"/>
        <v>-1.49126509164827-0.865873809448756i</v>
      </c>
      <c r="AD242" s="20">
        <f t="shared" si="228"/>
        <v>4.7328386654652546</v>
      </c>
      <c r="AE242" s="43">
        <f t="shared" si="229"/>
        <v>-149.85924803121688</v>
      </c>
      <c r="AF242" t="str">
        <f t="shared" si="211"/>
        <v>247.084651286898</v>
      </c>
      <c r="AG242" t="str">
        <f t="shared" si="212"/>
        <v>1+27.6287566053972i</v>
      </c>
      <c r="AH242">
        <f t="shared" si="230"/>
        <v>27.646847768964175</v>
      </c>
      <c r="AI242">
        <f t="shared" si="231"/>
        <v>1.5346179462596499</v>
      </c>
      <c r="AJ242" t="str">
        <f t="shared" si="213"/>
        <v>1+0.179616310229343i</v>
      </c>
      <c r="AK242">
        <f t="shared" si="232"/>
        <v>1.0160029620529674</v>
      </c>
      <c r="AL242">
        <f t="shared" si="233"/>
        <v>0.17772126502092359</v>
      </c>
      <c r="AM242" t="str">
        <f t="shared" si="214"/>
        <v>1-0.17843188496439i</v>
      </c>
      <c r="AN242">
        <f t="shared" si="234"/>
        <v>1.0157942397808453</v>
      </c>
      <c r="AO242">
        <f t="shared" si="235"/>
        <v>-0.17657362142330044</v>
      </c>
      <c r="AP242" s="41" t="str">
        <f t="shared" si="236"/>
        <v>0.344200699980859-9.21718405961219i</v>
      </c>
      <c r="AQ242">
        <f t="shared" si="237"/>
        <v>19.298017337194974</v>
      </c>
      <c r="AR242" s="43">
        <f t="shared" si="238"/>
        <v>-87.861376351183097</v>
      </c>
      <c r="AS242" t="str">
        <f t="shared" si="215"/>
        <v>-0.0000166666666666667</v>
      </c>
      <c r="AT242" t="str">
        <f t="shared" si="216"/>
        <v>0.0000371243437556088i</v>
      </c>
      <c r="AU242">
        <f t="shared" si="239"/>
        <v>3.7124343755608802E-5</v>
      </c>
      <c r="AV242">
        <f t="shared" si="240"/>
        <v>1.5707963267948966</v>
      </c>
      <c r="AW242" t="str">
        <f t="shared" si="217"/>
        <v>1+0.0377280960589007i</v>
      </c>
      <c r="AX242">
        <f t="shared" si="241"/>
        <v>1.0007114515344719</v>
      </c>
      <c r="AY242">
        <f t="shared" si="242"/>
        <v>3.7710210491425186E-2</v>
      </c>
      <c r="AZ242" t="str">
        <f t="shared" si="218"/>
        <v>1+1.28275526600263i</v>
      </c>
      <c r="BA242">
        <f t="shared" si="243"/>
        <v>1.62648734162227</v>
      </c>
      <c r="BB242">
        <f t="shared" si="244"/>
        <v>0.90863623393969528</v>
      </c>
      <c r="BC242" s="41" t="str">
        <f t="shared" si="245"/>
        <v>-0.558150160586655+0.469999660911646i</v>
      </c>
      <c r="BD242">
        <f t="shared" si="246"/>
        <v>-2.7373643545916071</v>
      </c>
      <c r="BE242" s="43">
        <f t="shared" si="247"/>
        <v>139.90038541169758</v>
      </c>
      <c r="BF242" s="41" t="str">
        <f t="shared" si="248"/>
        <v>1.23931024721395-0.21760648161246i</v>
      </c>
      <c r="BG242" s="20">
        <f t="shared" si="249"/>
        <v>1.995474310873679</v>
      </c>
      <c r="BH242" s="43">
        <f t="shared" si="250"/>
        <v>-9.9588626195192678</v>
      </c>
      <c r="BI242" s="41" t="str">
        <f t="shared" ref="BI242:BI305" si="255">IMPRODUCT(AP242,BC242)</f>
        <v>4.1399577066096+5.30634697530586i</v>
      </c>
      <c r="BJ242" s="20">
        <f t="shared" si="251"/>
        <v>16.560652982603369</v>
      </c>
      <c r="BK242" s="43">
        <f t="shared" ref="BK242:BK305" si="256">(180/PI())*IMARGUMENT(BI242)</f>
        <v>52.039009060514552</v>
      </c>
      <c r="BL242">
        <f t="shared" si="252"/>
        <v>1.995474310873679</v>
      </c>
      <c r="BM242" s="43">
        <f t="shared" si="253"/>
        <v>-9.9588626195192678</v>
      </c>
    </row>
    <row r="243" spans="14:65" x14ac:dyDescent="0.25">
      <c r="N243" s="9">
        <v>25</v>
      </c>
      <c r="O243" s="34">
        <f t="shared" si="254"/>
        <v>1778.2794100389244</v>
      </c>
      <c r="P243" s="33" t="str">
        <f t="shared" si="206"/>
        <v>16.5157725627975</v>
      </c>
      <c r="Q243" s="4" t="str">
        <f t="shared" si="207"/>
        <v>1+28.9104841856422i</v>
      </c>
      <c r="R243" s="4">
        <f t="shared" si="219"/>
        <v>28.927773779678716</v>
      </c>
      <c r="S243" s="4">
        <f t="shared" si="220"/>
        <v>1.5362205836902698</v>
      </c>
      <c r="T243" s="4" t="str">
        <f t="shared" si="208"/>
        <v>1+0.183800111557013i</v>
      </c>
      <c r="U243" s="4">
        <f t="shared" si="221"/>
        <v>1.016750943450937</v>
      </c>
      <c r="V243" s="4">
        <f t="shared" si="222"/>
        <v>0.18177133644843271</v>
      </c>
      <c r="W243" t="str">
        <f t="shared" si="209"/>
        <v>1-2.79331476530415i</v>
      </c>
      <c r="X243" s="4">
        <f t="shared" si="223"/>
        <v>2.9669188357732637</v>
      </c>
      <c r="Y243" s="4">
        <f t="shared" si="224"/>
        <v>-1.2270145335004268</v>
      </c>
      <c r="Z243" t="str">
        <f t="shared" si="210"/>
        <v>0.999934663684707+0.0391064067142581i</v>
      </c>
      <c r="AA243" s="4">
        <f t="shared" si="225"/>
        <v>1.000699076987857</v>
      </c>
      <c r="AB243" s="4">
        <f t="shared" si="226"/>
        <v>3.9089041033496537E-2</v>
      </c>
      <c r="AC243" s="47" t="str">
        <f t="shared" si="227"/>
        <v>-1.4926947281217-0.856722242764457i</v>
      </c>
      <c r="AD243" s="20">
        <f t="shared" si="228"/>
        <v>4.7160126333183605</v>
      </c>
      <c r="AE243" s="43">
        <f t="shared" si="229"/>
        <v>-150.14661667884965</v>
      </c>
      <c r="AF243" t="str">
        <f t="shared" si="211"/>
        <v>247.084651286898</v>
      </c>
      <c r="AG243" t="str">
        <f t="shared" si="212"/>
        <v>1+28.2723130197336i</v>
      </c>
      <c r="AH243">
        <f t="shared" si="230"/>
        <v>28.289992638489636</v>
      </c>
      <c r="AI243">
        <f t="shared" si="231"/>
        <v>1.5354407726582753</v>
      </c>
      <c r="AJ243" t="str">
        <f t="shared" si="213"/>
        <v>1+0.183800111557013i</v>
      </c>
      <c r="AK243">
        <f t="shared" si="232"/>
        <v>1.016750943450937</v>
      </c>
      <c r="AL243">
        <f t="shared" si="233"/>
        <v>0.18177133644843271</v>
      </c>
      <c r="AM243" t="str">
        <f t="shared" si="214"/>
        <v>1-0.182588097483506i</v>
      </c>
      <c r="AN243">
        <f t="shared" si="234"/>
        <v>1.0165325441630713</v>
      </c>
      <c r="AO243">
        <f t="shared" si="235"/>
        <v>-0.18059867704320332</v>
      </c>
      <c r="AP243" s="41" t="str">
        <f t="shared" si="236"/>
        <v>0.329670929812197-9.02108964644977i</v>
      </c>
      <c r="AQ243">
        <f t="shared" si="237"/>
        <v>19.110976097770905</v>
      </c>
      <c r="AR243" s="43">
        <f t="shared" si="238"/>
        <v>-87.907087530899332</v>
      </c>
      <c r="AS243" t="str">
        <f t="shared" si="215"/>
        <v>-0.0000166666666666667</v>
      </c>
      <c r="AT243" t="str">
        <f t="shared" si="216"/>
        <v>0.0000379890808081363i</v>
      </c>
      <c r="AU243">
        <f t="shared" si="239"/>
        <v>3.7989080808136297E-5</v>
      </c>
      <c r="AV243">
        <f t="shared" si="240"/>
        <v>1.5707963267948966</v>
      </c>
      <c r="AW243" t="str">
        <f t="shared" si="217"/>
        <v>1+0.0386068963091684i</v>
      </c>
      <c r="AX243">
        <f t="shared" si="241"/>
        <v>1.0007449687321075</v>
      </c>
      <c r="AY243">
        <f t="shared" si="242"/>
        <v>3.8587732348766786E-2</v>
      </c>
      <c r="AZ243" t="str">
        <f t="shared" si="218"/>
        <v>1+1.31263447451173i</v>
      </c>
      <c r="BA243">
        <f t="shared" si="243"/>
        <v>1.6501543151101614</v>
      </c>
      <c r="BB243">
        <f t="shared" si="244"/>
        <v>0.91976899307418702</v>
      </c>
      <c r="BC243" s="41" t="str">
        <f t="shared" si="245"/>
        <v>-0.558112773806713+0.460269558893508i</v>
      </c>
      <c r="BD243">
        <f t="shared" si="246"/>
        <v>-2.8121778347051798</v>
      </c>
      <c r="BE243" s="43">
        <f t="shared" si="247"/>
        <v>140.4879672255835</v>
      </c>
      <c r="BF243" s="41" t="str">
        <f t="shared" si="248"/>
        <v>1.22741516393011-0.208894316784061i</v>
      </c>
      <c r="BG243" s="20">
        <f t="shared" si="249"/>
        <v>1.9038347986131634</v>
      </c>
      <c r="BH243" s="43">
        <f t="shared" si="250"/>
        <v>-9.6586494532661966</v>
      </c>
      <c r="BI243" s="41" t="str">
        <f t="shared" si="255"/>
        <v>3.9681393952293+5.18652285878377i</v>
      </c>
      <c r="BJ243" s="20">
        <f t="shared" si="251"/>
        <v>16.298798263065716</v>
      </c>
      <c r="BK243" s="43">
        <f t="shared" si="256"/>
        <v>52.580879694684192</v>
      </c>
      <c r="BL243">
        <f t="shared" si="252"/>
        <v>1.9038347986131634</v>
      </c>
      <c r="BM243" s="43">
        <f t="shared" si="253"/>
        <v>-9.6586494532661966</v>
      </c>
    </row>
    <row r="244" spans="14:65" x14ac:dyDescent="0.25">
      <c r="N244" s="9">
        <v>26</v>
      </c>
      <c r="O244" s="34">
        <f t="shared" si="254"/>
        <v>1819.7008586099832</v>
      </c>
      <c r="P244" s="33" t="str">
        <f t="shared" si="206"/>
        <v>16.5157725627975</v>
      </c>
      <c r="Q244" s="4" t="str">
        <f t="shared" si="207"/>
        <v>1+29.583895870611i</v>
      </c>
      <c r="R244" s="4">
        <f t="shared" si="219"/>
        <v>29.6007921326973</v>
      </c>
      <c r="S244" s="4">
        <f t="shared" si="220"/>
        <v>1.5370070178095454</v>
      </c>
      <c r="T244" s="4" t="str">
        <f t="shared" si="208"/>
        <v>1+0.188081366136711i</v>
      </c>
      <c r="U244" s="4">
        <f t="shared" si="221"/>
        <v>1.0175335868107016</v>
      </c>
      <c r="V244" s="4">
        <f t="shared" si="222"/>
        <v>0.18590951242826487</v>
      </c>
      <c r="W244" t="str">
        <f t="shared" si="209"/>
        <v>1-2.85837942457008i</v>
      </c>
      <c r="X244" s="4">
        <f t="shared" si="223"/>
        <v>3.0282557578258777</v>
      </c>
      <c r="Y244" s="4">
        <f t="shared" si="224"/>
        <v>-1.234256403734205</v>
      </c>
      <c r="Z244" t="str">
        <f t="shared" si="210"/>
        <v>0.999931584479033+0.040017311943981i</v>
      </c>
      <c r="AA244" s="4">
        <f t="shared" si="225"/>
        <v>1.0007320115265481</v>
      </c>
      <c r="AB244" s="4">
        <f t="shared" si="226"/>
        <v>3.9998705015152618E-2</v>
      </c>
      <c r="AC244" s="47" t="str">
        <f t="shared" si="227"/>
        <v>-1.49409839924091-0.848020301452558i</v>
      </c>
      <c r="AD244" s="20">
        <f t="shared" si="228"/>
        <v>4.700381463700797</v>
      </c>
      <c r="AE244" s="43">
        <f t="shared" si="229"/>
        <v>-150.42162452332346</v>
      </c>
      <c r="AF244" t="str">
        <f t="shared" si="211"/>
        <v>247.084651286898</v>
      </c>
      <c r="AG244" t="str">
        <f t="shared" si="212"/>
        <v>1+28.9308597886611i</v>
      </c>
      <c r="AH244">
        <f t="shared" si="230"/>
        <v>28.948137213146683</v>
      </c>
      <c r="AI244">
        <f t="shared" si="231"/>
        <v>1.536244915523749</v>
      </c>
      <c r="AJ244" t="str">
        <f t="shared" si="213"/>
        <v>1+0.188081366136711i</v>
      </c>
      <c r="AK244">
        <f t="shared" si="232"/>
        <v>1.0175335868107016</v>
      </c>
      <c r="AL244">
        <f t="shared" si="233"/>
        <v>0.18590951242826487</v>
      </c>
      <c r="AM244" t="str">
        <f t="shared" si="214"/>
        <v>1-0.186841120628746i</v>
      </c>
      <c r="AN244">
        <f t="shared" si="234"/>
        <v>1.0173050694643204</v>
      </c>
      <c r="AO244">
        <f t="shared" si="235"/>
        <v>-0.1847113717737569</v>
      </c>
      <c r="AP244" s="41" t="str">
        <f t="shared" si="236"/>
        <v>0.315793509503167-8.82973211675967i</v>
      </c>
      <c r="AQ244">
        <f t="shared" si="237"/>
        <v>18.924502154759903</v>
      </c>
      <c r="AR244" s="43">
        <f t="shared" si="238"/>
        <v>-87.951701555176157</v>
      </c>
      <c r="AS244" t="str">
        <f t="shared" si="215"/>
        <v>-0.0000166666666666667</v>
      </c>
      <c r="AT244" t="str">
        <f t="shared" si="216"/>
        <v>0.0000388739601741531i</v>
      </c>
      <c r="AU244">
        <f t="shared" si="239"/>
        <v>3.8873960174153103E-5</v>
      </c>
      <c r="AV244">
        <f t="shared" si="240"/>
        <v>1.5707963267948966</v>
      </c>
      <c r="AW244" t="str">
        <f t="shared" si="217"/>
        <v>1+0.0395061664468815i</v>
      </c>
      <c r="AX244">
        <f t="shared" si="241"/>
        <v>1.0007800643434743</v>
      </c>
      <c r="AY244">
        <f t="shared" si="242"/>
        <v>3.9485632757702317E-2</v>
      </c>
      <c r="AZ244" t="str">
        <f t="shared" si="218"/>
        <v>1+1.34320965919397i</v>
      </c>
      <c r="BA244">
        <f t="shared" si="243"/>
        <v>1.6745782121334256</v>
      </c>
      <c r="BB244">
        <f t="shared" si="244"/>
        <v>0.93083390484281181</v>
      </c>
      <c r="BC244" s="41" t="str">
        <f t="shared" si="245"/>
        <v>-0.558073630409953+0.450783362014359i</v>
      </c>
      <c r="BD244">
        <f t="shared" si="246"/>
        <v>-2.8848649007316918</v>
      </c>
      <c r="BE244" s="43">
        <f t="shared" si="247"/>
        <v>141.0704940667554</v>
      </c>
      <c r="BF244" s="41" t="str">
        <f t="shared" si="248"/>
        <v>1.21609036039929-0.200256931297118i</v>
      </c>
      <c r="BG244" s="20">
        <f t="shared" si="249"/>
        <v>1.8155165629691159</v>
      </c>
      <c r="BH244" s="43">
        <f t="shared" si="250"/>
        <v>-9.3511304565680256</v>
      </c>
      <c r="BI244" s="41" t="str">
        <f t="shared" si="255"/>
        <v>3.80406029897075+5.06999511786358i</v>
      </c>
      <c r="BJ244" s="20">
        <f t="shared" si="251"/>
        <v>16.039637254028211</v>
      </c>
      <c r="BK244" s="43">
        <f t="shared" si="256"/>
        <v>53.118792511579315</v>
      </c>
      <c r="BL244">
        <f t="shared" si="252"/>
        <v>1.8155165629691159</v>
      </c>
      <c r="BM244" s="43">
        <f t="shared" si="253"/>
        <v>-9.3511304565680256</v>
      </c>
    </row>
    <row r="245" spans="14:65" x14ac:dyDescent="0.25">
      <c r="N245" s="9">
        <v>27</v>
      </c>
      <c r="O245" s="34">
        <f t="shared" si="254"/>
        <v>1862.0871366628687</v>
      </c>
      <c r="P245" s="33" t="str">
        <f t="shared" si="206"/>
        <v>16.5157725627975</v>
      </c>
      <c r="Q245" s="4" t="str">
        <f t="shared" si="207"/>
        <v>1+30.2729933287598i</v>
      </c>
      <c r="R245" s="4">
        <f t="shared" si="219"/>
        <v>30.289505197066777</v>
      </c>
      <c r="S245" s="4">
        <f t="shared" si="220"/>
        <v>1.5377755909070243</v>
      </c>
      <c r="T245" s="4" t="str">
        <f t="shared" si="208"/>
        <v>1+0.192462343946287i</v>
      </c>
      <c r="U245" s="4">
        <f t="shared" si="221"/>
        <v>1.0183524703349518</v>
      </c>
      <c r="V245" s="4">
        <f t="shared" si="222"/>
        <v>0.19013741988541985</v>
      </c>
      <c r="W245" t="str">
        <f t="shared" si="209"/>
        <v>1-2.92495963444205i</v>
      </c>
      <c r="X245" s="4">
        <f t="shared" si="223"/>
        <v>3.0911792026855012</v>
      </c>
      <c r="Y245" s="4">
        <f t="shared" si="224"/>
        <v>-1.2413690643586768</v>
      </c>
      <c r="Z245" t="str">
        <f t="shared" si="210"/>
        <v>0.999928360154865+0.0409494348821887i</v>
      </c>
      <c r="AA245" s="4">
        <f t="shared" si="225"/>
        <v>1.0007664970707042</v>
      </c>
      <c r="AB245" s="4">
        <f t="shared" si="226"/>
        <v>4.0929498021498159E-2</v>
      </c>
      <c r="AC245" s="47" t="str">
        <f t="shared" si="227"/>
        <v>-1.49547906007196-0.839763477023571i</v>
      </c>
      <c r="AD245" s="20">
        <f t="shared" si="228"/>
        <v>4.6859252182260871</v>
      </c>
      <c r="AE245" s="43">
        <f t="shared" si="229"/>
        <v>-150.68427521034425</v>
      </c>
      <c r="AF245" t="str">
        <f t="shared" si="211"/>
        <v>247.084651286898</v>
      </c>
      <c r="AG245" t="str">
        <f t="shared" si="212"/>
        <v>1+29.604746082394i</v>
      </c>
      <c r="AH245">
        <f t="shared" si="230"/>
        <v>29.62163045146271</v>
      </c>
      <c r="AI245">
        <f t="shared" si="231"/>
        <v>1.5370307970609223</v>
      </c>
      <c r="AJ245" t="str">
        <f t="shared" si="213"/>
        <v>1+0.192462343946287i</v>
      </c>
      <c r="AK245">
        <f t="shared" si="232"/>
        <v>1.0183524703349518</v>
      </c>
      <c r="AL245">
        <f t="shared" si="233"/>
        <v>0.19013741988541985</v>
      </c>
      <c r="AM245" t="str">
        <f t="shared" si="214"/>
        <v>1-0.191193209409279i</v>
      </c>
      <c r="AN245">
        <f t="shared" si="234"/>
        <v>1.0181133744943245</v>
      </c>
      <c r="AO245">
        <f t="shared" si="235"/>
        <v>-0.18891332944210154</v>
      </c>
      <c r="AP245" s="41" t="str">
        <f t="shared" si="236"/>
        <v>0.302539218792134-8.64301308779418i</v>
      </c>
      <c r="AQ245">
        <f t="shared" si="237"/>
        <v>18.73862145032842</v>
      </c>
      <c r="AR245" s="43">
        <f t="shared" si="238"/>
        <v>-87.995242437075348</v>
      </c>
      <c r="AS245" t="str">
        <f t="shared" si="215"/>
        <v>-0.0000166666666666667</v>
      </c>
      <c r="AT245" t="str">
        <f t="shared" si="216"/>
        <v>0.000039779451028412i</v>
      </c>
      <c r="AU245">
        <f t="shared" si="239"/>
        <v>3.9779451028411999E-5</v>
      </c>
      <c r="AV245">
        <f t="shared" si="240"/>
        <v>1.5707963267948966</v>
      </c>
      <c r="AW245" t="str">
        <f t="shared" si="217"/>
        <v>1+0.0404263832769708i</v>
      </c>
      <c r="AX245">
        <f t="shared" si="241"/>
        <v>1.0008168126409831</v>
      </c>
      <c r="AY245">
        <f t="shared" si="242"/>
        <v>4.0404382002331429E-2</v>
      </c>
      <c r="AZ245" t="str">
        <f t="shared" si="218"/>
        <v>1+1.37449703141701i</v>
      </c>
      <c r="BA245">
        <f t="shared" si="243"/>
        <v>1.6997770704931201</v>
      </c>
      <c r="BB245">
        <f t="shared" si="244"/>
        <v>0.94182599879956275</v>
      </c>
      <c r="BC245" s="41" t="str">
        <f t="shared" si="245"/>
        <v>-0.558032648126224+0.441536030880126i</v>
      </c>
      <c r="BD245">
        <f t="shared" si="246"/>
        <v>-2.9554532354700642</v>
      </c>
      <c r="BE245" s="43">
        <f t="shared" si="247"/>
        <v>141.64765420434034</v>
      </c>
      <c r="BF245" s="41" t="str">
        <f t="shared" si="248"/>
        <v>1.20531197263235-0.191692451565366i</v>
      </c>
      <c r="BG245" s="20">
        <f t="shared" si="249"/>
        <v>1.7304719827559971</v>
      </c>
      <c r="BH245" s="43">
        <f t="shared" si="250"/>
        <v>-9.0366210060039478</v>
      </c>
      <c r="BI245" s="41" t="str">
        <f t="shared" si="255"/>
        <v>3.64737493220501+4.95666544702245i</v>
      </c>
      <c r="BJ245" s="20">
        <f t="shared" si="251"/>
        <v>15.783168214858351</v>
      </c>
      <c r="BK245" s="43">
        <f t="shared" si="256"/>
        <v>53.652411767264979</v>
      </c>
      <c r="BL245">
        <f t="shared" si="252"/>
        <v>1.7304719827559971</v>
      </c>
      <c r="BM245" s="43">
        <f t="shared" si="253"/>
        <v>-9.0366210060039478</v>
      </c>
    </row>
    <row r="246" spans="14:65" x14ac:dyDescent="0.25">
      <c r="N246" s="9">
        <v>28</v>
      </c>
      <c r="O246" s="34">
        <f t="shared" si="254"/>
        <v>1905.4607179632501</v>
      </c>
      <c r="P246" s="33" t="str">
        <f t="shared" si="206"/>
        <v>16.5157725627975</v>
      </c>
      <c r="Q246" s="4" t="str">
        <f t="shared" si="207"/>
        <v>1+30.9781419286821i</v>
      </c>
      <c r="R246" s="4">
        <f t="shared" si="219"/>
        <v>30.994278138933513</v>
      </c>
      <c r="S246" s="4">
        <f t="shared" si="220"/>
        <v>1.5385267068562631</v>
      </c>
      <c r="T246" s="4" t="str">
        <f t="shared" si="208"/>
        <v>1+0.196945367838165i</v>
      </c>
      <c r="U246" s="4">
        <f t="shared" si="221"/>
        <v>1.0192092414773868</v>
      </c>
      <c r="V246" s="4">
        <f t="shared" si="222"/>
        <v>0.19445669562155324</v>
      </c>
      <c r="W246" t="str">
        <f t="shared" si="209"/>
        <v>1-2.99309069662865i</v>
      </c>
      <c r="X246" s="4">
        <f t="shared" si="223"/>
        <v>3.1557236758380758</v>
      </c>
      <c r="Y246" s="4">
        <f t="shared" si="224"/>
        <v>-1.2483534070428377</v>
      </c>
      <c r="Z246" t="str">
        <f t="shared" si="210"/>
        <v>0.999924983872981+0.0419032697528011i</v>
      </c>
      <c r="AA246" s="4">
        <f t="shared" si="225"/>
        <v>1.0008026066059967</v>
      </c>
      <c r="AB246" s="4">
        <f t="shared" si="226"/>
        <v>4.1881907944744681E-2</v>
      </c>
      <c r="AC246" s="47" t="str">
        <f t="shared" si="227"/>
        <v>-1.4968396173741-0.831947475587415i</v>
      </c>
      <c r="AD246" s="20">
        <f t="shared" si="228"/>
        <v>4.6726252160298776</v>
      </c>
      <c r="AE246" s="43">
        <f t="shared" si="229"/>
        <v>-150.93457714137085</v>
      </c>
      <c r="AF246" t="str">
        <f t="shared" si="211"/>
        <v>247.084651286898</v>
      </c>
      <c r="AG246" t="str">
        <f t="shared" si="212"/>
        <v>1+30.2943292043651i</v>
      </c>
      <c r="AH246">
        <f t="shared" si="230"/>
        <v>30.310829449925123</v>
      </c>
      <c r="AI246">
        <f t="shared" si="231"/>
        <v>1.5377988300694245</v>
      </c>
      <c r="AJ246" t="str">
        <f t="shared" si="213"/>
        <v>1+0.196945367838165i</v>
      </c>
      <c r="AK246">
        <f t="shared" si="232"/>
        <v>1.0192092414773868</v>
      </c>
      <c r="AL246">
        <f t="shared" si="233"/>
        <v>0.19445669562155324</v>
      </c>
      <c r="AM246" t="str">
        <f t="shared" si="214"/>
        <v>1-0.195646671360183i</v>
      </c>
      <c r="AN246">
        <f t="shared" si="234"/>
        <v>1.0189590865262055</v>
      </c>
      <c r="AO246">
        <f t="shared" si="235"/>
        <v>-0.19320618416008384</v>
      </c>
      <c r="AP246" s="41" t="str">
        <f t="shared" si="236"/>
        <v>0.289880140231066-8.46083643157771i</v>
      </c>
      <c r="AQ246">
        <f t="shared" si="237"/>
        <v>18.553360932679425</v>
      </c>
      <c r="AR246" s="43">
        <f t="shared" si="238"/>
        <v>-88.037733674158758</v>
      </c>
      <c r="AS246" t="str">
        <f t="shared" si="215"/>
        <v>-0.0000166666666666667</v>
      </c>
      <c r="AT246" t="str">
        <f t="shared" si="216"/>
        <v>0.0000407060334741495i</v>
      </c>
      <c r="AU246">
        <f t="shared" si="239"/>
        <v>4.0706033474149498E-5</v>
      </c>
      <c r="AV246">
        <f t="shared" si="240"/>
        <v>1.5707963267948966</v>
      </c>
      <c r="AW246" t="str">
        <f t="shared" si="217"/>
        <v>1+0.0413680347105804i</v>
      </c>
      <c r="AX246">
        <f t="shared" si="241"/>
        <v>1.0008552913862303</v>
      </c>
      <c r="AY246">
        <f t="shared" si="242"/>
        <v>4.1344461007995714E-2</v>
      </c>
      <c r="AZ246" t="str">
        <f t="shared" si="218"/>
        <v>1+1.40651318015973i</v>
      </c>
      <c r="BA246">
        <f t="shared" si="243"/>
        <v>1.7257691983469392</v>
      </c>
      <c r="BB246">
        <f t="shared" si="244"/>
        <v>0.95274047835712106</v>
      </c>
      <c r="BC246" s="41" t="str">
        <f t="shared" si="245"/>
        <v>-0.557989740857753+0.432522652057436i</v>
      </c>
      <c r="BD246">
        <f t="shared" si="246"/>
        <v>-3.0239722390522301</v>
      </c>
      <c r="BE246" s="43">
        <f t="shared" si="247"/>
        <v>142.21914525913678</v>
      </c>
      <c r="BF246" s="41" t="str">
        <f t="shared" si="248"/>
        <v>1.19505727871775-0.183198884701i</v>
      </c>
      <c r="BG246" s="20">
        <f t="shared" si="249"/>
        <v>1.6486529769776452</v>
      </c>
      <c r="BH246" s="43">
        <f t="shared" si="250"/>
        <v>-8.715431882234066</v>
      </c>
      <c r="BI246" s="41" t="str">
        <f t="shared" si="255"/>
        <v>3.49775326768282+4.8464396549274i</v>
      </c>
      <c r="BJ246" s="20">
        <f t="shared" si="251"/>
        <v>15.529388693627189</v>
      </c>
      <c r="BK246" s="43">
        <f t="shared" si="256"/>
        <v>54.181411584978022</v>
      </c>
      <c r="BL246">
        <f t="shared" si="252"/>
        <v>1.6486529769776452</v>
      </c>
      <c r="BM246" s="43">
        <f t="shared" si="253"/>
        <v>-8.715431882234066</v>
      </c>
    </row>
    <row r="247" spans="14:65" x14ac:dyDescent="0.25">
      <c r="N247" s="9">
        <v>29</v>
      </c>
      <c r="O247" s="34">
        <f t="shared" si="254"/>
        <v>1949.8445997580463</v>
      </c>
      <c r="P247" s="33" t="str">
        <f t="shared" si="206"/>
        <v>16.5157725627975</v>
      </c>
      <c r="Q247" s="4" t="str">
        <f t="shared" si="207"/>
        <v>1+31.6997155494988i</v>
      </c>
      <c r="R247" s="4">
        <f t="shared" si="219"/>
        <v>31.715484639512226</v>
      </c>
      <c r="S247" s="4">
        <f t="shared" si="220"/>
        <v>1.5392607605168536</v>
      </c>
      <c r="T247" s="4" t="str">
        <f t="shared" si="208"/>
        <v>1+0.201532814770949i</v>
      </c>
      <c r="U247" s="4">
        <f t="shared" si="221"/>
        <v>1.020105619742143</v>
      </c>
      <c r="V247" s="4">
        <f t="shared" si="222"/>
        <v>0.19886898481545895</v>
      </c>
      <c r="W247" t="str">
        <f t="shared" si="209"/>
        <v>1-3.0628087351208i</v>
      </c>
      <c r="X247" s="4">
        <f t="shared" si="223"/>
        <v>3.221924478930609</v>
      </c>
      <c r="Y247" s="4">
        <f t="shared" si="224"/>
        <v>-1.2552104084488251</v>
      </c>
      <c r="Z247" t="str">
        <f t="shared" si="210"/>
        <v>0.999921448471835+0.0428793222916912i</v>
      </c>
      <c r="AA247" s="4">
        <f t="shared" si="225"/>
        <v>1.0008404165471174</v>
      </c>
      <c r="AB247" s="4">
        <f t="shared" si="226"/>
        <v>4.2856433737544483E-2</v>
      </c>
      <c r="AC247" s="47" t="str">
        <f t="shared" si="227"/>
        <v>-1.49818293558136-0.824568215975512i</v>
      </c>
      <c r="AD247" s="20">
        <f t="shared" si="228"/>
        <v>4.6604640600581124</v>
      </c>
      <c r="AE247" s="43">
        <f t="shared" si="229"/>
        <v>-151.17254322488924</v>
      </c>
      <c r="AF247" t="str">
        <f t="shared" si="211"/>
        <v>247.084651286898</v>
      </c>
      <c r="AG247" t="str">
        <f t="shared" si="212"/>
        <v>1+30.9999747806728i</v>
      </c>
      <c r="AH247">
        <f t="shared" si="230"/>
        <v>31.016099632325624</v>
      </c>
      <c r="AI247">
        <f t="shared" si="231"/>
        <v>1.5385494181441046</v>
      </c>
      <c r="AJ247" t="str">
        <f t="shared" si="213"/>
        <v>1+0.201532814770949i</v>
      </c>
      <c r="AK247">
        <f t="shared" si="232"/>
        <v>1.020105619742143</v>
      </c>
      <c r="AL247">
        <f t="shared" si="233"/>
        <v>0.19886898481545895</v>
      </c>
      <c r="AM247" t="str">
        <f t="shared" si="214"/>
        <v>1-0.20020386776593i</v>
      </c>
      <c r="AN247">
        <f t="shared" si="234"/>
        <v>1.0198439040698524</v>
      </c>
      <c r="AO247">
        <f t="shared" si="235"/>
        <v>-0.19759157886038781</v>
      </c>
      <c r="AP247" s="41" t="str">
        <f t="shared" si="236"/>
        <v>0.277789601628749-8.28310823751049i</v>
      </c>
      <c r="AQ247">
        <f t="shared" si="237"/>
        <v>18.368748590608465</v>
      </c>
      <c r="AR247" s="43">
        <f t="shared" si="238"/>
        <v>-88.079198262015268</v>
      </c>
      <c r="AS247" t="str">
        <f t="shared" si="215"/>
        <v>-0.0000166666666666667</v>
      </c>
      <c r="AT247" t="str">
        <f t="shared" si="216"/>
        <v>0.0000416541987976429i</v>
      </c>
      <c r="AU247">
        <f t="shared" si="239"/>
        <v>4.1654198797642903E-5</v>
      </c>
      <c r="AV247">
        <f t="shared" si="240"/>
        <v>1.5707963267948966</v>
      </c>
      <c r="AW247" t="str">
        <f t="shared" si="217"/>
        <v>1+0.0423316200237637i</v>
      </c>
      <c r="AX247">
        <f t="shared" si="241"/>
        <v>1.0008955819933647</v>
      </c>
      <c r="AY247">
        <f t="shared" si="242"/>
        <v>4.2306361566889945E-2</v>
      </c>
      <c r="AZ247" t="str">
        <f t="shared" si="218"/>
        <v>1+1.43927508080797i</v>
      </c>
      <c r="BA247">
        <f t="shared" si="243"/>
        <v>1.752573181991208</v>
      </c>
      <c r="BB247">
        <f t="shared" si="244"/>
        <v>0.96357272916383629</v>
      </c>
      <c r="BC247" s="41" t="str">
        <f t="shared" si="245"/>
        <v>-0.557944818503531+0.423738435419631i</v>
      </c>
      <c r="BD247">
        <f t="shared" si="246"/>
        <v>-3.0904529247680115</v>
      </c>
      <c r="BE247" s="43">
        <f t="shared" si="247"/>
        <v>142.78467467065295</v>
      </c>
      <c r="BF247" s="41" t="str">
        <f t="shared" si="248"/>
        <v>1.18530465181225-0.174774129489398i</v>
      </c>
      <c r="BG247" s="20">
        <f t="shared" si="249"/>
        <v>1.5700111352901085</v>
      </c>
      <c r="BH247" s="43">
        <f t="shared" si="250"/>
        <v>-8.3878685542363094</v>
      </c>
      <c r="BI247" s="41" t="str">
        <f t="shared" si="255"/>
        <v>3.35488005611123+4.7392274533929i</v>
      </c>
      <c r="BJ247" s="20">
        <f t="shared" si="251"/>
        <v>15.278295665840451</v>
      </c>
      <c r="BK247" s="43">
        <f t="shared" si="256"/>
        <v>54.705476408637693</v>
      </c>
      <c r="BL247">
        <f t="shared" si="252"/>
        <v>1.5700111352901085</v>
      </c>
      <c r="BM247" s="43">
        <f t="shared" si="253"/>
        <v>-8.3878685542363094</v>
      </c>
    </row>
    <row r="248" spans="14:65" x14ac:dyDescent="0.25">
      <c r="N248" s="9">
        <v>30</v>
      </c>
      <c r="O248" s="34">
        <f t="shared" si="254"/>
        <v>1995.2623149688804</v>
      </c>
      <c r="P248" s="33" t="str">
        <f t="shared" si="206"/>
        <v>16.5157725627975</v>
      </c>
      <c r="Q248" s="4" t="str">
        <f t="shared" si="207"/>
        <v>1+32.4380967790955i</v>
      </c>
      <c r="R248" s="4">
        <f t="shared" si="219"/>
        <v>32.453507093224395</v>
      </c>
      <c r="S248" s="4">
        <f t="shared" si="220"/>
        <v>1.5399781379276853</v>
      </c>
      <c r="T248" s="4" t="str">
        <f t="shared" si="208"/>
        <v>1+0.206227117069727i</v>
      </c>
      <c r="U248" s="4">
        <f t="shared" si="221"/>
        <v>1.0210433995746169</v>
      </c>
      <c r="V248" s="4">
        <f t="shared" si="222"/>
        <v>0.20337593939541082</v>
      </c>
      <c r="W248" t="str">
        <f t="shared" si="209"/>
        <v>1-3.1341507153454i</v>
      </c>
      <c r="X248" s="4">
        <f t="shared" si="223"/>
        <v>3.2898177315012576</v>
      </c>
      <c r="Y248" s="4">
        <f t="shared" si="224"/>
        <v>-1.2619411241289156</v>
      </c>
      <c r="Z248" t="str">
        <f t="shared" si="210"/>
        <v>0.999917746452365+0.0438781100148356i</v>
      </c>
      <c r="AA248" s="4">
        <f t="shared" si="225"/>
        <v>1.0008800068983543</v>
      </c>
      <c r="AB248" s="4">
        <f t="shared" si="226"/>
        <v>4.3853585649010804E-2</v>
      </c>
      <c r="AC248" s="47" t="str">
        <f t="shared" si="227"/>
        <v>-1.49951184269721-0.817621827877178i</v>
      </c>
      <c r="AD248" s="20">
        <f t="shared" si="228"/>
        <v>4.6494256604655977</v>
      </c>
      <c r="AE248" s="43">
        <f t="shared" si="229"/>
        <v>-151.39819064459166</v>
      </c>
      <c r="AF248" t="str">
        <f t="shared" si="211"/>
        <v>247.084651286898</v>
      </c>
      <c r="AG248" t="str">
        <f t="shared" si="212"/>
        <v>1+31.7220569539427i</v>
      </c>
      <c r="AH248">
        <f t="shared" si="230"/>
        <v>31.737814943520998</v>
      </c>
      <c r="AI248">
        <f t="shared" si="231"/>
        <v>1.5392829558718166</v>
      </c>
      <c r="AJ248" t="str">
        <f t="shared" si="213"/>
        <v>1+0.206227117069727i</v>
      </c>
      <c r="AK248">
        <f t="shared" si="232"/>
        <v>1.0210433995746169</v>
      </c>
      <c r="AL248">
        <f t="shared" si="233"/>
        <v>0.20337593939541082</v>
      </c>
      <c r="AM248" t="str">
        <f t="shared" si="214"/>
        <v>1-0.204867214912379i</v>
      </c>
      <c r="AN248">
        <f t="shared" si="234"/>
        <v>1.0207695997363728</v>
      </c>
      <c r="AO248">
        <f t="shared" si="235"/>
        <v>-0.20207116370635092</v>
      </c>
      <c r="AP248" s="41" t="str">
        <f t="shared" si="236"/>
        <v>0.266242120989997-8.10973677525056i</v>
      </c>
      <c r="AQ248">
        <f t="shared" si="237"/>
        <v>18.184813488333159</v>
      </c>
      <c r="AR248" s="43">
        <f t="shared" si="238"/>
        <v>-88.119658707682831</v>
      </c>
      <c r="AS248" t="str">
        <f t="shared" si="215"/>
        <v>-0.0000166666666666667</v>
      </c>
      <c r="AT248" t="str">
        <f t="shared" si="216"/>
        <v>0.0000426244497286974i</v>
      </c>
      <c r="AU248">
        <f t="shared" si="239"/>
        <v>4.2624449728697402E-5</v>
      </c>
      <c r="AV248">
        <f t="shared" si="240"/>
        <v>1.5707963267948966</v>
      </c>
      <c r="AW248" t="str">
        <f t="shared" si="217"/>
        <v>1+0.0433176501222091i</v>
      </c>
      <c r="AX248">
        <f t="shared" si="241"/>
        <v>1.0009377697000499</v>
      </c>
      <c r="AY248">
        <f t="shared" si="242"/>
        <v>4.3290586567357396E-2</v>
      </c>
      <c r="AZ248" t="str">
        <f t="shared" si="218"/>
        <v>1+1.47280010415511i</v>
      </c>
      <c r="BA248">
        <f t="shared" si="243"/>
        <v>1.7802078942638424</v>
      </c>
      <c r="BB248">
        <f t="shared" si="244"/>
        <v>0.97431832650042716</v>
      </c>
      <c r="BC248" s="41" t="str">
        <f t="shared" si="245"/>
        <v>-0.557897786775861+0.415178711554713i</v>
      </c>
      <c r="BD248">
        <f t="shared" si="246"/>
        <v>-3.154927811608403</v>
      </c>
      <c r="BE248" s="43">
        <f t="shared" si="247"/>
        <v>143.34396010776851</v>
      </c>
      <c r="BF248" s="41" t="str">
        <f t="shared" si="248"/>
        <v>1.17603351532202-0.16641598661975i</v>
      </c>
      <c r="BG248" s="20">
        <f t="shared" si="249"/>
        <v>1.4944978488571778</v>
      </c>
      <c r="BH248" s="43">
        <f t="shared" si="250"/>
        <v>-8.0542305368231784</v>
      </c>
      <c r="BI248" s="41" t="str">
        <f t="shared" si="255"/>
        <v>3.21845417534957+4.63494225900132i</v>
      </c>
      <c r="BJ248" s="20">
        <f t="shared" si="251"/>
        <v>15.029885676724762</v>
      </c>
      <c r="BK248" s="43">
        <f t="shared" si="256"/>
        <v>55.224301400085714</v>
      </c>
      <c r="BL248">
        <f t="shared" si="252"/>
        <v>1.4944978488571778</v>
      </c>
      <c r="BM248" s="43">
        <f t="shared" si="253"/>
        <v>-8.0542305368231784</v>
      </c>
    </row>
    <row r="249" spans="14:65" x14ac:dyDescent="0.25">
      <c r="N249" s="9">
        <v>31</v>
      </c>
      <c r="O249" s="34">
        <f t="shared" si="254"/>
        <v>2041.7379446695318</v>
      </c>
      <c r="P249" s="33" t="str">
        <f t="shared" si="206"/>
        <v>16.5157725627975</v>
      </c>
      <c r="Q249" s="4" t="str">
        <f t="shared" si="207"/>
        <v>1+33.1936771169732i</v>
      </c>
      <c r="R249" s="4">
        <f t="shared" si="219"/>
        <v>33.20873681045201</v>
      </c>
      <c r="S249" s="4">
        <f t="shared" si="220"/>
        <v>1.5406792164965939</v>
      </c>
      <c r="T249" s="4" t="str">
        <f t="shared" si="208"/>
        <v>1+0.211030763715714i</v>
      </c>
      <c r="U249" s="4">
        <f t="shared" si="221"/>
        <v>1.0220244533446534</v>
      </c>
      <c r="V249" s="4">
        <f t="shared" si="222"/>
        <v>0.20797921627691948</v>
      </c>
      <c r="W249" t="str">
        <f t="shared" si="209"/>
        <v>1-3.20715446376465i</v>
      </c>
      <c r="X249" s="4">
        <f t="shared" si="223"/>
        <v>3.3594403930484495</v>
      </c>
      <c r="Y249" s="4">
        <f t="shared" si="224"/>
        <v>-1.268546682601376</v>
      </c>
      <c r="Z249" t="str">
        <f t="shared" si="210"/>
        <v>0.999913869962093+0.0449001624927051i</v>
      </c>
      <c r="AA249" s="4">
        <f t="shared" si="225"/>
        <v>1.0009214614216446</v>
      </c>
      <c r="AB249" s="4">
        <f t="shared" si="226"/>
        <v>4.4873885464699559E-2</v>
      </c>
      <c r="AC249" s="47" t="str">
        <f t="shared" si="227"/>
        <v>-1.50082913611303-0.811104649990912i</v>
      </c>
      <c r="AD249" s="20">
        <f t="shared" si="228"/>
        <v>4.6394952552870041</v>
      </c>
      <c r="AE249" s="43">
        <f t="shared" si="229"/>
        <v>-151.61154064553241</v>
      </c>
      <c r="AF249" t="str">
        <f t="shared" si="211"/>
        <v>247.084651286898</v>
      </c>
      <c r="AG249" t="str">
        <f t="shared" si="212"/>
        <v>1+32.4609585817004i</v>
      </c>
      <c r="AH249">
        <f t="shared" si="230"/>
        <v>32.476358047707095</v>
      </c>
      <c r="AI249">
        <f t="shared" si="231"/>
        <v>1.5399998290245658</v>
      </c>
      <c r="AJ249" t="str">
        <f t="shared" si="213"/>
        <v>1+0.211030763715714i</v>
      </c>
      <c r="AK249">
        <f t="shared" si="232"/>
        <v>1.0220244533446534</v>
      </c>
      <c r="AL249">
        <f t="shared" si="233"/>
        <v>0.20797921627691948</v>
      </c>
      <c r="AM249" t="str">
        <f t="shared" si="214"/>
        <v>1-0.209639185367912i</v>
      </c>
      <c r="AN249">
        <f t="shared" si="234"/>
        <v>1.0217380231946553</v>
      </c>
      <c r="AO249">
        <f t="shared" si="235"/>
        <v>-0.20664659436904592</v>
      </c>
      <c r="AP249" s="41" t="str">
        <f t="shared" si="236"/>
        <v>0.255213353846888-7.94063245791563i</v>
      </c>
      <c r="AQ249">
        <f t="shared" si="237"/>
        <v>18.001585800519106</v>
      </c>
      <c r="AR249" s="43">
        <f t="shared" si="238"/>
        <v>-88.159137042968169</v>
      </c>
      <c r="AS249" t="str">
        <f t="shared" si="215"/>
        <v>-0.0000166666666666667</v>
      </c>
      <c r="AT249" t="str">
        <f t="shared" si="216"/>
        <v>0.0000436173007071994i</v>
      </c>
      <c r="AU249">
        <f t="shared" si="239"/>
        <v>4.3617300707199402E-5</v>
      </c>
      <c r="AV249">
        <f t="shared" si="240"/>
        <v>1.5707963267948966</v>
      </c>
      <c r="AW249" t="str">
        <f t="shared" si="217"/>
        <v>1+0.044326647812126i</v>
      </c>
      <c r="AX249">
        <f t="shared" si="241"/>
        <v>1.0009819437463696</v>
      </c>
      <c r="AY249">
        <f t="shared" si="242"/>
        <v>4.4297650226834656E-2</v>
      </c>
      <c r="AZ249" t="str">
        <f t="shared" si="218"/>
        <v>1+1.50710602561228i</v>
      </c>
      <c r="BA249">
        <f t="shared" si="243"/>
        <v>1.8086925035607468</v>
      </c>
      <c r="BB249">
        <f t="shared" si="244"/>
        <v>0.98497304168531841</v>
      </c>
      <c r="BC249" s="41" t="str">
        <f t="shared" si="245"/>
        <v>-0.557848547008773+0.406838929233611i</v>
      </c>
      <c r="BD249">
        <f t="shared" si="246"/>
        <v>-3.2174308143038162</v>
      </c>
      <c r="BE249" s="43">
        <f t="shared" si="247"/>
        <v>143.8967298223877</v>
      </c>
      <c r="BF249" s="41" t="str">
        <f t="shared" si="248"/>
        <v>1.16722430018779-0.158122168229341i</v>
      </c>
      <c r="BG249" s="20">
        <f t="shared" si="249"/>
        <v>1.4220644409831786</v>
      </c>
      <c r="BH249" s="43">
        <f t="shared" si="250"/>
        <v>-7.7148108231447248</v>
      </c>
      <c r="BI249" s="41" t="str">
        <f t="shared" si="255"/>
        <v>3.08818800799533+4.53350100658412i</v>
      </c>
      <c r="BJ249" s="20">
        <f t="shared" si="251"/>
        <v>14.784154986215285</v>
      </c>
      <c r="BK249" s="43">
        <f t="shared" si="256"/>
        <v>55.737592779419522</v>
      </c>
      <c r="BL249">
        <f t="shared" si="252"/>
        <v>1.4220644409831786</v>
      </c>
      <c r="BM249" s="43">
        <f t="shared" si="253"/>
        <v>-7.7148108231447248</v>
      </c>
    </row>
    <row r="250" spans="14:65" x14ac:dyDescent="0.25">
      <c r="N250" s="9">
        <v>32</v>
      </c>
      <c r="O250" s="34">
        <f t="shared" si="254"/>
        <v>2089.2961308540398</v>
      </c>
      <c r="P250" s="33" t="str">
        <f t="shared" si="206"/>
        <v>16.5157725627975</v>
      </c>
      <c r="Q250" s="4" t="str">
        <f t="shared" si="207"/>
        <v>1+33.9668571818289i</v>
      </c>
      <c r="R250" s="4">
        <f t="shared" si="219"/>
        <v>33.981574225023209</v>
      </c>
      <c r="S250" s="4">
        <f t="shared" si="220"/>
        <v>1.5413643651864364</v>
      </c>
      <c r="T250" s="4" t="str">
        <f t="shared" si="208"/>
        <v>1+0.215946301665947i</v>
      </c>
      <c r="U250" s="4">
        <f t="shared" si="221"/>
        <v>1.023050734422883</v>
      </c>
      <c r="V250" s="4">
        <f t="shared" si="222"/>
        <v>0.2126804754594355</v>
      </c>
      <c r="W250" t="str">
        <f t="shared" si="209"/>
        <v>1-3.28185868793233i</v>
      </c>
      <c r="X250" s="4">
        <f t="shared" si="223"/>
        <v>3.430830285449415</v>
      </c>
      <c r="Y250" s="4">
        <f t="shared" si="224"/>
        <v>-1.2750282796155197</v>
      </c>
      <c r="Z250" t="str">
        <f t="shared" si="210"/>
        <v>0.999909810778463+0.0459460216310525i</v>
      </c>
      <c r="AA250" s="4">
        <f t="shared" si="225"/>
        <v>1.0009648678124237</v>
      </c>
      <c r="AB250" s="4">
        <f t="shared" si="226"/>
        <v>4.5917866750549811E-2</v>
      </c>
      <c r="AC250" s="47" t="str">
        <f t="shared" si="227"/>
        <v>-1.50213758836135-0.805013228190429i</v>
      </c>
      <c r="AD250" s="20">
        <f t="shared" si="228"/>
        <v>4.6306594285350604</v>
      </c>
      <c r="AE250" s="43">
        <f t="shared" si="229"/>
        <v>-151.81261833922895</v>
      </c>
      <c r="AF250" t="str">
        <f t="shared" si="211"/>
        <v>247.084651286898</v>
      </c>
      <c r="AG250" t="str">
        <f t="shared" si="212"/>
        <v>1+33.21707143937i</v>
      </c>
      <c r="AH250">
        <f t="shared" si="230"/>
        <v>33.232120531320454</v>
      </c>
      <c r="AI250">
        <f t="shared" si="231"/>
        <v>1.5407004147490513</v>
      </c>
      <c r="AJ250" t="str">
        <f t="shared" si="213"/>
        <v>1+0.215946301665947i</v>
      </c>
      <c r="AK250">
        <f t="shared" si="232"/>
        <v>1.023050734422883</v>
      </c>
      <c r="AL250">
        <f t="shared" si="233"/>
        <v>0.2126804754594355</v>
      </c>
      <c r="AM250" t="str">
        <f t="shared" si="214"/>
        <v>1-0.214522309294432i</v>
      </c>
      <c r="AN250">
        <f t="shared" si="234"/>
        <v>1.0227511042208735</v>
      </c>
      <c r="AO250">
        <f t="shared" si="235"/>
        <v>-0.2113195301651902</v>
      </c>
      <c r="AP250" s="41" t="str">
        <f t="shared" si="236"/>
        <v>0.244680042881653-7.77570780563701i</v>
      </c>
      <c r="AQ250">
        <f t="shared" si="237"/>
        <v>17.819096847409011</v>
      </c>
      <c r="AR250" s="43">
        <f t="shared" si="238"/>
        <v>-88.197654837667685</v>
      </c>
      <c r="AS250" t="str">
        <f t="shared" si="215"/>
        <v>-0.0000166666666666667</v>
      </c>
      <c r="AT250" t="str">
        <f t="shared" si="216"/>
        <v>0.0000446332781558795i</v>
      </c>
      <c r="AU250">
        <f t="shared" si="239"/>
        <v>4.4633278155879499E-5</v>
      </c>
      <c r="AV250">
        <f t="shared" si="240"/>
        <v>1.5707963267948966</v>
      </c>
      <c r="AW250" t="str">
        <f t="shared" si="217"/>
        <v>1+0.0453591480774458i</v>
      </c>
      <c r="AX250">
        <f t="shared" si="241"/>
        <v>1.0010281975620425</v>
      </c>
      <c r="AY250">
        <f t="shared" si="242"/>
        <v>4.5328078328423817E-2</v>
      </c>
      <c r="AZ250" t="str">
        <f t="shared" si="218"/>
        <v>1+1.54221103463316i</v>
      </c>
      <c r="BA250">
        <f t="shared" si="243"/>
        <v>1.8380464834558135</v>
      </c>
      <c r="BB250">
        <f t="shared" si="244"/>
        <v>0.99553284748635462</v>
      </c>
      <c r="BC250" s="41" t="str">
        <f t="shared" si="245"/>
        <v>-0.557796995957955+0.398714652937194i</v>
      </c>
      <c r="BD250">
        <f t="shared" si="246"/>
        <v>-3.2779971316235876</v>
      </c>
      <c r="BE250" s="43">
        <f t="shared" si="247"/>
        <v>144.44272294595217</v>
      </c>
      <c r="BF250" s="41" t="str">
        <f t="shared" si="248"/>
        <v>1.15885840419129-0.149890306816372i</v>
      </c>
      <c r="BG250" s="20">
        <f t="shared" si="249"/>
        <v>1.3526622969115099</v>
      </c>
      <c r="BH250" s="43">
        <f t="shared" si="250"/>
        <v>-7.369895393276729</v>
      </c>
      <c r="BI250" s="41" t="str">
        <f t="shared" si="255"/>
        <v>2.96380684617534+4.43482397380936i</v>
      </c>
      <c r="BJ250" s="20">
        <f t="shared" si="251"/>
        <v>14.541099715785419</v>
      </c>
      <c r="BK250" s="43">
        <f t="shared" si="256"/>
        <v>56.245068108284492</v>
      </c>
      <c r="BL250">
        <f t="shared" si="252"/>
        <v>1.3526622969115099</v>
      </c>
      <c r="BM250" s="43">
        <f t="shared" si="253"/>
        <v>-7.369895393276729</v>
      </c>
    </row>
    <row r="251" spans="14:65" x14ac:dyDescent="0.25">
      <c r="N251" s="9">
        <v>33</v>
      </c>
      <c r="O251" s="34">
        <f t="shared" si="254"/>
        <v>2137.9620895022344</v>
      </c>
      <c r="P251" s="33" t="str">
        <f t="shared" si="206"/>
        <v>16.5157725627975</v>
      </c>
      <c r="Q251" s="4" t="str">
        <f t="shared" si="207"/>
        <v>1+34.7580469239666i</v>
      </c>
      <c r="R251" s="4">
        <f t="shared" si="219"/>
        <v>34.77242910653014</v>
      </c>
      <c r="S251" s="4">
        <f t="shared" si="220"/>
        <v>1.5420339446976166</v>
      </c>
      <c r="T251" s="4" t="str">
        <f t="shared" si="208"/>
        <v>1+0.220976337203709i</v>
      </c>
      <c r="U251" s="4">
        <f t="shared" si="221"/>
        <v>1.0241242803507626</v>
      </c>
      <c r="V251" s="4">
        <f t="shared" si="222"/>
        <v>0.21748137797543607</v>
      </c>
      <c r="W251" t="str">
        <f t="shared" si="209"/>
        <v>1-3.35830299701685i</v>
      </c>
      <c r="X251" s="4">
        <f t="shared" si="223"/>
        <v>3.5040261157377746</v>
      </c>
      <c r="Y251" s="4">
        <f t="shared" si="224"/>
        <v>-1.2813871726141299</v>
      </c>
      <c r="Z251" t="str">
        <f t="shared" si="210"/>
        <v>0.999905560291402+0.0470162419582359i</v>
      </c>
      <c r="AA251" s="4">
        <f t="shared" si="225"/>
        <v>1.0010103178836558</v>
      </c>
      <c r="AB251" s="4">
        <f t="shared" si="226"/>
        <v>4.6986075100748807E-2</v>
      </c>
      <c r="AC251" s="47" t="str">
        <f t="shared" si="227"/>
        <v>-1.50343995281449-0.799344313705156i</v>
      </c>
      <c r="AD251" s="20">
        <f t="shared" si="228"/>
        <v>4.6229061258707231</v>
      </c>
      <c r="AE251" s="43">
        <f t="shared" si="229"/>
        <v>-152.00145252855017</v>
      </c>
      <c r="AF251" t="str">
        <f t="shared" si="211"/>
        <v>247.084651286898</v>
      </c>
      <c r="AG251" t="str">
        <f t="shared" si="212"/>
        <v>1+33.9907964279964i</v>
      </c>
      <c r="AH251">
        <f t="shared" si="230"/>
        <v>34.005503110665671</v>
      </c>
      <c r="AI251">
        <f t="shared" si="231"/>
        <v>1.5413850817526298</v>
      </c>
      <c r="AJ251" t="str">
        <f t="shared" si="213"/>
        <v>1+0.220976337203709i</v>
      </c>
      <c r="AK251">
        <f t="shared" si="232"/>
        <v>1.0241242803507626</v>
      </c>
      <c r="AL251">
        <f t="shared" si="233"/>
        <v>0.21748137797543607</v>
      </c>
      <c r="AM251" t="str">
        <f t="shared" si="214"/>
        <v>1-0.219519175788876i</v>
      </c>
      <c r="AN251">
        <f t="shared" si="234"/>
        <v>1.02381085584156</v>
      </c>
      <c r="AO251">
        <f t="shared" si="235"/>
        <v>-0.21609163204930956</v>
      </c>
      <c r="AP251" s="41" t="str">
        <f t="shared" si="236"/>
        <v>0.234619969745255-7.6148774095009i</v>
      </c>
      <c r="AQ251">
        <f t="shared" si="237"/>
        <v>17.637379129958017</v>
      </c>
      <c r="AR251" s="43">
        <f t="shared" si="238"/>
        <v>-88.235233212690503</v>
      </c>
      <c r="AS251" t="str">
        <f t="shared" si="215"/>
        <v>-0.0000166666666666667</v>
      </c>
      <c r="AT251" t="str">
        <f t="shared" si="216"/>
        <v>0.0000456729207594292i</v>
      </c>
      <c r="AU251">
        <f t="shared" si="239"/>
        <v>4.5672920759429197E-5</v>
      </c>
      <c r="AV251">
        <f t="shared" si="240"/>
        <v>1.5707963267948966</v>
      </c>
      <c r="AW251" t="str">
        <f t="shared" si="217"/>
        <v>1+0.0464156983634752i</v>
      </c>
      <c r="AX251">
        <f t="shared" si="241"/>
        <v>1.0010766289623232</v>
      </c>
      <c r="AY251">
        <f t="shared" si="242"/>
        <v>4.6382408461040296E-2</v>
      </c>
      <c r="AZ251" t="str">
        <f t="shared" si="218"/>
        <v>1+1.57813374435816i</v>
      </c>
      <c r="BA251">
        <f t="shared" si="243"/>
        <v>1.8682896229123327</v>
      </c>
      <c r="BB251">
        <f t="shared" si="244"/>
        <v>1.0059939225449506</v>
      </c>
      <c r="BC251" s="41" t="str">
        <f t="shared" si="245"/>
        <v>-0.5577430255918+0.390801560440416i</v>
      </c>
      <c r="BD251">
        <f t="shared" si="246"/>
        <v>-3.3366631336853998</v>
      </c>
      <c r="BE251" s="43">
        <f t="shared" si="247"/>
        <v>144.98168972916676</v>
      </c>
      <c r="BF251" s="41" t="str">
        <f t="shared" si="248"/>
        <v>1.1509181532035-0.141717963572853i</v>
      </c>
      <c r="BG251" s="20">
        <f t="shared" si="249"/>
        <v>1.2862429921853591</v>
      </c>
      <c r="BH251" s="43">
        <f t="shared" si="250"/>
        <v>-7.0197627993833516</v>
      </c>
      <c r="BI251" s="41" t="str">
        <f t="shared" si="255"/>
        <v>2.84504832240545+4.33883461617261i</v>
      </c>
      <c r="BJ251" s="20">
        <f t="shared" si="251"/>
        <v>14.300715996272622</v>
      </c>
      <c r="BK251" s="43">
        <f t="shared" si="256"/>
        <v>56.746456516476265</v>
      </c>
      <c r="BL251">
        <f t="shared" si="252"/>
        <v>1.2862429921853591</v>
      </c>
      <c r="BM251" s="43">
        <f t="shared" si="253"/>
        <v>-7.0197627993833516</v>
      </c>
    </row>
    <row r="252" spans="14:65" x14ac:dyDescent="0.25">
      <c r="N252" s="9">
        <v>34</v>
      </c>
      <c r="O252" s="34">
        <f t="shared" si="254"/>
        <v>2187.7616239495528</v>
      </c>
      <c r="P252" s="33" t="str">
        <f t="shared" si="206"/>
        <v>16.5157725627975</v>
      </c>
      <c r="Q252" s="4" t="str">
        <f t="shared" si="207"/>
        <v>1+35.5676658426607i</v>
      </c>
      <c r="R252" s="4">
        <f t="shared" si="219"/>
        <v>35.581720777601141</v>
      </c>
      <c r="S252" s="4">
        <f t="shared" si="220"/>
        <v>1.5426883076471041</v>
      </c>
      <c r="T252" s="4" t="str">
        <f t="shared" si="208"/>
        <v>1+0.226123537320424i</v>
      </c>
      <c r="U252" s="4">
        <f t="shared" si="221"/>
        <v>1.0252472161046335</v>
      </c>
      <c r="V252" s="4">
        <f t="shared" si="222"/>
        <v>0.22238358368536562</v>
      </c>
      <c r="W252" t="str">
        <f t="shared" si="209"/>
        <v>1-3.4365279228028i</v>
      </c>
      <c r="X252" s="4">
        <f t="shared" si="223"/>
        <v>3.5790674992521905</v>
      </c>
      <c r="Y252" s="4">
        <f t="shared" si="224"/>
        <v>-1.2876246753997036</v>
      </c>
      <c r="Z252" t="str">
        <f t="shared" si="210"/>
        <v>0.999901109485057+0.0481113909192392i</v>
      </c>
      <c r="AA252" s="4">
        <f t="shared" si="225"/>
        <v>1.001057907758403</v>
      </c>
      <c r="AB252" s="4">
        <f t="shared" si="226"/>
        <v>4.8079068389500011E-2</v>
      </c>
      <c r="AC252" s="47" t="str">
        <f t="shared" si="227"/>
        <v>-1.50473896933925-0.794094861314254i</v>
      </c>
      <c r="AD252" s="20">
        <f t="shared" si="228"/>
        <v>4.6162246679790151</v>
      </c>
      <c r="AE252" s="43">
        <f t="shared" si="229"/>
        <v>-152.17807555313757</v>
      </c>
      <c r="AF252" t="str">
        <f t="shared" si="211"/>
        <v>247.084651286898</v>
      </c>
      <c r="AG252" t="str">
        <f t="shared" si="212"/>
        <v>1+34.7825437868105i</v>
      </c>
      <c r="AH252">
        <f t="shared" si="230"/>
        <v>34.796915844387556</v>
      </c>
      <c r="AI252">
        <f t="shared" si="231"/>
        <v>1.5420541904857359</v>
      </c>
      <c r="AJ252" t="str">
        <f t="shared" si="213"/>
        <v>1+0.226123537320424i</v>
      </c>
      <c r="AK252">
        <f t="shared" si="232"/>
        <v>1.0252472161046335</v>
      </c>
      <c r="AL252">
        <f t="shared" si="233"/>
        <v>0.22238358368536562</v>
      </c>
      <c r="AM252" t="str">
        <f t="shared" si="214"/>
        <v>1-0.224632434256004i</v>
      </c>
      <c r="AN252">
        <f t="shared" si="234"/>
        <v>1.0249193775706351</v>
      </c>
      <c r="AO252">
        <f t="shared" si="235"/>
        <v>-0.22096456045365026</v>
      </c>
      <c r="AP252" s="41" t="str">
        <f t="shared" si="236"/>
        <v>0.225011908978785-7.45805789590335i</v>
      </c>
      <c r="AQ252">
        <f t="shared" si="237"/>
        <v>17.456466364860511</v>
      </c>
      <c r="AR252" s="43">
        <f t="shared" si="238"/>
        <v>-88.271892853087053</v>
      </c>
      <c r="AS252" t="str">
        <f t="shared" si="215"/>
        <v>-0.0000166666666666667</v>
      </c>
      <c r="AT252" t="str">
        <f t="shared" si="216"/>
        <v>0.000046736779750118i</v>
      </c>
      <c r="AU252">
        <f t="shared" si="239"/>
        <v>4.6736779750117998E-5</v>
      </c>
      <c r="AV252">
        <f t="shared" si="240"/>
        <v>1.5707963267948966</v>
      </c>
      <c r="AW252" t="str">
        <f t="shared" si="217"/>
        <v>1+0.0474968588671615i</v>
      </c>
      <c r="AX252">
        <f t="shared" si="241"/>
        <v>1.0011273403529879</v>
      </c>
      <c r="AY252">
        <f t="shared" si="242"/>
        <v>4.7461190263093811E-2</v>
      </c>
      <c r="AZ252" t="str">
        <f t="shared" si="218"/>
        <v>1+1.61489320148349i</v>
      </c>
      <c r="BA252">
        <f t="shared" si="243"/>
        <v>1.8994420370723597</v>
      </c>
      <c r="BB252">
        <f t="shared" si="244"/>
        <v>1.0163526548268333</v>
      </c>
      <c r="BC252" s="41" t="str">
        <f t="shared" si="245"/>
        <v>-0.557686522873375+0.383095440452041i</v>
      </c>
      <c r="BD252">
        <f t="shared" si="246"/>
        <v>-3.3934662489949274</v>
      </c>
      <c r="BE252" s="43">
        <f t="shared" si="247"/>
        <v>145.5133917257514</v>
      </c>
      <c r="BF252" s="41" t="str">
        <f t="shared" si="248"/>
        <v>1.14338676429876-0.133602636186409i</v>
      </c>
      <c r="BG252" s="20">
        <f t="shared" si="249"/>
        <v>1.222758418984095</v>
      </c>
      <c r="BH252" s="43">
        <f t="shared" si="250"/>
        <v>-6.6646838273861926</v>
      </c>
      <c r="BI252" s="41" t="str">
        <f t="shared" si="255"/>
        <v>2.73166186542444+4.24545941173184i</v>
      </c>
      <c r="BJ252" s="20">
        <f t="shared" si="251"/>
        <v>14.063000115865584</v>
      </c>
      <c r="BK252" s="43">
        <f t="shared" si="256"/>
        <v>57.241498872664302</v>
      </c>
      <c r="BL252">
        <f t="shared" si="252"/>
        <v>1.222758418984095</v>
      </c>
      <c r="BM252" s="43">
        <f t="shared" si="253"/>
        <v>-6.6646838273861926</v>
      </c>
    </row>
    <row r="253" spans="14:65" x14ac:dyDescent="0.25">
      <c r="N253" s="9">
        <v>35</v>
      </c>
      <c r="O253" s="34">
        <f t="shared" si="254"/>
        <v>2238.7211385683418</v>
      </c>
      <c r="P253" s="33" t="str">
        <f t="shared" si="206"/>
        <v>16.5157725627975</v>
      </c>
      <c r="Q253" s="4" t="str">
        <f t="shared" si="207"/>
        <v>1+36.3961432085783i</v>
      </c>
      <c r="R253" s="4">
        <f t="shared" si="219"/>
        <v>36.409878336233696</v>
      </c>
      <c r="S253" s="4">
        <f t="shared" si="220"/>
        <v>1.5433277987439746</v>
      </c>
      <c r="T253" s="4" t="str">
        <f t="shared" si="208"/>
        <v>1+0.231390631129726i</v>
      </c>
      <c r="U253" s="4">
        <f t="shared" si="221"/>
        <v>1.0264217574538319</v>
      </c>
      <c r="V253" s="4">
        <f t="shared" si="222"/>
        <v>0.22738874891187871</v>
      </c>
      <c r="W253" t="str">
        <f t="shared" si="209"/>
        <v>1-3.51657494118125i</v>
      </c>
      <c r="X253" s="4">
        <f t="shared" si="223"/>
        <v>3.6559949831672243</v>
      </c>
      <c r="Y253" s="4">
        <f t="shared" si="224"/>
        <v>-1.2937421530090933</v>
      </c>
      <c r="Z253" t="str">
        <f t="shared" si="210"/>
        <v>0.999896448918672+0.0492320491765375i</v>
      </c>
      <c r="AA253" s="4">
        <f t="shared" si="225"/>
        <v>1.0011077380713282</v>
      </c>
      <c r="AB253" s="4">
        <f t="shared" si="226"/>
        <v>4.9197417026645124E-2</v>
      </c>
      <c r="AC253" s="47" t="str">
        <f t="shared" si="227"/>
        <v>-1.50603736991803-0.789262027552987i</v>
      </c>
      <c r="AD253" s="20">
        <f t="shared" si="228"/>
        <v>4.6106057617716738</v>
      </c>
      <c r="AE253" s="43">
        <f t="shared" si="229"/>
        <v>-152.34252315599613</v>
      </c>
      <c r="AF253" t="str">
        <f t="shared" si="211"/>
        <v>247.084651286898</v>
      </c>
      <c r="AG253" t="str">
        <f t="shared" si="212"/>
        <v>1+35.5927333107417i</v>
      </c>
      <c r="AH253">
        <f t="shared" si="230"/>
        <v>35.606778350892426</v>
      </c>
      <c r="AI253">
        <f t="shared" si="231"/>
        <v>1.5427080933207902</v>
      </c>
      <c r="AJ253" t="str">
        <f t="shared" si="213"/>
        <v>1+0.231390631129726i</v>
      </c>
      <c r="AK253">
        <f t="shared" si="232"/>
        <v>1.0264217574538319</v>
      </c>
      <c r="AL253">
        <f t="shared" si="233"/>
        <v>0.22738874891187871</v>
      </c>
      <c r="AM253" t="str">
        <f t="shared" si="214"/>
        <v>1-0.229864795813136i</v>
      </c>
      <c r="AN253">
        <f t="shared" si="234"/>
        <v>1.0260788587405039</v>
      </c>
      <c r="AO253">
        <f t="shared" si="235"/>
        <v>-0.22593997296924903</v>
      </c>
      <c r="AP253" s="41" t="str">
        <f t="shared" si="236"/>
        <v>0.215835583949084-7.30516789134708i</v>
      </c>
      <c r="AQ253">
        <f t="shared" si="237"/>
        <v>17.276393519346893</v>
      </c>
      <c r="AR253" s="43">
        <f t="shared" si="238"/>
        <v>-88.307654020982852</v>
      </c>
      <c r="AS253" t="str">
        <f t="shared" si="215"/>
        <v>-0.0000166666666666667</v>
      </c>
      <c r="AT253" t="str">
        <f t="shared" si="216"/>
        <v>0.0000478254192000649i</v>
      </c>
      <c r="AU253">
        <f t="shared" si="239"/>
        <v>4.7825419200064903E-5</v>
      </c>
      <c r="AV253">
        <f t="shared" si="240"/>
        <v>1.5707963267948966</v>
      </c>
      <c r="AW253" t="str">
        <f t="shared" si="217"/>
        <v>1+0.0486032028341145i</v>
      </c>
      <c r="AX253">
        <f t="shared" si="241"/>
        <v>1.0011804389448158</v>
      </c>
      <c r="AY253">
        <f t="shared" si="242"/>
        <v>4.8564985669630759E-2</v>
      </c>
      <c r="AZ253" t="str">
        <f t="shared" si="218"/>
        <v>1+1.65250889635989i</v>
      </c>
      <c r="BA253">
        <f t="shared" si="243"/>
        <v>1.9315241786083293</v>
      </c>
      <c r="BB253">
        <f t="shared" si="244"/>
        <v>1.0266056441205882</v>
      </c>
      <c r="BC253" s="41" t="str">
        <f t="shared" si="245"/>
        <v>-0.55762736953271+0.375592190308379i</v>
      </c>
      <c r="BD253">
        <f t="shared" si="246"/>
        <v>-3.4484448519080462</v>
      </c>
      <c r="BE253" s="43">
        <f t="shared" si="247"/>
        <v>146.03760192143591</v>
      </c>
      <c r="BF253" s="41" t="str">
        <f t="shared" si="248"/>
        <v>1.13624831066121-0.125541766157358i</v>
      </c>
      <c r="BG253" s="20">
        <f t="shared" si="249"/>
        <v>1.1621609098636225</v>
      </c>
      <c r="BH253" s="43">
        <f t="shared" si="250"/>
        <v>-6.3049212345602248</v>
      </c>
      <c r="BI253" s="41" t="str">
        <f t="shared" si="255"/>
        <v>2.62340817995241+4.15462771496861i</v>
      </c>
      <c r="BJ253" s="20">
        <f t="shared" si="251"/>
        <v>13.827948667438847</v>
      </c>
      <c r="BK253" s="43">
        <f t="shared" si="256"/>
        <v>57.729947900453048</v>
      </c>
      <c r="BL253">
        <f t="shared" si="252"/>
        <v>1.1621609098636225</v>
      </c>
      <c r="BM253" s="43">
        <f t="shared" si="253"/>
        <v>-6.3049212345602248</v>
      </c>
    </row>
    <row r="254" spans="14:65" x14ac:dyDescent="0.25">
      <c r="N254" s="9">
        <v>36</v>
      </c>
      <c r="O254" s="34">
        <f t="shared" si="254"/>
        <v>2290.8676527677749</v>
      </c>
      <c r="P254" s="33" t="str">
        <f t="shared" si="206"/>
        <v>16.5157725627975</v>
      </c>
      <c r="Q254" s="4" t="str">
        <f t="shared" si="207"/>
        <v>1+37.2439182913849i</v>
      </c>
      <c r="R254" s="4">
        <f t="shared" si="219"/>
        <v>37.257340883312573</v>
      </c>
      <c r="S254" s="4">
        <f t="shared" si="220"/>
        <v>1.5439527549615217</v>
      </c>
      <c r="T254" s="4" t="str">
        <f t="shared" si="208"/>
        <v>1+0.23678041131447i</v>
      </c>
      <c r="U254" s="4">
        <f t="shared" si="221"/>
        <v>1.0276502144125936</v>
      </c>
      <c r="V254" s="4">
        <f t="shared" si="222"/>
        <v>0.2324985239069533</v>
      </c>
      <c r="W254" t="str">
        <f t="shared" si="209"/>
        <v>1-3.59848649414088i</v>
      </c>
      <c r="X254" s="4">
        <f t="shared" si="223"/>
        <v>3.7348500704197383</v>
      </c>
      <c r="Y254" s="4">
        <f t="shared" si="224"/>
        <v>-1.2997410167996881</v>
      </c>
      <c r="Z254" t="str">
        <f t="shared" si="210"/>
        <v>0.99989156870656+0.0503788109179722i</v>
      </c>
      <c r="AA254" s="4">
        <f t="shared" si="225"/>
        <v>1.0011599141795351</v>
      </c>
      <c r="AB254" s="4">
        <f t="shared" si="226"/>
        <v>5.0341704217095017E-2</v>
      </c>
      <c r="AC254" s="47" t="str">
        <f t="shared" si="227"/>
        <v>-1.50733788424667-0.78484316892969i</v>
      </c>
      <c r="AD254" s="20">
        <f t="shared" si="228"/>
        <v>4.6060415095239922</v>
      </c>
      <c r="AE254" s="43">
        <f t="shared" si="229"/>
        <v>-152.49483437180129</v>
      </c>
      <c r="AF254" t="str">
        <f t="shared" si="211"/>
        <v>247.084651286898</v>
      </c>
      <c r="AG254" t="str">
        <f t="shared" si="212"/>
        <v>1+36.4217945729997i</v>
      </c>
      <c r="AH254">
        <f t="shared" si="230"/>
        <v>36.435520030840649</v>
      </c>
      <c r="AI254">
        <f t="shared" si="231"/>
        <v>1.543347134727638</v>
      </c>
      <c r="AJ254" t="str">
        <f t="shared" si="213"/>
        <v>1+0.23678041131447i</v>
      </c>
      <c r="AK254">
        <f t="shared" si="232"/>
        <v>1.0276502144125936</v>
      </c>
      <c r="AL254">
        <f t="shared" si="233"/>
        <v>0.2324985239069533</v>
      </c>
      <c r="AM254" t="str">
        <f t="shared" si="214"/>
        <v>1-0.235219034727629i</v>
      </c>
      <c r="AN254">
        <f t="shared" si="234"/>
        <v>1.0272915819270581</v>
      </c>
      <c r="AO254">
        <f t="shared" si="235"/>
        <v>-0.23101952186172997</v>
      </c>
      <c r="AP254" s="41" t="str">
        <f t="shared" si="236"/>
        <v>0.207071624712861-7.15612798770198i</v>
      </c>
      <c r="AQ254">
        <f t="shared" si="237"/>
        <v>17.097196845612</v>
      </c>
      <c r="AR254" s="43">
        <f t="shared" si="238"/>
        <v>-88.34253656841959</v>
      </c>
      <c r="AS254" t="str">
        <f t="shared" si="215"/>
        <v>-0.0000166666666666667</v>
      </c>
      <c r="AT254" t="str">
        <f t="shared" si="216"/>
        <v>0.0000489394163203158i</v>
      </c>
      <c r="AU254">
        <f t="shared" si="239"/>
        <v>4.89394163203158E-5</v>
      </c>
      <c r="AV254">
        <f t="shared" si="240"/>
        <v>1.5707963267948966</v>
      </c>
      <c r="AW254" t="str">
        <f t="shared" si="217"/>
        <v>1+0.0497353168625494i</v>
      </c>
      <c r="AX254">
        <f t="shared" si="241"/>
        <v>1.0012360369780036</v>
      </c>
      <c r="AY254">
        <f t="shared" si="242"/>
        <v>4.9694369162871295E-2</v>
      </c>
      <c r="AZ254" t="str">
        <f t="shared" si="218"/>
        <v>1+1.69100077332668i</v>
      </c>
      <c r="BA254">
        <f t="shared" si="243"/>
        <v>1.9645568496206545</v>
      </c>
      <c r="BB254">
        <f t="shared" si="244"/>
        <v>1.0367497036121367</v>
      </c>
      <c r="BC254" s="41" t="str">
        <f t="shared" si="245"/>
        <v>-0.557565441829225+0.368287813719489i</v>
      </c>
      <c r="BD254">
        <f t="shared" si="246"/>
        <v>-3.5016381511656016</v>
      </c>
      <c r="BE254" s="43">
        <f t="shared" si="247"/>
        <v>146.55410480981683</v>
      </c>
      <c r="BF254" s="41" t="str">
        <f t="shared" si="248"/>
        <v>1.12948768821371-0.117532745674835i</v>
      </c>
      <c r="BG254" s="20">
        <f t="shared" si="249"/>
        <v>1.1044033583583528</v>
      </c>
      <c r="BH254" s="43">
        <f t="shared" si="250"/>
        <v>-5.9407295619844724</v>
      </c>
      <c r="BI254" s="41" t="str">
        <f t="shared" si="255"/>
        <v>2.52005874936429+4.06627161919838i</v>
      </c>
      <c r="BJ254" s="20">
        <f t="shared" si="251"/>
        <v>13.595558694446401</v>
      </c>
      <c r="BK254" s="43">
        <f t="shared" si="256"/>
        <v>58.211568241397238</v>
      </c>
      <c r="BL254">
        <f t="shared" si="252"/>
        <v>1.1044033583583528</v>
      </c>
      <c r="BM254" s="43">
        <f t="shared" si="253"/>
        <v>-5.9407295619844724</v>
      </c>
    </row>
    <row r="255" spans="14:65" x14ac:dyDescent="0.25">
      <c r="N255" s="9">
        <v>37</v>
      </c>
      <c r="O255" s="34">
        <f t="shared" si="254"/>
        <v>2344.2288153199238</v>
      </c>
      <c r="P255" s="33" t="str">
        <f t="shared" si="206"/>
        <v>16.5157725627975</v>
      </c>
      <c r="Q255" s="4" t="str">
        <f t="shared" si="207"/>
        <v>1+38.1114405926512i</v>
      </c>
      <c r="R255" s="4">
        <f t="shared" si="219"/>
        <v>38.124557755430835</v>
      </c>
      <c r="S255" s="4">
        <f t="shared" si="220"/>
        <v>1.5445635057059719</v>
      </c>
      <c r="T255" s="4" t="str">
        <f t="shared" si="208"/>
        <v>1+0.242295735607452i</v>
      </c>
      <c r="U255" s="4">
        <f t="shared" si="221"/>
        <v>1.0289349947851691</v>
      </c>
      <c r="V255" s="4">
        <f t="shared" si="222"/>
        <v>0.23771455014555143</v>
      </c>
      <c r="W255" t="str">
        <f t="shared" si="209"/>
        <v>1-3.6823060122713i</v>
      </c>
      <c r="X255" s="4">
        <f t="shared" si="223"/>
        <v>3.8156752440438857</v>
      </c>
      <c r="Y255" s="4">
        <f t="shared" si="224"/>
        <v>-1.3056227197487724</v>
      </c>
      <c r="Z255" t="str">
        <f t="shared" si="210"/>
        <v>0.999886458497137+0.0515522841717982i</v>
      </c>
      <c r="AA255" s="4">
        <f t="shared" si="225"/>
        <v>1.0012145463831801</v>
      </c>
      <c r="AB255" s="4">
        <f t="shared" si="226"/>
        <v>5.1512526224006809E-2</v>
      </c>
      <c r="AC255" s="47" t="str">
        <f t="shared" si="227"/>
        <v>-1.50864324531943-0.780835840151269i</v>
      </c>
      <c r="AD255" s="20">
        <f t="shared" si="228"/>
        <v>4.6025254160402076</v>
      </c>
      <c r="AE255" s="43">
        <f t="shared" si="229"/>
        <v>-152.63505143738078</v>
      </c>
      <c r="AF255" t="str">
        <f t="shared" si="211"/>
        <v>247.084651286898</v>
      </c>
      <c r="AG255" t="str">
        <f t="shared" si="212"/>
        <v>1+37.2701671528398i</v>
      </c>
      <c r="AH255">
        <f t="shared" si="230"/>
        <v>37.283580294824397</v>
      </c>
      <c r="AI255">
        <f t="shared" si="231"/>
        <v>1.5439716514455541</v>
      </c>
      <c r="AJ255" t="str">
        <f t="shared" si="213"/>
        <v>1+0.242295735607452i</v>
      </c>
      <c r="AK255">
        <f t="shared" si="232"/>
        <v>1.0289349947851691</v>
      </c>
      <c r="AL255">
        <f t="shared" si="233"/>
        <v>0.23771455014555143</v>
      </c>
      <c r="AM255" t="str">
        <f t="shared" si="214"/>
        <v>1-0.240697989887826i</v>
      </c>
      <c r="AN255">
        <f t="shared" si="234"/>
        <v>1.0285599264680887</v>
      </c>
      <c r="AO255">
        <f t="shared" si="235"/>
        <v>-0.23620485141543623</v>
      </c>
      <c r="AP255" s="41" t="str">
        <f t="shared" si="236"/>
        <v>0.198701527727538-7.01086070795105i</v>
      </c>
      <c r="AQ255">
        <f t="shared" si="237"/>
        <v>16.918913914726083</v>
      </c>
      <c r="AR255" s="43">
        <f t="shared" si="238"/>
        <v>-88.376559950102205</v>
      </c>
      <c r="AS255" t="str">
        <f t="shared" si="215"/>
        <v>-0.0000166666666666667</v>
      </c>
      <c r="AT255" t="str">
        <f t="shared" si="216"/>
        <v>0.0000500793617668895i</v>
      </c>
      <c r="AU255">
        <f t="shared" si="239"/>
        <v>5.0079361766889502E-5</v>
      </c>
      <c r="AV255">
        <f t="shared" si="240"/>
        <v>1.5707963267948966</v>
      </c>
      <c r="AW255" t="str">
        <f t="shared" si="217"/>
        <v>1+0.0508938012143097i</v>
      </c>
      <c r="AX255">
        <f t="shared" si="241"/>
        <v>1.0012942519569568</v>
      </c>
      <c r="AY255">
        <f t="shared" si="242"/>
        <v>5.0849928026052746E-2</v>
      </c>
      <c r="AZ255" t="str">
        <f t="shared" si="218"/>
        <v>1+1.73038924128653i</v>
      </c>
      <c r="BA255">
        <f t="shared" si="243"/>
        <v>1.9985612140638009</v>
      </c>
      <c r="BB255">
        <f t="shared" si="244"/>
        <v>1.0467818605691335</v>
      </c>
      <c r="BC255" s="41" t="str">
        <f t="shared" si="245"/>
        <v>-0.55750061030377+0.361178418566262i</v>
      </c>
      <c r="BD255">
        <f t="shared" si="246"/>
        <v>-3.5530860801119282</v>
      </c>
      <c r="BE255" s="43">
        <f t="shared" si="247"/>
        <v>147.06269641702639</v>
      </c>
      <c r="BF255" s="41" t="str">
        <f t="shared" si="248"/>
        <v>1.12309058390194-0.109572924093756i</v>
      </c>
      <c r="BG255" s="20">
        <f t="shared" si="249"/>
        <v>1.049439335928309</v>
      </c>
      <c r="BH255" s="43">
        <f t="shared" si="250"/>
        <v>-5.5723550203544088</v>
      </c>
      <c r="BI255" s="41" t="str">
        <f t="shared" si="255"/>
        <v>2.42139536030971+3.98032582698876i</v>
      </c>
      <c r="BJ255" s="20">
        <f t="shared" si="251"/>
        <v>13.36582783461415</v>
      </c>
      <c r="BK255" s="43">
        <f t="shared" si="256"/>
        <v>58.686136466924168</v>
      </c>
      <c r="BL255">
        <f t="shared" si="252"/>
        <v>1.049439335928309</v>
      </c>
      <c r="BM255" s="43">
        <f t="shared" si="253"/>
        <v>-5.5723550203544088</v>
      </c>
    </row>
    <row r="256" spans="14:65" x14ac:dyDescent="0.25">
      <c r="N256" s="9">
        <v>38</v>
      </c>
      <c r="O256" s="34">
        <f t="shared" si="254"/>
        <v>2398.8329190194918</v>
      </c>
      <c r="P256" s="33" t="str">
        <f t="shared" si="206"/>
        <v>16.5157725627975</v>
      </c>
      <c r="Q256" s="4" t="str">
        <f t="shared" si="207"/>
        <v>1+38.9991700841842i</v>
      </c>
      <c r="R256" s="4">
        <f t="shared" si="219"/>
        <v>39.011988763137005</v>
      </c>
      <c r="S256" s="4">
        <f t="shared" si="220"/>
        <v>1.5451603729818493</v>
      </c>
      <c r="T256" s="4" t="str">
        <f t="shared" si="208"/>
        <v>1+0.247939528306615i</v>
      </c>
      <c r="U256" s="4">
        <f t="shared" si="221"/>
        <v>1.0302786078032031</v>
      </c>
      <c r="V256" s="4">
        <f t="shared" si="222"/>
        <v>0.24303845743968278</v>
      </c>
      <c r="W256" t="str">
        <f t="shared" si="209"/>
        <v>1-3.7680779377905i</v>
      </c>
      <c r="X256" s="4">
        <f t="shared" si="223"/>
        <v>3.898513991928656</v>
      </c>
      <c r="Y256" s="4">
        <f t="shared" si="224"/>
        <v>-1.3113887519664367</v>
      </c>
      <c r="Z256" t="str">
        <f t="shared" si="210"/>
        <v>0.999881107450963+0.052753091129067i</v>
      </c>
      <c r="AA256" s="4">
        <f t="shared" si="225"/>
        <v>1.001271750156288</v>
      </c>
      <c r="AB256" s="4">
        <f t="shared" si="226"/>
        <v>5.271049263563115E-2</v>
      </c>
      <c r="AC256" s="47" t="str">
        <f t="shared" si="227"/>
        <v>-1.50995619501097-0.777237792354668i</v>
      </c>
      <c r="AD256" s="20">
        <f t="shared" si="228"/>
        <v>4.6000523939245213</v>
      </c>
      <c r="AE256" s="43">
        <f t="shared" si="229"/>
        <v>-152.7632197247386</v>
      </c>
      <c r="AF256" t="str">
        <f t="shared" si="211"/>
        <v>247.084651286898</v>
      </c>
      <c r="AG256" t="str">
        <f t="shared" si="212"/>
        <v>1+38.1383008686333i</v>
      </c>
      <c r="AH256">
        <f t="shared" si="230"/>
        <v>38.151408796352399</v>
      </c>
      <c r="AI256">
        <f t="shared" si="231"/>
        <v>1.5445819726518559</v>
      </c>
      <c r="AJ256" t="str">
        <f t="shared" si="213"/>
        <v>1+0.247939528306615i</v>
      </c>
      <c r="AK256">
        <f t="shared" si="232"/>
        <v>1.0302786078032031</v>
      </c>
      <c r="AL256">
        <f t="shared" si="233"/>
        <v>0.24303845743968278</v>
      </c>
      <c r="AM256" t="str">
        <f t="shared" si="214"/>
        <v>1-0.246304566308276i</v>
      </c>
      <c r="AN256">
        <f t="shared" si="234"/>
        <v>1.029886372074273</v>
      </c>
      <c r="AO256">
        <f t="shared" si="235"/>
        <v>-0.24149759509971605</v>
      </c>
      <c r="AP256" s="41" t="str">
        <f t="shared" si="236"/>
        <v>0.190707617329873-6.86929047243998i</v>
      </c>
      <c r="AQ256">
        <f t="shared" si="237"/>
        <v>16.741583649863937</v>
      </c>
      <c r="AR256" s="43">
        <f t="shared" si="238"/>
        <v>-88.409743236051753</v>
      </c>
      <c r="AS256" t="str">
        <f t="shared" si="215"/>
        <v>-0.0000166666666666667</v>
      </c>
      <c r="AT256" t="str">
        <f t="shared" si="216"/>
        <v>0.0000512458599539508i</v>
      </c>
      <c r="AU256">
        <f t="shared" si="239"/>
        <v>5.1245859953950797E-5</v>
      </c>
      <c r="AV256">
        <f t="shared" si="240"/>
        <v>1.5707963267948966</v>
      </c>
      <c r="AW256" t="str">
        <f t="shared" si="217"/>
        <v>1+0.0520792701331327i</v>
      </c>
      <c r="AX256">
        <f t="shared" si="241"/>
        <v>1.0013552068959346</v>
      </c>
      <c r="AY256">
        <f t="shared" si="242"/>
        <v>5.2032262600477754E-2</v>
      </c>
      <c r="AZ256" t="str">
        <f t="shared" si="218"/>
        <v>1+1.77069518452651i</v>
      </c>
      <c r="BA256">
        <f t="shared" si="243"/>
        <v>2.0335588106827327</v>
      </c>
      <c r="BB256">
        <f t="shared" si="244"/>
        <v>1.0566993561745228</v>
      </c>
      <c r="BC256" s="41" t="str">
        <f t="shared" si="245"/>
        <v>-0.557432739519951+0.354260214746897i</v>
      </c>
      <c r="BD256">
        <f t="shared" si="246"/>
        <v>-3.6028291891590909</v>
      </c>
      <c r="BE256" s="43">
        <f t="shared" si="247"/>
        <v>147.56318427746777</v>
      </c>
      <c r="BF256" s="41" t="str">
        <f t="shared" si="248"/>
        <v>1.11704344556906-0.101659614052292i</v>
      </c>
      <c r="BG256" s="20">
        <f t="shared" si="249"/>
        <v>0.99722320476546666</v>
      </c>
      <c r="BH256" s="43">
        <f t="shared" si="250"/>
        <v>-5.2000354472708041</v>
      </c>
      <c r="BI256" s="41" t="str">
        <f t="shared" si="255"/>
        <v>2.32720964834989+3.89672752807967i</v>
      </c>
      <c r="BJ256" s="20">
        <f t="shared" si="251"/>
        <v>13.138754460704856</v>
      </c>
      <c r="BK256" s="43">
        <f t="shared" si="256"/>
        <v>59.153441041416031</v>
      </c>
      <c r="BL256">
        <f t="shared" si="252"/>
        <v>0.99722320476546666</v>
      </c>
      <c r="BM256" s="43">
        <f t="shared" si="253"/>
        <v>-5.2000354472708041</v>
      </c>
    </row>
    <row r="257" spans="14:65" x14ac:dyDescent="0.25">
      <c r="N257" s="9">
        <v>39</v>
      </c>
      <c r="O257" s="34">
        <f t="shared" si="254"/>
        <v>2454.7089156850338</v>
      </c>
      <c r="P257" s="33" t="str">
        <f t="shared" si="206"/>
        <v>16.5157725627975</v>
      </c>
      <c r="Q257" s="4" t="str">
        <f t="shared" si="207"/>
        <v>1+39.9075774519108i</v>
      </c>
      <c r="R257" s="4">
        <f t="shared" si="219"/>
        <v>39.92010443473638</v>
      </c>
      <c r="S257" s="4">
        <f t="shared" si="220"/>
        <v>1.5457436715540356</v>
      </c>
      <c r="T257" s="4" t="str">
        <f t="shared" si="208"/>
        <v>1+0.253714781825554i</v>
      </c>
      <c r="U257" s="4">
        <f t="shared" si="221"/>
        <v>1.0316836678540513</v>
      </c>
      <c r="V257" s="4">
        <f t="shared" si="222"/>
        <v>0.24847186086698955</v>
      </c>
      <c r="W257" t="str">
        <f t="shared" si="209"/>
        <v>1-3.85584774810873i</v>
      </c>
      <c r="X257" s="4">
        <f t="shared" si="223"/>
        <v>3.9834108320125812</v>
      </c>
      <c r="Y257" s="4">
        <f t="shared" si="224"/>
        <v>-1.3170406364212799</v>
      </c>
      <c r="Z257" t="str">
        <f t="shared" si="210"/>
        <v>0.999875504217753+0.0539818684735221i</v>
      </c>
      <c r="AA257" s="4">
        <f t="shared" si="225"/>
        <v>1.0013316463882476</v>
      </c>
      <c r="AB257" s="4">
        <f t="shared" si="226"/>
        <v>5.3936226635748617E-2</v>
      </c>
      <c r="AC257" s="47" t="str">
        <f t="shared" si="227"/>
        <v>-1.51127948966565-0.774046971341373i</v>
      </c>
      <c r="AD257" s="20">
        <f t="shared" si="228"/>
        <v>4.5986187670217031</v>
      </c>
      <c r="AE257" s="43">
        <f t="shared" si="229"/>
        <v>-152.87938769691485</v>
      </c>
      <c r="AF257" t="str">
        <f t="shared" si="211"/>
        <v>247.084651286898</v>
      </c>
      <c r="AG257" t="str">
        <f t="shared" si="212"/>
        <v>1+39.0266560163673i</v>
      </c>
      <c r="AH257">
        <f t="shared" si="230"/>
        <v>39.039465670265756</v>
      </c>
      <c r="AI257">
        <f t="shared" si="231"/>
        <v>1.5451784201271652</v>
      </c>
      <c r="AJ257" t="str">
        <f t="shared" si="213"/>
        <v>1+0.253714781825554i</v>
      </c>
      <c r="AK257">
        <f t="shared" si="232"/>
        <v>1.0316836678540513</v>
      </c>
      <c r="AL257">
        <f t="shared" si="233"/>
        <v>0.24847186086698955</v>
      </c>
      <c r="AM257" t="str">
        <f t="shared" si="214"/>
        <v>1-0.252041736670008i</v>
      </c>
      <c r="AN257">
        <f t="shared" si="234"/>
        <v>1.0312735025315223</v>
      </c>
      <c r="AO257">
        <f t="shared" si="235"/>
        <v>-0.24689937255138264</v>
      </c>
      <c r="AP257" s="41" t="str">
        <f t="shared" si="236"/>
        <v>0.183073008906936-6.73134356564703i</v>
      </c>
      <c r="AQ257">
        <f t="shared" si="237"/>
        <v>16.565246358673654</v>
      </c>
      <c r="AR257" s="43">
        <f t="shared" si="238"/>
        <v>-88.442105124161046</v>
      </c>
      <c r="AS257" t="str">
        <f t="shared" si="215"/>
        <v>-0.0000166666666666667</v>
      </c>
      <c r="AT257" t="str">
        <f t="shared" si="216"/>
        <v>0.0000524395293742788i</v>
      </c>
      <c r="AU257">
        <f t="shared" si="239"/>
        <v>5.2439529374278798E-5</v>
      </c>
      <c r="AV257">
        <f t="shared" si="240"/>
        <v>1.5707963267948966</v>
      </c>
      <c r="AW257" t="str">
        <f t="shared" si="217"/>
        <v>1+0.0532923521703309i</v>
      </c>
      <c r="AX257">
        <f t="shared" si="241"/>
        <v>1.0014190305760353</v>
      </c>
      <c r="AY257">
        <f t="shared" si="242"/>
        <v>5.3241986545657781E-2</v>
      </c>
      <c r="AZ257" t="str">
        <f t="shared" si="218"/>
        <v>1+1.81193997379125i</v>
      </c>
      <c r="BA257">
        <f t="shared" si="243"/>
        <v>2.0695715664413821</v>
      </c>
      <c r="BB257">
        <f t="shared" si="244"/>
        <v>1.0664996445530306</v>
      </c>
      <c r="BC257" s="41" t="str">
        <f t="shared" si="245"/>
        <v>-0.557361687794294+0.347529512071174i</v>
      </c>
      <c r="BD257">
        <f t="shared" si="246"/>
        <v>-3.6509085410114572</v>
      </c>
      <c r="BE257" s="43">
        <f t="shared" si="247"/>
        <v>148.05538736313258</v>
      </c>
      <c r="BF257" s="41" t="str">
        <f t="shared" si="248"/>
        <v>1.11133345335938-0.0937900972677871i</v>
      </c>
      <c r="BG257" s="20">
        <f t="shared" si="249"/>
        <v>0.9477102260102187</v>
      </c>
      <c r="BH257" s="43">
        <f t="shared" si="250"/>
        <v>-4.8240003337822861</v>
      </c>
      <c r="BI257" s="41" t="str">
        <f t="shared" si="255"/>
        <v>2.2373026637188+3.81541628433112i</v>
      </c>
      <c r="BJ257" s="20">
        <f t="shared" si="251"/>
        <v>12.914337817662201</v>
      </c>
      <c r="BK257" s="43">
        <f t="shared" si="256"/>
        <v>59.613282238971543</v>
      </c>
      <c r="BL257">
        <f t="shared" si="252"/>
        <v>0.9477102260102187</v>
      </c>
      <c r="BM257" s="43">
        <f t="shared" si="253"/>
        <v>-4.8240003337822861</v>
      </c>
    </row>
    <row r="258" spans="14:65" x14ac:dyDescent="0.25">
      <c r="N258" s="9">
        <v>40</v>
      </c>
      <c r="O258" s="34">
        <f t="shared" si="254"/>
        <v>2511.8864315095811</v>
      </c>
      <c r="P258" s="33" t="str">
        <f t="shared" si="206"/>
        <v>16.5157725627975</v>
      </c>
      <c r="Q258" s="4" t="str">
        <f t="shared" si="207"/>
        <v>1+40.8371443454419i</v>
      </c>
      <c r="R258" s="4">
        <f t="shared" si="219"/>
        <v>40.849386265774633</v>
      </c>
      <c r="S258" s="4">
        <f t="shared" si="220"/>
        <v>1.5463137091065662</v>
      </c>
      <c r="T258" s="4" t="str">
        <f t="shared" si="208"/>
        <v>1+0.259624558280131i</v>
      </c>
      <c r="U258" s="4">
        <f t="shared" si="221"/>
        <v>1.0331528982982883</v>
      </c>
      <c r="V258" s="4">
        <f t="shared" si="222"/>
        <v>0.2540163575082745</v>
      </c>
      <c r="W258" t="str">
        <f t="shared" si="209"/>
        <v>1-3.9456619799412i</v>
      </c>
      <c r="X258" s="4">
        <f t="shared" si="223"/>
        <v>4.0704113379305422</v>
      </c>
      <c r="Y258" s="4">
        <f t="shared" si="224"/>
        <v>-1.3225799248771006</v>
      </c>
      <c r="Z258" t="str">
        <f t="shared" si="210"/>
        <v>0.999869636912297+0.0552392677191768i</v>
      </c>
      <c r="AA258" s="4">
        <f t="shared" si="225"/>
        <v>1.0013943616364531</v>
      </c>
      <c r="AB258" s="4">
        <f t="shared" si="226"/>
        <v>5.5190365277591552E-2</v>
      </c>
      <c r="AC258" s="47" t="str">
        <f t="shared" si="227"/>
        <v>-1.51261590570399-0.771261515811478i</v>
      </c>
      <c r="AD258" s="20">
        <f t="shared" si="228"/>
        <v>4.5982222720730812</v>
      </c>
      <c r="AE258" s="43">
        <f t="shared" si="229"/>
        <v>-152.98360688689465</v>
      </c>
      <c r="AF258" t="str">
        <f t="shared" si="211"/>
        <v>247.084651286898</v>
      </c>
      <c r="AG258" t="str">
        <f t="shared" si="212"/>
        <v>1+39.9357036137004i</v>
      </c>
      <c r="AH258">
        <f t="shared" si="230"/>
        <v>39.948221776711456</v>
      </c>
      <c r="AI258">
        <f t="shared" si="231"/>
        <v>1.5457613084173696</v>
      </c>
      <c r="AJ258" t="str">
        <f t="shared" si="213"/>
        <v>1+0.259624558280131i</v>
      </c>
      <c r="AK258">
        <f t="shared" si="232"/>
        <v>1.0331528982982883</v>
      </c>
      <c r="AL258">
        <f t="shared" si="233"/>
        <v>0.2540163575082745</v>
      </c>
      <c r="AM258" t="str">
        <f t="shared" si="214"/>
        <v>1-0.257912542896691i</v>
      </c>
      <c r="AN258">
        <f t="shared" si="234"/>
        <v>1.0327240094930676</v>
      </c>
      <c r="AO258">
        <f t="shared" si="235"/>
        <v>-0.25241178636769229</v>
      </c>
      <c r="AP258" s="41" t="str">
        <f t="shared" si="236"/>
        <v>0.175781573686708-6.59694810348714i</v>
      </c>
      <c r="AQ258">
        <f t="shared" si="237"/>
        <v>16.389943764590427</v>
      </c>
      <c r="AR258" s="43">
        <f t="shared" si="238"/>
        <v>-88.473663952651407</v>
      </c>
      <c r="AS258" t="str">
        <f t="shared" si="215"/>
        <v>-0.0000166666666666667</v>
      </c>
      <c r="AT258" t="str">
        <f t="shared" si="216"/>
        <v>0.0000536610029272002i</v>
      </c>
      <c r="AU258">
        <f t="shared" si="239"/>
        <v>5.3661002927200203E-5</v>
      </c>
      <c r="AV258">
        <f t="shared" si="240"/>
        <v>1.5707963267948966</v>
      </c>
      <c r="AW258" t="str">
        <f t="shared" si="217"/>
        <v>1+0.0545336905180579i</v>
      </c>
      <c r="AX258">
        <f t="shared" si="241"/>
        <v>1.001485857814038</v>
      </c>
      <c r="AY258">
        <f t="shared" si="242"/>
        <v>5.4479727102418656E-2</v>
      </c>
      <c r="AZ258" t="str">
        <f t="shared" si="218"/>
        <v>1+1.85414547761397i</v>
      </c>
      <c r="BA258">
        <f t="shared" si="243"/>
        <v>2.1066218104245333</v>
      </c>
      <c r="BB258">
        <f t="shared" si="244"/>
        <v>1.076180391038043</v>
      </c>
      <c r="BC258" s="41" t="str">
        <f t="shared" si="245"/>
        <v>-0.557287306914799+0.340982718200999i</v>
      </c>
      <c r="BD258">
        <f t="shared" si="246"/>
        <v>-3.6973656091132758</v>
      </c>
      <c r="BE258" s="43">
        <f t="shared" si="247"/>
        <v>148.53913596922533</v>
      </c>
      <c r="BF258" s="41" t="str">
        <f t="shared" si="248"/>
        <v>1.10594849259149-0.0859616300474083i</v>
      </c>
      <c r="BG258" s="20">
        <f t="shared" si="249"/>
        <v>0.90085666295982891</v>
      </c>
      <c r="BH258" s="43">
        <f t="shared" si="250"/>
        <v>-4.4444709176692934</v>
      </c>
      <c r="BI258" s="41" t="str">
        <f t="shared" si="255"/>
        <v>2.15148445635286+3.73633392125438i</v>
      </c>
      <c r="BJ258" s="20">
        <f t="shared" si="251"/>
        <v>12.692578155477147</v>
      </c>
      <c r="BK258" s="43">
        <f t="shared" si="256"/>
        <v>60.065472016573935</v>
      </c>
      <c r="BL258">
        <f t="shared" si="252"/>
        <v>0.90085666295982891</v>
      </c>
      <c r="BM258" s="43">
        <f t="shared" si="253"/>
        <v>-4.4444709176692934</v>
      </c>
    </row>
    <row r="259" spans="14:65" x14ac:dyDescent="0.25">
      <c r="N259" s="9">
        <v>41</v>
      </c>
      <c r="O259" s="34">
        <f t="shared" si="254"/>
        <v>2570.3957827688669</v>
      </c>
      <c r="P259" s="33" t="str">
        <f t="shared" si="206"/>
        <v>16.5157725627975</v>
      </c>
      <c r="Q259" s="4" t="str">
        <f t="shared" si="207"/>
        <v>1+41.7883636334482i</v>
      </c>
      <c r="R259" s="4">
        <f t="shared" si="219"/>
        <v>41.800326974334737</v>
      </c>
      <c r="S259" s="4">
        <f t="shared" si="220"/>
        <v>1.5468707863982112</v>
      </c>
      <c r="T259" s="4" t="str">
        <f t="shared" si="208"/>
        <v>1+0.265671991112044i</v>
      </c>
      <c r="U259" s="4">
        <f t="shared" si="221"/>
        <v>1.0346891353742138</v>
      </c>
      <c r="V259" s="4">
        <f t="shared" si="222"/>
        <v>0.25967352298880275</v>
      </c>
      <c r="W259" t="str">
        <f t="shared" si="209"/>
        <v>1-4.03756825398243i</v>
      </c>
      <c r="X259" s="4">
        <f t="shared" si="223"/>
        <v>4.1595621651282881</v>
      </c>
      <c r="Y259" s="4">
        <f t="shared" si="224"/>
        <v>-1.328008194037902</v>
      </c>
      <c r="Z259" t="str">
        <f t="shared" si="210"/>
        <v>0.999863493089255+0.0565259555557539i</v>
      </c>
      <c r="AA259" s="4">
        <f t="shared" si="225"/>
        <v>1.0014600283906181</v>
      </c>
      <c r="AB259" s="4">
        <f t="shared" si="226"/>
        <v>5.6473559761136168E-2</v>
      </c>
      <c r="AC259" s="47" t="str">
        <f t="shared" si="227"/>
        <v>-1.51396824525618-0.768879755593457i</v>
      </c>
      <c r="AD259" s="20">
        <f t="shared" si="228"/>
        <v>4.5988620586179101</v>
      </c>
      <c r="AE259" s="43">
        <f t="shared" si="229"/>
        <v>-153.0759318997037</v>
      </c>
      <c r="AF259" t="str">
        <f t="shared" si="211"/>
        <v>247.084651286898</v>
      </c>
      <c r="AG259" t="str">
        <f t="shared" si="212"/>
        <v>1+40.8659256497007i</v>
      </c>
      <c r="AH259">
        <f t="shared" si="230"/>
        <v>40.878158950799943</v>
      </c>
      <c r="AI259">
        <f t="shared" si="231"/>
        <v>1.5463309449923164</v>
      </c>
      <c r="AJ259" t="str">
        <f t="shared" si="213"/>
        <v>1+0.265671991112044i</v>
      </c>
      <c r="AK259">
        <f t="shared" si="232"/>
        <v>1.0346891353742138</v>
      </c>
      <c r="AL259">
        <f t="shared" si="233"/>
        <v>0.25967352298880275</v>
      </c>
      <c r="AM259" t="str">
        <f t="shared" si="214"/>
        <v>1-0.263920097767493i</v>
      </c>
      <c r="AN259">
        <f t="shared" si="234"/>
        <v>1.0342406963592194</v>
      </c>
      <c r="AO259">
        <f t="shared" si="235"/>
        <v>-0.25803641870452665</v>
      </c>
      <c r="AP259" s="41" t="str">
        <f t="shared" si="236"/>
        <v>0.168817905078936-6.46603400116381i</v>
      </c>
      <c r="AQ259">
        <f t="shared" si="237"/>
        <v>16.215719036886803</v>
      </c>
      <c r="AR259" s="43">
        <f t="shared" si="238"/>
        <v>-88.504437712424178</v>
      </c>
      <c r="AS259" t="str">
        <f t="shared" si="215"/>
        <v>-0.0000166666666666667</v>
      </c>
      <c r="AT259" t="str">
        <f t="shared" si="216"/>
        <v>0.000054910928254161i</v>
      </c>
      <c r="AU259">
        <f t="shared" si="239"/>
        <v>5.4910928254160997E-5</v>
      </c>
      <c r="AV259">
        <f t="shared" si="240"/>
        <v>1.5707963267948966</v>
      </c>
      <c r="AW259" t="str">
        <f t="shared" si="217"/>
        <v>1+0.0558039433503359i</v>
      </c>
      <c r="AX259">
        <f t="shared" si="241"/>
        <v>1.0015558297436282</v>
      </c>
      <c r="AY259">
        <f t="shared" si="242"/>
        <v>5.5746125358822479E-2</v>
      </c>
      <c r="AZ259" t="str">
        <f t="shared" si="218"/>
        <v>1+1.89733407391142i</v>
      </c>
      <c r="BA259">
        <f t="shared" si="243"/>
        <v>2.1447322881948008</v>
      </c>
      <c r="BB259">
        <f t="shared" si="244"/>
        <v>1.0857394697293528</v>
      </c>
      <c r="BC259" s="41" t="str">
        <f t="shared" si="245"/>
        <v>-0.557209441847463+0.334616336635672i</v>
      </c>
      <c r="BD259">
        <f t="shared" si="246"/>
        <v>-3.7422421797292085</v>
      </c>
      <c r="BE259" s="43">
        <f t="shared" si="247"/>
        <v>149.0142715589962</v>
      </c>
      <c r="BF259" s="41" t="str">
        <f t="shared" si="248"/>
        <v>1.10087712804399-0.0781714485483156i</v>
      </c>
      <c r="BG259" s="20">
        <f t="shared" si="249"/>
        <v>0.85661987888868263</v>
      </c>
      <c r="BH259" s="43">
        <f t="shared" si="250"/>
        <v>-4.0616603407075367</v>
      </c>
      <c r="BI259" s="41" t="str">
        <f t="shared" si="255"/>
        <v>2.06957367936824+3.65942442571123i</v>
      </c>
      <c r="BJ259" s="20">
        <f t="shared" si="251"/>
        <v>12.473476857157602</v>
      </c>
      <c r="BK259" s="43">
        <f t="shared" si="256"/>
        <v>60.509833846572008</v>
      </c>
      <c r="BL259">
        <f t="shared" si="252"/>
        <v>0.85661987888868263</v>
      </c>
      <c r="BM259" s="43">
        <f t="shared" si="253"/>
        <v>-4.0616603407075367</v>
      </c>
    </row>
    <row r="260" spans="14:65" x14ac:dyDescent="0.25">
      <c r="N260" s="9">
        <v>42</v>
      </c>
      <c r="O260" s="34">
        <f t="shared" si="254"/>
        <v>2630.2679918953822</v>
      </c>
      <c r="P260" s="33" t="str">
        <f t="shared" si="206"/>
        <v>16.5157725627975</v>
      </c>
      <c r="Q260" s="4" t="str">
        <f t="shared" si="207"/>
        <v>1+42.7617396649874i</v>
      </c>
      <c r="R260" s="4">
        <f t="shared" si="219"/>
        <v>42.773430762286957</v>
      </c>
      <c r="S260" s="4">
        <f t="shared" si="220"/>
        <v>1.5474151974148864</v>
      </c>
      <c r="T260" s="4" t="str">
        <f t="shared" si="208"/>
        <v>1+0.271860286750229i</v>
      </c>
      <c r="U260" s="4">
        <f t="shared" si="221"/>
        <v>1.0362953321866875</v>
      </c>
      <c r="V260" s="4">
        <f t="shared" si="222"/>
        <v>0.26544490781870766</v>
      </c>
      <c r="W260" t="str">
        <f t="shared" si="209"/>
        <v>1-4.13161530015545i</v>
      </c>
      <c r="X260" s="4">
        <f t="shared" si="223"/>
        <v>4.2509110774607608</v>
      </c>
      <c r="Y260" s="4">
        <f t="shared" si="224"/>
        <v>-1.3333270418977432</v>
      </c>
      <c r="Z260" t="str">
        <f t="shared" si="210"/>
        <v>0.999857059716752+0.0578426142021763i</v>
      </c>
      <c r="AA260" s="4">
        <f t="shared" si="225"/>
        <v>1.0015287853492632</v>
      </c>
      <c r="AB260" s="4">
        <f t="shared" si="226"/>
        <v>5.7786475713641532E-2</v>
      </c>
      <c r="AC260" s="47" t="str">
        <f t="shared" si="227"/>
        <v>-1.51533934183254-0.766900209865342i</v>
      </c>
      <c r="AD260" s="20">
        <f t="shared" si="228"/>
        <v>4.600538687153799</v>
      </c>
      <c r="AE260" s="43">
        <f t="shared" si="229"/>
        <v>-153.15642043775523</v>
      </c>
      <c r="AF260" t="str">
        <f t="shared" si="211"/>
        <v>247.084651286898</v>
      </c>
      <c r="AG260" t="str">
        <f t="shared" si="212"/>
        <v>1+41.817815340405i</v>
      </c>
      <c r="AH260">
        <f t="shared" si="230"/>
        <v>41.829770258085475</v>
      </c>
      <c r="AI260">
        <f t="shared" si="231"/>
        <v>1.5468876304012988</v>
      </c>
      <c r="AJ260" t="str">
        <f t="shared" si="213"/>
        <v>1+0.271860286750229i</v>
      </c>
      <c r="AK260">
        <f t="shared" si="232"/>
        <v>1.0362953321866875</v>
      </c>
      <c r="AL260">
        <f t="shared" si="233"/>
        <v>0.26544490781870766</v>
      </c>
      <c r="AM260" t="str">
        <f t="shared" si="214"/>
        <v>1-0.270067586567527i</v>
      </c>
      <c r="AN260">
        <f t="shared" si="234"/>
        <v>1.0358264822422762</v>
      </c>
      <c r="AO260">
        <f t="shared" si="235"/>
        <v>-0.26377482767497368</v>
      </c>
      <c r="AP260" s="41" t="str">
        <f t="shared" si="236"/>
        <v>0.162167286499327-6.33853294157852i</v>
      </c>
      <c r="AQ260">
        <f t="shared" si="237"/>
        <v>16.042616819231952</v>
      </c>
      <c r="AR260" s="43">
        <f t="shared" si="238"/>
        <v>-88.534444059302643</v>
      </c>
      <c r="AS260" t="str">
        <f t="shared" si="215"/>
        <v>-0.0000166666666666667</v>
      </c>
      <c r="AT260" t="str">
        <f t="shared" si="216"/>
        <v>0.0000561899680821142i</v>
      </c>
      <c r="AU260">
        <f t="shared" si="239"/>
        <v>5.6189968082114201E-5</v>
      </c>
      <c r="AV260">
        <f t="shared" si="240"/>
        <v>1.5707963267948966</v>
      </c>
      <c r="AW260" t="str">
        <f t="shared" si="217"/>
        <v>1+0.0571037841720308i</v>
      </c>
      <c r="AX260">
        <f t="shared" si="241"/>
        <v>1.001629094109574</v>
      </c>
      <c r="AY260">
        <f t="shared" si="242"/>
        <v>5.7041836518746884E-2</v>
      </c>
      <c r="AZ260" t="str">
        <f t="shared" si="218"/>
        <v>1+1.94152866184905i</v>
      </c>
      <c r="BA260">
        <f t="shared" si="243"/>
        <v>2.183926176586874</v>
      </c>
      <c r="BB260">
        <f t="shared" si="244"/>
        <v>1.0951749603945302</v>
      </c>
      <c r="BC260" s="41" t="str">
        <f t="shared" si="245"/>
        <v>-0.557127930430371+0.328426964740316i</v>
      </c>
      <c r="BD260">
        <f t="shared" si="246"/>
        <v>-3.7855802580144502</v>
      </c>
      <c r="BE260" s="43">
        <f t="shared" si="247"/>
        <v>149.4806465708142</v>
      </c>
      <c r="BF260" s="41" t="str">
        <f t="shared" si="248"/>
        <v>1.09610857959967-0.0704167738207541i</v>
      </c>
      <c r="BG260" s="20">
        <f t="shared" si="249"/>
        <v>0.81495842913935213</v>
      </c>
      <c r="BH260" s="43">
        <f t="shared" si="250"/>
        <v>-3.675773866941018</v>
      </c>
      <c r="BI260" s="41" t="str">
        <f t="shared" si="255"/>
        <v>1.99139721019826+3.58463384939152i</v>
      </c>
      <c r="BJ260" s="20">
        <f t="shared" si="251"/>
        <v>12.257036561217504</v>
      </c>
      <c r="BK260" s="43">
        <f t="shared" si="256"/>
        <v>60.946202511511579</v>
      </c>
      <c r="BL260">
        <f t="shared" si="252"/>
        <v>0.81495842913935213</v>
      </c>
      <c r="BM260" s="43">
        <f t="shared" si="253"/>
        <v>-3.675773866941018</v>
      </c>
    </row>
    <row r="261" spans="14:65" x14ac:dyDescent="0.25">
      <c r="N261" s="9">
        <v>43</v>
      </c>
      <c r="O261" s="34">
        <f t="shared" si="254"/>
        <v>2691.5348039269184</v>
      </c>
      <c r="P261" s="33" t="str">
        <f t="shared" si="206"/>
        <v>16.5157725627975</v>
      </c>
      <c r="Q261" s="4" t="str">
        <f t="shared" si="207"/>
        <v>1+43.7577885369157i</v>
      </c>
      <c r="R261" s="4">
        <f t="shared" si="219"/>
        <v>43.769213582624843</v>
      </c>
      <c r="S261" s="4">
        <f t="shared" si="220"/>
        <v>1.5479472295189451</v>
      </c>
      <c r="T261" s="4" t="str">
        <f t="shared" si="208"/>
        <v>1+0.278192726310946i</v>
      </c>
      <c r="U261" s="4">
        <f t="shared" si="221"/>
        <v>1.0379745627771024</v>
      </c>
      <c r="V261" s="4">
        <f t="shared" si="222"/>
        <v>0.27133203352836205</v>
      </c>
      <c r="W261" t="str">
        <f t="shared" si="209"/>
        <v>1-4.22785298344902i</v>
      </c>
      <c r="X261" s="4">
        <f t="shared" si="223"/>
        <v>4.344506974290498</v>
      </c>
      <c r="Y261" s="4">
        <f t="shared" si="224"/>
        <v>-1.3385380842912902</v>
      </c>
      <c r="Z261" t="str">
        <f t="shared" si="210"/>
        <v>0.999850323148745+0.0591899417682863i</v>
      </c>
      <c r="AA261" s="4">
        <f t="shared" si="225"/>
        <v>1.0016007777089546</v>
      </c>
      <c r="AB261" s="4">
        <f t="shared" si="226"/>
        <v>5.9129793473276238E-2</v>
      </c>
      <c r="AC261" s="47" t="str">
        <f t="shared" si="227"/>
        <v>-1.5167320660407-0.765321585362405i</v>
      </c>
      <c r="AD261" s="20">
        <f t="shared" si="228"/>
        <v>4.6032541255523691</v>
      </c>
      <c r="AE261" s="43">
        <f t="shared" si="229"/>
        <v>-153.22513334944315</v>
      </c>
      <c r="AF261" t="str">
        <f t="shared" si="211"/>
        <v>247.084651286898</v>
      </c>
      <c r="AG261" t="str">
        <f t="shared" si="212"/>
        <v>1+42.7918773903271i</v>
      </c>
      <c r="AH261">
        <f t="shared" si="230"/>
        <v>42.803560255997247</v>
      </c>
      <c r="AI261">
        <f t="shared" si="231"/>
        <v>1.5474316584253704</v>
      </c>
      <c r="AJ261" t="str">
        <f t="shared" si="213"/>
        <v>1+0.278192726310946i</v>
      </c>
      <c r="AK261">
        <f t="shared" si="232"/>
        <v>1.0379745627771024</v>
      </c>
      <c r="AL261">
        <f t="shared" si="233"/>
        <v>0.27133203352836205</v>
      </c>
      <c r="AM261" t="str">
        <f t="shared" si="214"/>
        <v>1-0.276358268776727i</v>
      </c>
      <c r="AN261">
        <f t="shared" si="234"/>
        <v>1.0374844060135409</v>
      </c>
      <c r="AO261">
        <f t="shared" si="235"/>
        <v>-0.26962854354399163</v>
      </c>
      <c r="AP261" s="41" t="str">
        <f t="shared" si="236"/>
        <v>0.155815660613166-6.2143783443083i</v>
      </c>
      <c r="AQ261">
        <f t="shared" si="237"/>
        <v>15.870683256519076</v>
      </c>
      <c r="AR261" s="43">
        <f t="shared" si="238"/>
        <v>-88.563700326156109</v>
      </c>
      <c r="AS261" t="str">
        <f t="shared" si="215"/>
        <v>-0.0000166666666666667</v>
      </c>
      <c r="AT261" t="str">
        <f t="shared" si="216"/>
        <v>0.0000574988005749068i</v>
      </c>
      <c r="AU261">
        <f t="shared" si="239"/>
        <v>5.74988005749068E-5</v>
      </c>
      <c r="AV261">
        <f t="shared" si="240"/>
        <v>1.5707963267948966</v>
      </c>
      <c r="AW261" t="str">
        <f t="shared" si="217"/>
        <v>1+0.0584339021759519i</v>
      </c>
      <c r="AX261">
        <f t="shared" si="241"/>
        <v>1.0017058055754238</v>
      </c>
      <c r="AY261">
        <f t="shared" si="242"/>
        <v>5.8367530172930289E-2</v>
      </c>
      <c r="AZ261" t="str">
        <f t="shared" si="218"/>
        <v>1+1.98675267398237i</v>
      </c>
      <c r="BA261">
        <f t="shared" si="243"/>
        <v>2.2242270989213528</v>
      </c>
      <c r="BB261">
        <f t="shared" si="244"/>
        <v>1.1044851447681194</v>
      </c>
      <c r="BC261" s="41" t="str">
        <f t="shared" si="245"/>
        <v>-0.557042603054786+0.322411291815892i</v>
      </c>
      <c r="BD261">
        <f t="shared" si="246"/>
        <v>-3.8274219783803636</v>
      </c>
      <c r="BE261" s="43">
        <f t="shared" si="247"/>
        <v>149.93812419059756</v>
      </c>
      <c r="BF261" s="41" t="str">
        <f t="shared" si="248"/>
        <v>1.09163269919525-0.0626948166664792i</v>
      </c>
      <c r="BG261" s="20">
        <f t="shared" si="249"/>
        <v>0.77583214717197035</v>
      </c>
      <c r="BH261" s="43">
        <f t="shared" si="250"/>
        <v>-3.2870091588455854</v>
      </c>
      <c r="BI261" s="41" t="str">
        <f t="shared" si="255"/>
        <v>1.91678978863648+3.51191021770422i</v>
      </c>
      <c r="BJ261" s="20">
        <f t="shared" si="251"/>
        <v>12.043261278138697</v>
      </c>
      <c r="BK261" s="43">
        <f t="shared" si="256"/>
        <v>61.374423864441503</v>
      </c>
      <c r="BL261">
        <f t="shared" si="252"/>
        <v>0.77583214717197035</v>
      </c>
      <c r="BM261" s="43">
        <f t="shared" si="253"/>
        <v>-3.2870091588455854</v>
      </c>
    </row>
    <row r="262" spans="14:65" x14ac:dyDescent="0.25">
      <c r="N262" s="9">
        <v>44</v>
      </c>
      <c r="O262" s="34">
        <f t="shared" si="254"/>
        <v>2754.228703338169</v>
      </c>
      <c r="P262" s="33" t="str">
        <f t="shared" si="206"/>
        <v>16.5157725627975</v>
      </c>
      <c r="Q262" s="4" t="str">
        <f t="shared" si="207"/>
        <v>1+44.777038367529i</v>
      </c>
      <c r="R262" s="4">
        <f t="shared" si="219"/>
        <v>44.78820341303237</v>
      </c>
      <c r="S262" s="4">
        <f t="shared" si="220"/>
        <v>1.5484671635953919</v>
      </c>
      <c r="T262" s="4" t="str">
        <f t="shared" si="208"/>
        <v>1+0.284672667337469i</v>
      </c>
      <c r="U262" s="4">
        <f t="shared" si="221"/>
        <v>1.0397300262707763</v>
      </c>
      <c r="V262" s="4">
        <f t="shared" si="222"/>
        <v>0.2773363885953003</v>
      </c>
      <c r="W262" t="str">
        <f t="shared" si="209"/>
        <v>1-4.32633233035668i</v>
      </c>
      <c r="X262" s="4">
        <f t="shared" si="223"/>
        <v>4.4403999181030374</v>
      </c>
      <c r="Y262" s="4">
        <f t="shared" si="224"/>
        <v>-1.3436429516403579</v>
      </c>
      <c r="Z262" t="str">
        <f t="shared" si="210"/>
        <v>0.999843269096068+0.0605686526249934i</v>
      </c>
      <c r="AA262" s="4">
        <f t="shared" si="225"/>
        <v>1.0016761574668329</v>
      </c>
      <c r="AB262" s="4">
        <f t="shared" si="226"/>
        <v>6.0504208375676438E-2</v>
      </c>
      <c r="AC262" s="47" t="str">
        <f t="shared" si="227"/>
        <v>-1.51814933135914-0.764142774566102i</v>
      </c>
      <c r="AD262" s="20">
        <f t="shared" si="228"/>
        <v>4.6070117437096254</v>
      </c>
      <c r="AE262" s="43">
        <f t="shared" si="229"/>
        <v>-153.28213470089813</v>
      </c>
      <c r="AF262" t="str">
        <f t="shared" si="211"/>
        <v>247.084651286898</v>
      </c>
      <c r="AG262" t="str">
        <f t="shared" si="212"/>
        <v>1+43.7886282600591i</v>
      </c>
      <c r="AH262">
        <f t="shared" si="230"/>
        <v>43.800045261365263</v>
      </c>
      <c r="AI262">
        <f t="shared" si="231"/>
        <v>1.5479633162265396</v>
      </c>
      <c r="AJ262" t="str">
        <f t="shared" si="213"/>
        <v>1+0.284672667337469i</v>
      </c>
      <c r="AK262">
        <f t="shared" si="232"/>
        <v>1.0397300262707763</v>
      </c>
      <c r="AL262">
        <f t="shared" si="233"/>
        <v>0.2773363885953003</v>
      </c>
      <c r="AM262" t="str">
        <f t="shared" si="214"/>
        <v>1-0.282795479798066i</v>
      </c>
      <c r="AN262">
        <f t="shared" si="234"/>
        <v>1.0392176304288809</v>
      </c>
      <c r="AO262">
        <f t="shared" si="235"/>
        <v>-0.27559906471553358</v>
      </c>
      <c r="AP262" s="41" t="str">
        <f t="shared" si="236"/>
        <v>0.149749599936962-6.0935053351587i</v>
      </c>
      <c r="AQ262">
        <f t="shared" si="237"/>
        <v>15.699966019700668</v>
      </c>
      <c r="AR262" s="43">
        <f t="shared" si="238"/>
        <v>-88.592223534897613</v>
      </c>
      <c r="AS262" t="str">
        <f t="shared" si="215"/>
        <v>-0.0000166666666666667</v>
      </c>
      <c r="AT262" t="str">
        <f t="shared" si="216"/>
        <v>0.0000588381196928507i</v>
      </c>
      <c r="AU262">
        <f t="shared" si="239"/>
        <v>5.8838119692850698E-5</v>
      </c>
      <c r="AV262">
        <f t="shared" si="240"/>
        <v>1.5707963267948966</v>
      </c>
      <c r="AW262" t="str">
        <f t="shared" si="217"/>
        <v>1+0.0597950026082708i</v>
      </c>
      <c r="AX262">
        <f t="shared" si="241"/>
        <v>1.0017861260453367</v>
      </c>
      <c r="AY262">
        <f t="shared" si="242"/>
        <v>5.972389057228393E-2</v>
      </c>
      <c r="AZ262" t="str">
        <f t="shared" si="218"/>
        <v>1+2.03303008868121i</v>
      </c>
      <c r="BA262">
        <f t="shared" si="243"/>
        <v>2.2656591406218034</v>
      </c>
      <c r="BB262">
        <f t="shared" si="244"/>
        <v>1.1136685023038864</v>
      </c>
      <c r="BC262" s="41" t="str">
        <f t="shared" si="245"/>
        <v>-0.556953282332861+0.316566097209247i</v>
      </c>
      <c r="BD262">
        <f t="shared" si="246"/>
        <v>-3.8678095194073983</v>
      </c>
      <c r="BE262" s="43">
        <f t="shared" si="247"/>
        <v>150.38657809277501</v>
      </c>
      <c r="BF262" s="41" t="str">
        <f t="shared" si="248"/>
        <v>1.08743994902695-0.0550027823436608i</v>
      </c>
      <c r="BG262" s="20">
        <f t="shared" si="249"/>
        <v>0.73920222430224491</v>
      </c>
      <c r="BH262" s="43">
        <f t="shared" si="250"/>
        <v>-2.895556608123095</v>
      </c>
      <c r="BI262" s="41" t="str">
        <f t="shared" si="255"/>
        <v>1.84559367106199+3.44120344374013i</v>
      </c>
      <c r="BJ262" s="20">
        <f t="shared" si="251"/>
        <v>11.832156500293271</v>
      </c>
      <c r="BK262" s="43">
        <f t="shared" si="256"/>
        <v>61.794354557877412</v>
      </c>
      <c r="BL262">
        <f t="shared" si="252"/>
        <v>0.73920222430224491</v>
      </c>
      <c r="BM262" s="43">
        <f t="shared" si="253"/>
        <v>-2.895556608123095</v>
      </c>
    </row>
    <row r="263" spans="14:65" x14ac:dyDescent="0.25">
      <c r="N263" s="9">
        <v>45</v>
      </c>
      <c r="O263" s="34">
        <f t="shared" si="254"/>
        <v>2818.3829312644561</v>
      </c>
      <c r="P263" s="33" t="str">
        <f t="shared" si="206"/>
        <v>16.5157725627975</v>
      </c>
      <c r="Q263" s="4" t="str">
        <f t="shared" si="207"/>
        <v>1+45.8200295765789i</v>
      </c>
      <c r="R263" s="4">
        <f t="shared" si="219"/>
        <v>45.830940535827594</v>
      </c>
      <c r="S263" s="4">
        <f t="shared" si="220"/>
        <v>1.5489752741950757</v>
      </c>
      <c r="T263" s="4" t="str">
        <f t="shared" si="208"/>
        <v>1+0.291303545580303i</v>
      </c>
      <c r="U263" s="4">
        <f t="shared" si="221"/>
        <v>1.0415650510974606</v>
      </c>
      <c r="V263" s="4">
        <f t="shared" si="222"/>
        <v>0.28345942416004427</v>
      </c>
      <c r="W263" t="str">
        <f t="shared" si="209"/>
        <v>1-4.42710555593165i</v>
      </c>
      <c r="X263" s="4">
        <f t="shared" si="223"/>
        <v>4.538641162656603</v>
      </c>
      <c r="Y263" s="4">
        <f t="shared" si="224"/>
        <v>-1.3486432858912558</v>
      </c>
      <c r="Z263" t="str">
        <f t="shared" si="210"/>
        <v>0.999835882596131+0.061979477783043i</v>
      </c>
      <c r="AA263" s="4">
        <f t="shared" si="225"/>
        <v>1.0017550837370595</v>
      </c>
      <c r="AB263" s="4">
        <f t="shared" si="226"/>
        <v>6.1910431043242752E-2</v>
      </c>
      <c r="AC263" s="47" t="str">
        <f t="shared" si="227"/>
        <v>-1.51959409997681-0.763362853868353i</v>
      </c>
      <c r="AD263" s="20">
        <f t="shared" si="228"/>
        <v>4.6118163063938864</v>
      </c>
      <c r="AE263" s="43">
        <f t="shared" si="229"/>
        <v>-153.32749187075592</v>
      </c>
      <c r="AF263" t="str">
        <f t="shared" si="211"/>
        <v>247.084651286898</v>
      </c>
      <c r="AG263" t="str">
        <f t="shared" si="212"/>
        <v>1+44.8085964401054i</v>
      </c>
      <c r="AH263">
        <f t="shared" si="230"/>
        <v>44.819753624180336</v>
      </c>
      <c r="AI263">
        <f t="shared" si="231"/>
        <v>1.548482884493894</v>
      </c>
      <c r="AJ263" t="str">
        <f t="shared" si="213"/>
        <v>1+0.291303545580303i</v>
      </c>
      <c r="AK263">
        <f t="shared" si="232"/>
        <v>1.0415650510974606</v>
      </c>
      <c r="AL263">
        <f t="shared" si="233"/>
        <v>0.28345942416004427</v>
      </c>
      <c r="AM263" t="str">
        <f t="shared" si="214"/>
        <v>1-0.289382632726035i</v>
      </c>
      <c r="AN263">
        <f t="shared" si="234"/>
        <v>1.0410294463287055</v>
      </c>
      <c r="AO263">
        <f t="shared" si="235"/>
        <v>-0.28168785350925007</v>
      </c>
      <c r="AP263" s="41" t="str">
        <f t="shared" si="236"/>
        <v>0.143956278739292-5.97585071629893i</v>
      </c>
      <c r="AQ263">
        <f t="shared" si="237"/>
        <v>15.530514328355627</v>
      </c>
      <c r="AR263" s="43">
        <f t="shared" si="238"/>
        <v>-88.620030408344121</v>
      </c>
      <c r="AS263" t="str">
        <f t="shared" si="215"/>
        <v>-0.0000166666666666667</v>
      </c>
      <c r="AT263" t="str">
        <f t="shared" si="216"/>
        <v>0.0000602086355606703i</v>
      </c>
      <c r="AU263">
        <f t="shared" si="239"/>
        <v>6.0208635560670299E-5</v>
      </c>
      <c r="AV263">
        <f t="shared" si="240"/>
        <v>1.5707963267948966</v>
      </c>
      <c r="AW263" t="str">
        <f t="shared" si="217"/>
        <v>1+0.061187807142453i</v>
      </c>
      <c r="AX263">
        <f t="shared" si="241"/>
        <v>1.0018702250006744</v>
      </c>
      <c r="AY263">
        <f t="shared" si="242"/>
        <v>6.1111616903243696E-2</v>
      </c>
      <c r="AZ263" t="str">
        <f t="shared" si="218"/>
        <v>1+2.0803854428434i</v>
      </c>
      <c r="BA263">
        <f t="shared" si="243"/>
        <v>2.3082468652193011</v>
      </c>
      <c r="BB263">
        <f t="shared" si="244"/>
        <v>1.122723705435543</v>
      </c>
      <c r="BC263" s="41" t="str">
        <f t="shared" si="245"/>
        <v>-0.556859782751458+0.310888248461562i</v>
      </c>
      <c r="BD263">
        <f t="shared" si="246"/>
        <v>-3.9067850235088937</v>
      </c>
      <c r="BE263" s="43">
        <f t="shared" si="247"/>
        <v>150.82589215296949</v>
      </c>
      <c r="BF263" s="41" t="str">
        <f t="shared" si="248"/>
        <v>1.08352138096324-0.0473378751486502i</v>
      </c>
      <c r="BG263" s="20">
        <f t="shared" si="249"/>
        <v>0.70503128288503236</v>
      </c>
      <c r="BH263" s="43">
        <f t="shared" si="250"/>
        <v>-2.5015997177864167</v>
      </c>
      <c r="BI263" s="41" t="str">
        <f t="shared" si="255"/>
        <v>1.77765830015347+3.37246524698567i</v>
      </c>
      <c r="BJ263" s="20">
        <f t="shared" si="251"/>
        <v>11.62372930484673</v>
      </c>
      <c r="BK263" s="43">
        <f t="shared" si="256"/>
        <v>62.205861744625452</v>
      </c>
      <c r="BL263">
        <f t="shared" si="252"/>
        <v>0.70503128288503236</v>
      </c>
      <c r="BM263" s="43">
        <f t="shared" si="253"/>
        <v>-2.5015997177864167</v>
      </c>
    </row>
    <row r="264" spans="14:65" x14ac:dyDescent="0.25">
      <c r="N264" s="9">
        <v>46</v>
      </c>
      <c r="O264" s="34">
        <f t="shared" si="254"/>
        <v>2884.0315031266077</v>
      </c>
      <c r="P264" s="33" t="str">
        <f t="shared" si="206"/>
        <v>16.5157725627975</v>
      </c>
      <c r="Q264" s="4" t="str">
        <f t="shared" si="207"/>
        <v>1+46.8873151718101i</v>
      </c>
      <c r="R264" s="4">
        <f t="shared" si="219"/>
        <v>46.897977824429205</v>
      </c>
      <c r="S264" s="4">
        <f t="shared" si="220"/>
        <v>1.5494718296749035</v>
      </c>
      <c r="T264" s="4" t="str">
        <f t="shared" si="208"/>
        <v>1+0.298088876818861i</v>
      </c>
      <c r="U264" s="4">
        <f t="shared" si="221"/>
        <v>1.043483099280065</v>
      </c>
      <c r="V264" s="4">
        <f t="shared" si="222"/>
        <v>0.28970254952907787</v>
      </c>
      <c r="W264" t="str">
        <f t="shared" si="209"/>
        <v>1-4.53022609147205i</v>
      </c>
      <c r="X264" s="4">
        <f t="shared" si="223"/>
        <v>4.6392831816837958</v>
      </c>
      <c r="Y264" s="4">
        <f t="shared" si="224"/>
        <v>-1.3535407376373529</v>
      </c>
      <c r="Z264" t="str">
        <f t="shared" si="210"/>
        <v>0.999828147981177+0.0634231652806086i</v>
      </c>
      <c r="AA264" s="4">
        <f t="shared" si="225"/>
        <v>1.0018377230817783</v>
      </c>
      <c r="AB264" s="4">
        <f t="shared" si="226"/>
        <v>6.3349187676971508E-2</v>
      </c>
      <c r="AC264" s="47" t="str">
        <f t="shared" si="227"/>
        <v>-1.52106938870841-0.762981081704861i</v>
      </c>
      <c r="AD264" s="20">
        <f t="shared" si="228"/>
        <v>4.6176739642377544</v>
      </c>
      <c r="AE264" s="43">
        <f t="shared" si="229"/>
        <v>-153.36127566770693</v>
      </c>
      <c r="AF264" t="str">
        <f t="shared" si="211"/>
        <v>247.084651286898</v>
      </c>
      <c r="AG264" t="str">
        <f t="shared" si="212"/>
        <v>1+45.8523227310962i</v>
      </c>
      <c r="AH264">
        <f t="shared" si="230"/>
        <v>45.863226007735236</v>
      </c>
      <c r="AI264">
        <f t="shared" si="231"/>
        <v>1.5489906375866982</v>
      </c>
      <c r="AJ264" t="str">
        <f t="shared" si="213"/>
        <v>1+0.298088876818861i</v>
      </c>
      <c r="AK264">
        <f t="shared" si="232"/>
        <v>1.043483099280065</v>
      </c>
      <c r="AL264">
        <f t="shared" si="233"/>
        <v>0.28970254952907787</v>
      </c>
      <c r="AM264" t="str">
        <f t="shared" si="214"/>
        <v>1-0.296123220156306i</v>
      </c>
      <c r="AN264">
        <f t="shared" si="234"/>
        <v>1.0429232769076258</v>
      </c>
      <c r="AO264">
        <f t="shared" si="235"/>
        <v>-0.28789633172474127</v>
      </c>
      <c r="AP264" s="41" t="str">
        <f t="shared" si="236"/>
        <v>0.138423446184496-5.86135293698489i</v>
      </c>
      <c r="AQ264">
        <f t="shared" si="237"/>
        <v>15.362378970695325</v>
      </c>
      <c r="AR264" s="43">
        <f t="shared" si="238"/>
        <v>-88.647137381926413</v>
      </c>
      <c r="AS264" t="str">
        <f t="shared" si="215"/>
        <v>-0.0000166666666666667</v>
      </c>
      <c r="AT264" t="str">
        <f t="shared" si="216"/>
        <v>0.0000616110748440198i</v>
      </c>
      <c r="AU264">
        <f t="shared" si="239"/>
        <v>6.1611074844019806E-5</v>
      </c>
      <c r="AV264">
        <f t="shared" si="240"/>
        <v>1.5707963267948966</v>
      </c>
      <c r="AW264" t="str">
        <f t="shared" si="217"/>
        <v>1+0.0626130542618984i</v>
      </c>
      <c r="AX264">
        <f t="shared" si="241"/>
        <v>1.0019582798520124</v>
      </c>
      <c r="AY264">
        <f t="shared" si="242"/>
        <v>6.2531423564908872E-2</v>
      </c>
      <c r="AZ264" t="str">
        <f t="shared" si="218"/>
        <v>1+2.12884384490455i</v>
      </c>
      <c r="BA264">
        <f t="shared" si="243"/>
        <v>2.3520153307297953</v>
      </c>
      <c r="BB264">
        <f t="shared" si="244"/>
        <v>1.1316496144010817</v>
      </c>
      <c r="BC264" s="41" t="str">
        <f t="shared" si="245"/>
        <v>-0.556761910311575+0.305374699493629i</v>
      </c>
      <c r="BD264">
        <f t="shared" si="246"/>
        <v>-3.9443905215005777</v>
      </c>
      <c r="BE264" s="43">
        <f t="shared" si="247"/>
        <v>151.25596013557484</v>
      </c>
      <c r="BF264" s="41" t="str">
        <f t="shared" si="248"/>
        <v>1.0798686171187-0.0396973029041984i</v>
      </c>
      <c r="BG264" s="20">
        <f t="shared" si="249"/>
        <v>0.67328344273718044</v>
      </c>
      <c r="BH264" s="43">
        <f t="shared" si="250"/>
        <v>-2.1053155321320816</v>
      </c>
      <c r="BI264" s="41" t="str">
        <f t="shared" si="255"/>
        <v>1.71283998942827+3.30564907648753i</v>
      </c>
      <c r="BJ264" s="20">
        <f t="shared" si="251"/>
        <v>11.417988449194747</v>
      </c>
      <c r="BK264" s="43">
        <f t="shared" si="256"/>
        <v>62.608822753648433</v>
      </c>
      <c r="BL264">
        <f t="shared" si="252"/>
        <v>0.67328344273718044</v>
      </c>
      <c r="BM264" s="43">
        <f t="shared" si="253"/>
        <v>-2.1053155321320816</v>
      </c>
    </row>
    <row r="265" spans="14:65" x14ac:dyDescent="0.25">
      <c r="N265" s="9">
        <v>47</v>
      </c>
      <c r="O265" s="34">
        <f t="shared" si="254"/>
        <v>2951.2092266663876</v>
      </c>
      <c r="P265" s="33" t="str">
        <f t="shared" si="206"/>
        <v>16.5157725627975</v>
      </c>
      <c r="Q265" s="4" t="str">
        <f t="shared" si="207"/>
        <v>1+47.9794610421723i</v>
      </c>
      <c r="R265" s="4">
        <f t="shared" si="219"/>
        <v>47.989881036499028</v>
      </c>
      <c r="S265" s="4">
        <f t="shared" si="220"/>
        <v>1.5499570923351265</v>
      </c>
      <c r="T265" s="4" t="str">
        <f t="shared" si="208"/>
        <v>1+0.305032258725581i</v>
      </c>
      <c r="U265" s="4">
        <f t="shared" si="221"/>
        <v>1.0454877707860717</v>
      </c>
      <c r="V265" s="4">
        <f t="shared" si="222"/>
        <v>0.29606712746426361</v>
      </c>
      <c r="W265" t="str">
        <f t="shared" si="209"/>
        <v>1-4.63574861285077i</v>
      </c>
      <c r="X265" s="4">
        <f t="shared" si="223"/>
        <v>4.7423796981629209</v>
      </c>
      <c r="Y265" s="4">
        <f t="shared" si="224"/>
        <v>-1.3583369634209459</v>
      </c>
      <c r="Z265" t="str">
        <f t="shared" si="210"/>
        <v>0.99982004884505+0.0649004805799108i</v>
      </c>
      <c r="AA265" s="4">
        <f t="shared" si="225"/>
        <v>1.0019242498572543</v>
      </c>
      <c r="AB265" s="4">
        <f t="shared" si="226"/>
        <v>6.4821220350585851E-2</v>
      </c>
      <c r="AC265" s="47" t="str">
        <f t="shared" si="227"/>
        <v>-1.52257827499486-0.762996896650497i</v>
      </c>
      <c r="AD265" s="20">
        <f t="shared" si="228"/>
        <v>4.6245922428041544</v>
      </c>
      <c r="AE265" s="43">
        <f t="shared" si="229"/>
        <v>-153.38356047051985</v>
      </c>
      <c r="AF265" t="str">
        <f t="shared" si="211"/>
        <v>247.084651286898</v>
      </c>
      <c r="AG265" t="str">
        <f t="shared" si="212"/>
        <v>1+46.9203605305263i</v>
      </c>
      <c r="AH265">
        <f t="shared" si="230"/>
        <v>46.93101567529272</v>
      </c>
      <c r="AI265">
        <f t="shared" si="231"/>
        <v>1.5494868436745195</v>
      </c>
      <c r="AJ265" t="str">
        <f t="shared" si="213"/>
        <v>1+0.305032258725581i</v>
      </c>
      <c r="AK265">
        <f t="shared" si="232"/>
        <v>1.0454877707860717</v>
      </c>
      <c r="AL265">
        <f t="shared" si="233"/>
        <v>0.29606712746426361</v>
      </c>
      <c r="AM265" t="str">
        <f t="shared" si="214"/>
        <v>1-0.303020816037559i</v>
      </c>
      <c r="AN265">
        <f t="shared" si="234"/>
        <v>1.0449026820484615</v>
      </c>
      <c r="AO265">
        <f t="shared" si="235"/>
        <v>-0.29422587599234751</v>
      </c>
      <c r="AP265" s="41" t="str">
        <f t="shared" si="236"/>
        <v>0.133139400665171-5.7499520648745i</v>
      </c>
      <c r="AQ265">
        <f t="shared" si="237"/>
        <v>15.195612320698892</v>
      </c>
      <c r="AR265" s="43">
        <f t="shared" si="238"/>
        <v>-88.673560615234067</v>
      </c>
      <c r="AS265" t="str">
        <f t="shared" si="215"/>
        <v>-0.0000166666666666667</v>
      </c>
      <c r="AT265" t="str">
        <f t="shared" si="216"/>
        <v>0.0000630461811347705i</v>
      </c>
      <c r="AU265">
        <f t="shared" si="239"/>
        <v>6.3046181134770505E-5</v>
      </c>
      <c r="AV265">
        <f t="shared" si="240"/>
        <v>1.5707963267948966</v>
      </c>
      <c r="AW265" t="str">
        <f t="shared" si="217"/>
        <v>1+0.0640714996514952i</v>
      </c>
      <c r="AX265">
        <f t="shared" si="241"/>
        <v>1.0020504763072524</v>
      </c>
      <c r="AY265">
        <f t="shared" si="242"/>
        <v>6.3984040447692611E-2</v>
      </c>
      <c r="AZ265" t="str">
        <f t="shared" si="218"/>
        <v>1+2.17843098815084i</v>
      </c>
      <c r="BA265">
        <f t="shared" si="243"/>
        <v>2.3969901063908972</v>
      </c>
      <c r="BB265">
        <f t="shared" si="244"/>
        <v>1.1404452716850628</v>
      </c>
      <c r="BC265" s="41" t="str">
        <f t="shared" si="245"/>
        <v>-0.556659462152905+0.300022488826292i</v>
      </c>
      <c r="BD265">
        <f t="shared" si="246"/>
        <v>-3.9806678621851521</v>
      </c>
      <c r="BE265" s="43">
        <f t="shared" si="247"/>
        <v>151.67668535935758</v>
      </c>
      <c r="BF265" s="41" t="str">
        <f t="shared" si="248"/>
        <v>1.07647383154416-0.0320782813829991i</v>
      </c>
      <c r="BG265" s="20">
        <f t="shared" si="249"/>
        <v>0.64392438061903534</v>
      </c>
      <c r="BH265" s="43">
        <f t="shared" si="250"/>
        <v>-1.7068751111623022</v>
      </c>
      <c r="BI265" s="41" t="str">
        <f t="shared" si="255"/>
        <v>1.65100162196989+3.24071003818643i</v>
      </c>
      <c r="BJ265" s="20">
        <f t="shared" si="251"/>
        <v>11.21494445851374</v>
      </c>
      <c r="BK265" s="43">
        <f t="shared" si="256"/>
        <v>63.00312474412349</v>
      </c>
      <c r="BL265">
        <f t="shared" si="252"/>
        <v>0.64392438061903534</v>
      </c>
      <c r="BM265" s="43">
        <f t="shared" si="253"/>
        <v>-1.7068751111623022</v>
      </c>
    </row>
    <row r="266" spans="14:65" x14ac:dyDescent="0.25">
      <c r="N266" s="9">
        <v>48</v>
      </c>
      <c r="O266" s="34">
        <f t="shared" si="254"/>
        <v>3019.9517204020176</v>
      </c>
      <c r="P266" s="33" t="str">
        <f t="shared" si="206"/>
        <v>16.5157725627975</v>
      </c>
      <c r="Q266" s="4" t="str">
        <f t="shared" si="207"/>
        <v>1+49.0970462578623i</v>
      </c>
      <c r="R266" s="4">
        <f t="shared" si="219"/>
        <v>49.107229113916318</v>
      </c>
      <c r="S266" s="4">
        <f t="shared" si="220"/>
        <v>1.5504313185537502</v>
      </c>
      <c r="T266" s="4" t="str">
        <f t="shared" si="208"/>
        <v>1+0.312137372773457i</v>
      </c>
      <c r="U266" s="4">
        <f t="shared" si="221"/>
        <v>1.0475828079354472</v>
      </c>
      <c r="V266" s="4">
        <f t="shared" si="222"/>
        <v>0.30255446925912005</v>
      </c>
      <c r="W266" t="str">
        <f t="shared" si="209"/>
        <v>1-4.74372906950543i</v>
      </c>
      <c r="X266" s="4">
        <f t="shared" si="223"/>
        <v>4.8479857141776783</v>
      </c>
      <c r="Y266" s="4">
        <f t="shared" si="224"/>
        <v>-1.3630336232083013</v>
      </c>
      <c r="Z266" t="str">
        <f t="shared" si="210"/>
        <v>0.999811568008398+0.0664122069730759i</v>
      </c>
      <c r="AA266" s="4">
        <f t="shared" si="225"/>
        <v>1.0020148465758609</v>
      </c>
      <c r="AB266" s="4">
        <f t="shared" si="226"/>
        <v>6.6327287306713556E-2</v>
      </c>
      <c r="AC266" s="47" t="str">
        <f t="shared" si="227"/>
        <v>-1.52412390299843-0.763409915469217i</v>
      </c>
      <c r="AD266" s="20">
        <f t="shared" si="228"/>
        <v>4.6325800296408657</v>
      </c>
      <c r="AE266" s="43">
        <f t="shared" si="229"/>
        <v>-153.39442439015184</v>
      </c>
      <c r="AF266" t="str">
        <f t="shared" si="211"/>
        <v>247.084651286898</v>
      </c>
      <c r="AG266" t="str">
        <f t="shared" si="212"/>
        <v>1+48.013276126174i</v>
      </c>
      <c r="AH266">
        <f t="shared" si="230"/>
        <v>48.023688783435098</v>
      </c>
      <c r="AI266">
        <f t="shared" si="231"/>
        <v>1.549971764874424</v>
      </c>
      <c r="AJ266" t="str">
        <f t="shared" si="213"/>
        <v>1+0.312137372773457i</v>
      </c>
      <c r="AK266">
        <f t="shared" si="232"/>
        <v>1.0475828079354472</v>
      </c>
      <c r="AL266">
        <f t="shared" si="233"/>
        <v>0.30255446925912005</v>
      </c>
      <c r="AM266" t="str">
        <f t="shared" si="214"/>
        <v>1-0.31007907756643i</v>
      </c>
      <c r="AN266">
        <f t="shared" si="234"/>
        <v>1.0469713627145913</v>
      </c>
      <c r="AO266">
        <f t="shared" si="235"/>
        <v>-0.30067781291054541</v>
      </c>
      <c r="AP266" s="41" t="str">
        <f t="shared" si="236"/>
        <v>0.128092965271737-5.64158975793858i</v>
      </c>
      <c r="AQ266">
        <f t="shared" si="237"/>
        <v>15.0302683520513</v>
      </c>
      <c r="AR266" s="43">
        <f t="shared" si="238"/>
        <v>-88.699316003378328</v>
      </c>
      <c r="AS266" t="str">
        <f t="shared" si="215"/>
        <v>-0.0000166666666666667</v>
      </c>
      <c r="AT266" t="str">
        <f t="shared" si="216"/>
        <v>0.0000645147153452737i</v>
      </c>
      <c r="AU266">
        <f t="shared" si="239"/>
        <v>6.4514715345273698E-5</v>
      </c>
      <c r="AV266">
        <f t="shared" si="240"/>
        <v>1.5707963267948966</v>
      </c>
      <c r="AW266" t="str">
        <f t="shared" si="217"/>
        <v>1+0.0655639165982938i</v>
      </c>
      <c r="AX266">
        <f t="shared" si="241"/>
        <v>1.0021470087565536</v>
      </c>
      <c r="AY266">
        <f t="shared" si="242"/>
        <v>6.5470213213178918E-2</v>
      </c>
      <c r="AZ266" t="str">
        <f t="shared" si="218"/>
        <v>1+2.22917316434199i</v>
      </c>
      <c r="BA266">
        <f t="shared" si="243"/>
        <v>2.4431972897460574</v>
      </c>
      <c r="BB266">
        <f t="shared" si="244"/>
        <v>1.1491098961319608</v>
      </c>
      <c r="BC266" s="41" t="str">
        <f t="shared" si="245"/>
        <v>-0.556552226163023+0.294828737834421i</v>
      </c>
      <c r="BD266">
        <f t="shared" si="246"/>
        <v>-4.0156586470184736</v>
      </c>
      <c r="BE266" s="43">
        <f t="shared" si="247"/>
        <v>152.08798034414093</v>
      </c>
      <c r="BF266" s="41" t="str">
        <f t="shared" si="248"/>
        <v>1.07332973299012-0.0244780386949806i</v>
      </c>
      <c r="BG266" s="20">
        <f t="shared" si="249"/>
        <v>0.61692138262236973</v>
      </c>
      <c r="BH266" s="43">
        <f t="shared" si="250"/>
        <v>-1.3064440460109064</v>
      </c>
      <c r="BI266" s="41" t="str">
        <f t="shared" si="255"/>
        <v>1.59201236273482+3.17760482615576i</v>
      </c>
      <c r="BJ266" s="20">
        <f t="shared" si="251"/>
        <v>11.014609705032823</v>
      </c>
      <c r="BK266" s="43">
        <f t="shared" si="256"/>
        <v>63.388664340762602</v>
      </c>
      <c r="BL266">
        <f t="shared" si="252"/>
        <v>0.61692138262236973</v>
      </c>
      <c r="BM266" s="43">
        <f t="shared" si="253"/>
        <v>-1.3064440460109064</v>
      </c>
    </row>
    <row r="267" spans="14:65" x14ac:dyDescent="0.25">
      <c r="N267" s="9">
        <v>49</v>
      </c>
      <c r="O267" s="34">
        <f t="shared" si="254"/>
        <v>3090.295432513592</v>
      </c>
      <c r="P267" s="33" t="str">
        <f t="shared" si="206"/>
        <v>16.5157725627975</v>
      </c>
      <c r="Q267" s="4" t="str">
        <f t="shared" si="207"/>
        <v>1+50.2406633773545i</v>
      </c>
      <c r="R267" s="4">
        <f t="shared" si="219"/>
        <v>50.250614489741814</v>
      </c>
      <c r="S267" s="4">
        <f t="shared" si="220"/>
        <v>1.5508947589181112</v>
      </c>
      <c r="T267" s="4" t="str">
        <f t="shared" si="208"/>
        <v>1+0.319407986188004i</v>
      </c>
      <c r="U267" s="4">
        <f t="shared" si="221"/>
        <v>1.0497720998581912</v>
      </c>
      <c r="V267" s="4">
        <f t="shared" si="222"/>
        <v>0.30916582960369215</v>
      </c>
      <c r="W267" t="str">
        <f t="shared" si="209"/>
        <v>1-4.8542247141034i</v>
      </c>
      <c r="X267" s="4">
        <f t="shared" si="223"/>
        <v>4.9561575413834689</v>
      </c>
      <c r="Y267" s="4">
        <f t="shared" si="224"/>
        <v>-1.3676323780315249</v>
      </c>
      <c r="Z267" t="str">
        <f t="shared" si="210"/>
        <v>0.999802687482227+0.0679591459974475i</v>
      </c>
      <c r="AA267" s="4">
        <f t="shared" si="225"/>
        <v>1.002109704284609</v>
      </c>
      <c r="AB267" s="4">
        <f t="shared" si="226"/>
        <v>6.7868163254827418E-2</v>
      </c>
      <c r="AC267" s="47" t="str">
        <f t="shared" si="227"/>
        <v>-1.52570948980185-0.764219931110401i</v>
      </c>
      <c r="AD267" s="20">
        <f t="shared" si="228"/>
        <v>4.641647559222724</v>
      </c>
      <c r="AE267" s="43">
        <f t="shared" si="229"/>
        <v>-153.39394945346797</v>
      </c>
      <c r="AF267" t="str">
        <f t="shared" si="211"/>
        <v>247.084651286898</v>
      </c>
      <c r="AG267" t="str">
        <f t="shared" si="212"/>
        <v>1+49.1316489963547i</v>
      </c>
      <c r="AH267">
        <f t="shared" si="230"/>
        <v>49.141824682250068</v>
      </c>
      <c r="AI267">
        <f t="shared" si="231"/>
        <v>1.5504456573853</v>
      </c>
      <c r="AJ267" t="str">
        <f t="shared" si="213"/>
        <v>1+0.319407986188004i</v>
      </c>
      <c r="AK267">
        <f t="shared" si="232"/>
        <v>1.0497720998581912</v>
      </c>
      <c r="AL267">
        <f t="shared" si="233"/>
        <v>0.30916582960369215</v>
      </c>
      <c r="AM267" t="str">
        <f t="shared" si="214"/>
        <v>1-0.317301747126608i</v>
      </c>
      <c r="AN267">
        <f t="shared" si="234"/>
        <v>1.0491331653939826</v>
      </c>
      <c r="AO267">
        <f t="shared" si="235"/>
        <v>-0.30725341397130884</v>
      </c>
      <c r="AP267" s="41" t="str">
        <f t="shared" si="236"/>
        <v>0.123273464349444-5.53620923696967i</v>
      </c>
      <c r="AQ267">
        <f t="shared" si="237"/>
        <v>14.866402648542088</v>
      </c>
      <c r="AR267" s="43">
        <f t="shared" si="238"/>
        <v>-88.724419188153718</v>
      </c>
      <c r="AS267" t="str">
        <f t="shared" si="215"/>
        <v>-0.0000166666666666667</v>
      </c>
      <c r="AT267" t="str">
        <f t="shared" si="216"/>
        <v>0.0000660174561118062i</v>
      </c>
      <c r="AU267">
        <f t="shared" si="239"/>
        <v>6.6017456111806203E-5</v>
      </c>
      <c r="AV267">
        <f t="shared" si="240"/>
        <v>1.5707963267948966</v>
      </c>
      <c r="AW267" t="str">
        <f t="shared" si="217"/>
        <v>1+0.0670910964015138i</v>
      </c>
      <c r="AX267">
        <f t="shared" si="241"/>
        <v>1.0022480806748184</v>
      </c>
      <c r="AY267">
        <f t="shared" si="242"/>
        <v>6.6990703574852387E-2</v>
      </c>
      <c r="AZ267" t="str">
        <f t="shared" si="218"/>
        <v>1+2.28109727765147i</v>
      </c>
      <c r="BA267">
        <f t="shared" si="243"/>
        <v>2.4906635240652135</v>
      </c>
      <c r="BB267">
        <f t="shared" si="244"/>
        <v>1.1576428767819649</v>
      </c>
      <c r="BC267" s="41" t="str">
        <f t="shared" si="245"/>
        <v>-0.556439980570668+0.289790649032699i</v>
      </c>
      <c r="BD267">
        <f t="shared" si="246"/>
        <v>-4.0494041698848502</v>
      </c>
      <c r="BE267" s="43">
        <f t="shared" si="247"/>
        <v>152.48976644153873</v>
      </c>
      <c r="BF267" s="41" t="str">
        <f t="shared" si="248"/>
        <v>1.07042954870203-0.0168938196662374i</v>
      </c>
      <c r="BG267" s="20">
        <f t="shared" si="249"/>
        <v>0.59224338933785192</v>
      </c>
      <c r="BH267" s="43">
        <f t="shared" si="250"/>
        <v>-0.90418301192923212</v>
      </c>
      <c r="BI267" s="41" t="str">
        <f t="shared" si="255"/>
        <v>1.53574738385478+3.11629165749689i</v>
      </c>
      <c r="BJ267" s="20">
        <f t="shared" si="251"/>
        <v>10.816998478657236</v>
      </c>
      <c r="BK267" s="43">
        <f t="shared" si="256"/>
        <v>63.765347253385038</v>
      </c>
      <c r="BL267">
        <f t="shared" si="252"/>
        <v>0.59224338933785192</v>
      </c>
      <c r="BM267" s="43">
        <f t="shared" si="253"/>
        <v>-0.90418301192923212</v>
      </c>
    </row>
    <row r="268" spans="14:65" x14ac:dyDescent="0.25">
      <c r="N268" s="9">
        <v>50</v>
      </c>
      <c r="O268" s="34">
        <f t="shared" si="254"/>
        <v>3162.2776601683804</v>
      </c>
      <c r="P268" s="33" t="str">
        <f t="shared" si="206"/>
        <v>16.5157725627975</v>
      </c>
      <c r="Q268" s="4" t="str">
        <f t="shared" si="207"/>
        <v>1+51.4109187615831i</v>
      </c>
      <c r="R268" s="4">
        <f t="shared" si="219"/>
        <v>51.420643402334989</v>
      </c>
      <c r="S268" s="4">
        <f t="shared" si="220"/>
        <v>1.5513476583536785</v>
      </c>
      <c r="T268" s="4" t="str">
        <f t="shared" si="208"/>
        <v>1+0.326847953944692i</v>
      </c>
      <c r="U268" s="4">
        <f t="shared" si="221"/>
        <v>1.0520596869939611</v>
      </c>
      <c r="V268" s="4">
        <f t="shared" si="222"/>
        <v>0.31590240124117036</v>
      </c>
      <c r="W268" t="str">
        <f t="shared" si="209"/>
        <v>1-4.96729413289805i</v>
      </c>
      <c r="X268" s="4">
        <f t="shared" si="223"/>
        <v>5.0669528320997212</v>
      </c>
      <c r="Y268" s="4">
        <f t="shared" si="224"/>
        <v>-1.3721348877908224</v>
      </c>
      <c r="Z268" t="str">
        <f t="shared" si="210"/>
        <v>0.999793388429752+0.0695421178605726i</v>
      </c>
      <c r="AA268" s="4">
        <f t="shared" si="225"/>
        <v>1.0022090229609684</v>
      </c>
      <c r="AB268" s="4">
        <f t="shared" si="226"/>
        <v>6.9444639670637187E-2</v>
      </c>
      <c r="AC268" s="47" t="str">
        <f t="shared" si="227"/>
        <v>-1.52733833172091-0.765426910642887i</v>
      </c>
      <c r="AD268" s="20">
        <f t="shared" si="228"/>
        <v>4.6518063956674629</v>
      </c>
      <c r="AE268" s="43">
        <f t="shared" si="229"/>
        <v>-153.3822218080067</v>
      </c>
      <c r="AF268" t="str">
        <f t="shared" si="211"/>
        <v>247.084651286898</v>
      </c>
      <c r="AG268" t="str">
        <f t="shared" si="212"/>
        <v>1+50.2760721171674i</v>
      </c>
      <c r="AH268">
        <f t="shared" si="230"/>
        <v>50.286016222510789</v>
      </c>
      <c r="AI268">
        <f t="shared" si="231"/>
        <v>1.5509087716193488</v>
      </c>
      <c r="AJ268" t="str">
        <f t="shared" si="213"/>
        <v>1+0.326847953944692i</v>
      </c>
      <c r="AK268">
        <f t="shared" si="232"/>
        <v>1.0520596869939611</v>
      </c>
      <c r="AL268">
        <f t="shared" si="233"/>
        <v>0.31590240124117036</v>
      </c>
      <c r="AM268" t="str">
        <f t="shared" si="214"/>
        <v>1-0.324692654273097i</v>
      </c>
      <c r="AN268">
        <f t="shared" si="234"/>
        <v>1.0513920865875437</v>
      </c>
      <c r="AO268">
        <f t="shared" si="235"/>
        <v>-0.31395389027615189</v>
      </c>
      <c r="AP268" s="41" t="str">
        <f t="shared" si="236"/>
        <v>0.118670701095372-5.43375525869093i</v>
      </c>
      <c r="AQ268">
        <f t="shared" si="237"/>
        <v>14.70407241056858</v>
      </c>
      <c r="AR268" s="43">
        <f t="shared" si="238"/>
        <v>-88.748885568977045</v>
      </c>
      <c r="AS268" t="str">
        <f t="shared" si="215"/>
        <v>-0.0000166666666666667</v>
      </c>
      <c r="AT268" t="str">
        <f t="shared" si="216"/>
        <v>0.0000675552002074135i</v>
      </c>
      <c r="AU268">
        <f t="shared" si="239"/>
        <v>6.75552002074135E-5</v>
      </c>
      <c r="AV268">
        <f t="shared" si="240"/>
        <v>1.5707963267948966</v>
      </c>
      <c r="AW268" t="str">
        <f t="shared" si="217"/>
        <v>1+0.0686538487921015i</v>
      </c>
      <c r="AX268">
        <f t="shared" si="241"/>
        <v>1.0023539050425099</v>
      </c>
      <c r="AY268">
        <f t="shared" si="242"/>
        <v>6.8546289579335132E-2</v>
      </c>
      <c r="AZ268" t="str">
        <f t="shared" si="218"/>
        <v>1+2.33423085893145i</v>
      </c>
      <c r="BA268">
        <f t="shared" si="243"/>
        <v>2.5394160160926482</v>
      </c>
      <c r="BB268">
        <f t="shared" si="244"/>
        <v>1.1660437664786851</v>
      </c>
      <c r="BC268" s="41" t="str">
        <f t="shared" si="245"/>
        <v>-0.556322493522643+0.284905504391552i</v>
      </c>
      <c r="BD268">
        <f t="shared" si="246"/>
        <v>-4.0819453619713926</v>
      </c>
      <c r="BE268" s="43">
        <f t="shared" si="247"/>
        <v>152.88197345258934</v>
      </c>
      <c r="BF268" s="41" t="str">
        <f t="shared" si="248"/>
        <v>1.06776700920727-0.00932289023731325i</v>
      </c>
      <c r="BG268" s="20">
        <f t="shared" si="249"/>
        <v>0.56986103369607377</v>
      </c>
      <c r="BH268" s="43">
        <f t="shared" si="250"/>
        <v>-0.50024835541735557</v>
      </c>
      <c r="BI268" s="41" t="str">
        <f t="shared" si="255"/>
        <v>1.48208760237613+3.05673021065879i</v>
      </c>
      <c r="BJ268" s="20">
        <f t="shared" si="251"/>
        <v>10.622127048597193</v>
      </c>
      <c r="BK268" s="43">
        <f t="shared" si="256"/>
        <v>64.133087883612305</v>
      </c>
      <c r="BL268">
        <f t="shared" si="252"/>
        <v>0.56986103369607377</v>
      </c>
      <c r="BM268" s="43">
        <f t="shared" si="253"/>
        <v>-0.50024835541735557</v>
      </c>
    </row>
    <row r="269" spans="14:65" x14ac:dyDescent="0.25">
      <c r="N269" s="9">
        <v>51</v>
      </c>
      <c r="O269" s="34">
        <f t="shared" si="254"/>
        <v>3235.9365692962833</v>
      </c>
      <c r="P269" s="33" t="str">
        <f t="shared" si="206"/>
        <v>16.5157725627975</v>
      </c>
      <c r="Q269" s="4" t="str">
        <f t="shared" si="207"/>
        <v>1+52.6084328954431i</v>
      </c>
      <c r="R269" s="4">
        <f t="shared" si="219"/>
        <v>52.617936216791513</v>
      </c>
      <c r="S269" s="4">
        <f t="shared" si="220"/>
        <v>1.5517902562501189</v>
      </c>
      <c r="T269" s="4" t="str">
        <f t="shared" si="208"/>
        <v>1+0.334461220812905i</v>
      </c>
      <c r="U269" s="4">
        <f t="shared" si="221"/>
        <v>1.0544497656254939</v>
      </c>
      <c r="V269" s="4">
        <f t="shared" si="222"/>
        <v>0.32276530942098552</v>
      </c>
      <c r="W269" t="str">
        <f t="shared" si="209"/>
        <v>1-5.08299727679188i</v>
      </c>
      <c r="X269" s="4">
        <f t="shared" si="223"/>
        <v>5.1804306110470844</v>
      </c>
      <c r="Y269" s="4">
        <f t="shared" si="224"/>
        <v>-1.376542809210608</v>
      </c>
      <c r="Z269" t="str">
        <f t="shared" si="210"/>
        <v>0.999783651126436+0.0711619618750862i</v>
      </c>
      <c r="AA269" s="4">
        <f t="shared" si="225"/>
        <v>1.0023130119267225</v>
      </c>
      <c r="AB269" s="4">
        <f t="shared" si="226"/>
        <v>7.105752509659076E-2</v>
      </c>
      <c r="AC269" s="47" t="str">
        <f t="shared" si="227"/>
        <v>-1.5290138107396-0.767030993117168i</v>
      </c>
      <c r="AD269" s="20">
        <f t="shared" si="228"/>
        <v>4.6630694130959087</v>
      </c>
      <c r="AE269" s="43">
        <f t="shared" si="229"/>
        <v>-153.35933194712928</v>
      </c>
      <c r="AF269" t="str">
        <f t="shared" si="211"/>
        <v>247.084651286898</v>
      </c>
      <c r="AG269" t="str">
        <f t="shared" si="212"/>
        <v>1+51.4471522768992i</v>
      </c>
      <c r="AH269">
        <f t="shared" si="230"/>
        <v>51.456870070015484</v>
      </c>
      <c r="AI269">
        <f t="shared" si="231"/>
        <v>1.5513613523308016</v>
      </c>
      <c r="AJ269" t="str">
        <f t="shared" si="213"/>
        <v>1+0.334461220812905i</v>
      </c>
      <c r="AK269">
        <f t="shared" si="232"/>
        <v>1.0544497656254939</v>
      </c>
      <c r="AL269">
        <f t="shared" si="233"/>
        <v>0.32276530942098552</v>
      </c>
      <c r="AM269" t="str">
        <f t="shared" si="214"/>
        <v>1-0.332255717762698i</v>
      </c>
      <c r="AN269">
        <f t="shared" si="234"/>
        <v>1.0537522773337222</v>
      </c>
      <c r="AO269">
        <f t="shared" si="235"/>
        <v>-0.32078038704712136</v>
      </c>
      <c r="AP269" s="41" t="str">
        <f t="shared" si="236"/>
        <v>0.114274936149925-5.33417408946551i</v>
      </c>
      <c r="AQ269">
        <f t="shared" si="237"/>
        <v>14.543336457372053</v>
      </c>
      <c r="AR269" s="43">
        <f t="shared" si="238"/>
        <v>-88.772730313579316</v>
      </c>
      <c r="AS269" t="str">
        <f t="shared" si="215"/>
        <v>-0.0000166666666666667</v>
      </c>
      <c r="AT269" t="str">
        <f t="shared" si="216"/>
        <v>0.0000691287629643696i</v>
      </c>
      <c r="AU269">
        <f t="shared" si="239"/>
        <v>6.91287629643696E-5</v>
      </c>
      <c r="AV269">
        <f t="shared" si="240"/>
        <v>1.5707963267948966</v>
      </c>
      <c r="AW269" t="str">
        <f t="shared" si="217"/>
        <v>1+0.0702530023620599i</v>
      </c>
      <c r="AX269">
        <f t="shared" si="241"/>
        <v>1.0024647047856017</v>
      </c>
      <c r="AY269">
        <f t="shared" si="242"/>
        <v>7.0137765887730186E-2</v>
      </c>
      <c r="AZ269" t="str">
        <f t="shared" si="218"/>
        <v>1+2.38860208031004i</v>
      </c>
      <c r="BA269">
        <f t="shared" si="243"/>
        <v>2.5894825541141326</v>
      </c>
      <c r="BB269">
        <f t="shared" si="244"/>
        <v>1.174312275295915</v>
      </c>
      <c r="BC269" s="41" t="str">
        <f t="shared" si="245"/>
        <v>-0.556199522643786+0.280170663681426i</v>
      </c>
      <c r="BD269">
        <f t="shared" si="246"/>
        <v>-4.1133227416995997</v>
      </c>
      <c r="BE269" s="43">
        <f t="shared" si="247"/>
        <v>153.2645392350172</v>
      </c>
      <c r="BF269" s="41" t="str">
        <f t="shared" si="248"/>
        <v>1.06533633405498-0.00176254190822206i</v>
      </c>
      <c r="BG269" s="20">
        <f t="shared" si="249"/>
        <v>0.54974667139629407</v>
      </c>
      <c r="BH269" s="43">
        <f t="shared" si="250"/>
        <v>-9.4792712112090949E-2</v>
      </c>
      <c r="BI269" s="41" t="str">
        <f t="shared" si="255"/>
        <v>1.43091942990108+2.99888156696285i</v>
      </c>
      <c r="BJ269" s="20">
        <f t="shared" si="251"/>
        <v>10.430013715672464</v>
      </c>
      <c r="BK269" s="43">
        <f t="shared" si="256"/>
        <v>64.491808921437936</v>
      </c>
      <c r="BL269">
        <f t="shared" si="252"/>
        <v>0.54974667139629407</v>
      </c>
      <c r="BM269" s="43">
        <f t="shared" si="253"/>
        <v>-9.4792712112090949E-2</v>
      </c>
    </row>
    <row r="270" spans="14:65" x14ac:dyDescent="0.25">
      <c r="N270" s="9">
        <v>52</v>
      </c>
      <c r="O270" s="34">
        <f t="shared" si="254"/>
        <v>3311.3112148259115</v>
      </c>
      <c r="P270" s="33" t="str">
        <f t="shared" si="206"/>
        <v>16.5157725627975</v>
      </c>
      <c r="Q270" s="4" t="str">
        <f t="shared" si="207"/>
        <v>1+53.8338407167794i</v>
      </c>
      <c r="R270" s="4">
        <f t="shared" si="219"/>
        <v>53.843127753870093</v>
      </c>
      <c r="S270" s="4">
        <f t="shared" si="220"/>
        <v>1.5522227865846838</v>
      </c>
      <c r="T270" s="4" t="str">
        <f t="shared" si="208"/>
        <v>1+0.342251823447513i</v>
      </c>
      <c r="U270" s="4">
        <f t="shared" si="221"/>
        <v>1.0569466924368265</v>
      </c>
      <c r="V270" s="4">
        <f t="shared" si="222"/>
        <v>0.32975560615484278</v>
      </c>
      <c r="W270" t="str">
        <f t="shared" si="209"/>
        <v>1-5.2013954931233i</v>
      </c>
      <c r="X270" s="4">
        <f t="shared" si="223"/>
        <v>5.2966513077493955</v>
      </c>
      <c r="Y270" s="4">
        <f t="shared" si="224"/>
        <v>-1.3808577939429181</v>
      </c>
      <c r="Z270" t="str">
        <f t="shared" si="210"/>
        <v>0.999773454918152+0.0728195369037261i</v>
      </c>
      <c r="AA270" s="4">
        <f t="shared" si="225"/>
        <v>1.0024218902806599</v>
      </c>
      <c r="AB270" s="4">
        <f t="shared" si="226"/>
        <v>7.270764544311055E-2</v>
      </c>
      <c r="AC270" s="47" t="str">
        <f>(IMDIV(IMPRODUCT(P270,T270,W270),IMPRODUCT(Q270,Z270)))</f>
        <v>-1.53073940107699-0.769032487345756i</v>
      </c>
      <c r="AD270" s="20">
        <f t="shared" si="228"/>
        <v>4.6754507734964248</v>
      </c>
      <c r="AE270" s="43">
        <f t="shared" si="229"/>
        <v>-153.3253749547861</v>
      </c>
      <c r="AF270" t="str">
        <f t="shared" si="211"/>
        <v>247.084651286898</v>
      </c>
      <c r="AG270" t="str">
        <f t="shared" si="212"/>
        <v>1+52.6455103977519i</v>
      </c>
      <c r="AH270">
        <f t="shared" si="230"/>
        <v>52.655007027250534</v>
      </c>
      <c r="AI270">
        <f t="shared" si="231"/>
        <v>1.5518036387419023</v>
      </c>
      <c r="AJ270" t="str">
        <f t="shared" si="213"/>
        <v>1+0.342251823447513i</v>
      </c>
      <c r="AK270">
        <f t="shared" si="232"/>
        <v>1.0569466924368265</v>
      </c>
      <c r="AL270">
        <f t="shared" si="233"/>
        <v>0.32975560615484278</v>
      </c>
      <c r="AM270" t="str">
        <f t="shared" si="214"/>
        <v>1-0.339994947631782i</v>
      </c>
      <c r="AN270">
        <f t="shared" si="234"/>
        <v>1.0562180477605645</v>
      </c>
      <c r="AO270">
        <f t="shared" si="235"/>
        <v>-0.32773397793867876</v>
      </c>
      <c r="AP270" s="41" t="str">
        <f t="shared" si="236"/>
        <v>0.110076867139313-5.23741347960693i</v>
      </c>
      <c r="AQ270">
        <f t="shared" si="237"/>
        <v>14.384255224624038</v>
      </c>
      <c r="AR270" s="43">
        <f t="shared" si="238"/>
        <v>-88.795968368424127</v>
      </c>
      <c r="AS270" t="str">
        <f t="shared" si="215"/>
        <v>-0.0000166666666666667</v>
      </c>
      <c r="AT270" t="str">
        <f t="shared" si="216"/>
        <v>0.0000707389787064767i</v>
      </c>
      <c r="AU270">
        <f t="shared" si="239"/>
        <v>7.0738978706476701E-5</v>
      </c>
      <c r="AV270">
        <f t="shared" si="240"/>
        <v>1.5707963267948966</v>
      </c>
      <c r="AW270" t="str">
        <f t="shared" si="217"/>
        <v>1+0.0718894050037794i</v>
      </c>
      <c r="AX270">
        <f t="shared" si="241"/>
        <v>1.0025807132354967</v>
      </c>
      <c r="AY270">
        <f t="shared" si="242"/>
        <v>7.1765944056635611E-2</v>
      </c>
      <c r="AZ270" t="str">
        <f t="shared" si="218"/>
        <v>1+2.4442397701285i</v>
      </c>
      <c r="BA270">
        <f t="shared" si="243"/>
        <v>2.6408915263368584</v>
      </c>
      <c r="BB270">
        <f t="shared" si="244"/>
        <v>1.1824482638280951</v>
      </c>
      <c r="BC270" s="41" t="str">
        <f t="shared" si="245"/>
        <v>-0.556070814579528+0.275583562843646i</v>
      </c>
      <c r="BD270">
        <f t="shared" si="246"/>
        <v>-4.1435763696416137</v>
      </c>
      <c r="BE270" s="43">
        <f t="shared" si="247"/>
        <v>153.63740930270433</v>
      </c>
      <c r="BF270" s="41" t="str">
        <f t="shared" si="248"/>
        <v>1.06313221847112+0.00578990374252941i</v>
      </c>
      <c r="BG270" s="20">
        <f t="shared" si="249"/>
        <v>0.53187440385485185</v>
      </c>
      <c r="BH270" s="43">
        <f t="shared" si="250"/>
        <v>0.31203434791821577</v>
      </c>
      <c r="BI270" s="41" t="str">
        <f t="shared" si="255"/>
        <v>1.38213453361889+2.94270815512774i</v>
      </c>
      <c r="BJ270" s="20">
        <f t="shared" si="251"/>
        <v>10.240678854982409</v>
      </c>
      <c r="BK270" s="43">
        <f t="shared" si="256"/>
        <v>64.841440934280243</v>
      </c>
      <c r="BL270">
        <f t="shared" si="252"/>
        <v>0.53187440385485185</v>
      </c>
      <c r="BM270" s="43">
        <f t="shared" si="253"/>
        <v>0.31203434791821577</v>
      </c>
    </row>
    <row r="271" spans="14:65" x14ac:dyDescent="0.25">
      <c r="N271" s="9">
        <v>53</v>
      </c>
      <c r="O271" s="34">
        <f t="shared" si="254"/>
        <v>3388.4415613920314</v>
      </c>
      <c r="P271" s="33" t="str">
        <f t="shared" si="206"/>
        <v>16.5157725627975</v>
      </c>
      <c r="Q271" s="4" t="str">
        <f t="shared" si="207"/>
        <v>1+55.0877919530388i</v>
      </c>
      <c r="R271" s="4">
        <f t="shared" si="219"/>
        <v>55.096867626583695</v>
      </c>
      <c r="S271" s="4">
        <f t="shared" si="220"/>
        <v>1.5526454780429593</v>
      </c>
      <c r="T271" s="4" t="str">
        <f t="shared" si="208"/>
        <v>1+0.35022389252915i</v>
      </c>
      <c r="U271" s="4">
        <f t="shared" si="221"/>
        <v>1.0595549890865832</v>
      </c>
      <c r="V271" s="4">
        <f t="shared" si="222"/>
        <v>0.33687426428401307</v>
      </c>
      <c r="W271" t="str">
        <f t="shared" si="209"/>
        <v>1-5.32255155819378i</v>
      </c>
      <c r="X271" s="4">
        <f t="shared" si="223"/>
        <v>5.4156767896202078</v>
      </c>
      <c r="Y271" s="4">
        <f t="shared" si="224"/>
        <v>-1.3850814868115842</v>
      </c>
      <c r="Z271" t="str">
        <f t="shared" si="210"/>
        <v>0.999762778177377+0.0745157218147128i</v>
      </c>
      <c r="AA271" s="4">
        <f t="shared" si="225"/>
        <v>1.0025358873509291</v>
      </c>
      <c r="AB271" s="4">
        <f t="shared" si="226"/>
        <v>7.4395844290153168E-2</v>
      </c>
      <c r="AC271" s="47" t="str">
        <f t="shared" si="227"/>
        <v>-1.53251867589493-0.771431869590702i</v>
      </c>
      <c r="AD271" s="20">
        <f t="shared" si="228"/>
        <v>4.6889659019417769</v>
      </c>
      <c r="AE271" s="43">
        <f t="shared" si="229"/>
        <v>-153.28045076903209</v>
      </c>
      <c r="AF271" t="str">
        <f t="shared" si="211"/>
        <v>247.084651286898</v>
      </c>
      <c r="AG271" t="str">
        <f t="shared" si="212"/>
        <v>1+53.8717818650632i</v>
      </c>
      <c r="AH271">
        <f t="shared" si="230"/>
        <v>53.881062362549535</v>
      </c>
      <c r="AI271">
        <f t="shared" si="231"/>
        <v>1.5522358646662124</v>
      </c>
      <c r="AJ271" t="str">
        <f t="shared" si="213"/>
        <v>1+0.35022389252915i</v>
      </c>
      <c r="AK271">
        <f t="shared" si="232"/>
        <v>1.0595549890865832</v>
      </c>
      <c r="AL271">
        <f t="shared" si="233"/>
        <v>0.33687426428401307</v>
      </c>
      <c r="AM271" t="str">
        <f t="shared" si="214"/>
        <v>1-0.347914447322465i</v>
      </c>
      <c r="AN271">
        <f t="shared" si="234"/>
        <v>1.0587938716557139</v>
      </c>
      <c r="AO271">
        <f t="shared" si="235"/>
        <v>-0.33481565915826067</v>
      </c>
      <c r="AP271" s="41" t="str">
        <f t="shared" si="236"/>
        <v>0.106067609127213-5.14342263829006i</v>
      </c>
      <c r="AQ271">
        <f t="shared" si="237"/>
        <v>14.226890756968837</v>
      </c>
      <c r="AR271" s="43">
        <f t="shared" si="238"/>
        <v>-88.818614468824393</v>
      </c>
      <c r="AS271" t="str">
        <f t="shared" si="215"/>
        <v>-0.0000166666666666667</v>
      </c>
      <c r="AT271" t="str">
        <f t="shared" si="216"/>
        <v>0.0000723867011914352i</v>
      </c>
      <c r="AU271">
        <f t="shared" si="239"/>
        <v>7.2386701191435205E-5</v>
      </c>
      <c r="AV271">
        <f t="shared" si="240"/>
        <v>1.5707963267948966</v>
      </c>
      <c r="AW271" t="str">
        <f t="shared" si="217"/>
        <v>1+0.0735639243596005i</v>
      </c>
      <c r="AX271">
        <f t="shared" si="241"/>
        <v>1.0027021746097817</v>
      </c>
      <c r="AY271">
        <f t="shared" si="242"/>
        <v>7.3431652818352511E-2</v>
      </c>
      <c r="AZ271" t="str">
        <f t="shared" si="218"/>
        <v>1+2.50117342822642i</v>
      </c>
      <c r="BA271">
        <f t="shared" si="243"/>
        <v>2.693671939577257</v>
      </c>
      <c r="BB271">
        <f t="shared" si="244"/>
        <v>1.1904517363864586</v>
      </c>
      <c r="BC271" s="41" t="str">
        <f t="shared" si="245"/>
        <v>-0.555936104520481+0.271141712386012i</v>
      </c>
      <c r="BD271">
        <f t="shared" si="246"/>
        <v>-4.1727458083235138</v>
      </c>
      <c r="BE271" s="43">
        <f t="shared" si="247"/>
        <v>154.00053641980298</v>
      </c>
      <c r="BF271" s="41" t="str">
        <f t="shared" si="248"/>
        <v>1.06114982089188+0.0133370904375115i</v>
      </c>
      <c r="BG271" s="20">
        <f t="shared" si="249"/>
        <v>0.51622009361827326</v>
      </c>
      <c r="BH271" s="43">
        <f t="shared" si="250"/>
        <v>0.72008565077090447</v>
      </c>
      <c r="BI271" s="41" t="str">
        <f t="shared" si="255"/>
        <v>1.33562960823696+2.88817369860087i</v>
      </c>
      <c r="BJ271" s="20">
        <f t="shared" si="251"/>
        <v>10.054144948645312</v>
      </c>
      <c r="BK271" s="43">
        <f t="shared" si="256"/>
        <v>65.181921950978634</v>
      </c>
      <c r="BL271">
        <f t="shared" si="252"/>
        <v>0.51622009361827326</v>
      </c>
      <c r="BM271" s="43">
        <f t="shared" si="253"/>
        <v>0.72008565077090447</v>
      </c>
    </row>
    <row r="272" spans="14:65" x14ac:dyDescent="0.25">
      <c r="N272" s="9">
        <v>54</v>
      </c>
      <c r="O272" s="34">
        <f t="shared" si="254"/>
        <v>3467.3685045253224</v>
      </c>
      <c r="P272" s="33" t="str">
        <f t="shared" si="206"/>
        <v>16.5157725627975</v>
      </c>
      <c r="Q272" s="4" t="str">
        <f t="shared" si="207"/>
        <v>1+56.3709514657647i</v>
      </c>
      <c r="R272" s="4">
        <f t="shared" si="219"/>
        <v>56.379820584634707</v>
      </c>
      <c r="S272" s="4">
        <f t="shared" si="220"/>
        <v>1.5530585541370334</v>
      </c>
      <c r="T272" s="4" t="str">
        <f t="shared" si="208"/>
        <v>1+0.358381654954368i</v>
      </c>
      <c r="U272" s="4">
        <f t="shared" si="221"/>
        <v>1.062279346785878</v>
      </c>
      <c r="V272" s="4">
        <f t="shared" si="222"/>
        <v>0.34412217136827428</v>
      </c>
      <c r="W272" t="str">
        <f t="shared" si="209"/>
        <v>1-5.4465297105527i</v>
      </c>
      <c r="X272" s="4">
        <f t="shared" si="223"/>
        <v>5.5375703957541953</v>
      </c>
      <c r="Y272" s="4">
        <f t="shared" si="224"/>
        <v>-1.3892155241906763</v>
      </c>
      <c r="Z272" t="str">
        <f t="shared" si="210"/>
        <v>0.99975159825731+0.0762514159477377i</v>
      </c>
      <c r="AA272" s="4">
        <f t="shared" si="225"/>
        <v>1.0026552431678999</v>
      </c>
      <c r="AB272" s="4">
        <f t="shared" si="226"/>
        <v>7.6122983188648435E-2</v>
      </c>
      <c r="AC272" s="47" t="str">
        <f t="shared" si="227"/>
        <v>-1.53435531415532-0.774229781146753i</v>
      </c>
      <c r="AD272" s="20">
        <f t="shared" si="228"/>
        <v>4.7036314589964734</v>
      </c>
      <c r="AE272" s="43">
        <f t="shared" si="229"/>
        <v>-153.22466446329705</v>
      </c>
      <c r="AF272" t="str">
        <f t="shared" si="211"/>
        <v>247.084651286898</v>
      </c>
      <c r="AG272" t="str">
        <f t="shared" si="212"/>
        <v>1+55.1266168641966i</v>
      </c>
      <c r="AH272">
        <f t="shared" si="230"/>
        <v>55.135686146922353</v>
      </c>
      <c r="AI272">
        <f t="shared" si="231"/>
        <v>1.552658258629283</v>
      </c>
      <c r="AJ272" t="str">
        <f t="shared" si="213"/>
        <v>1+0.358381654954368i</v>
      </c>
      <c r="AK272">
        <f t="shared" si="232"/>
        <v>1.062279346785878</v>
      </c>
      <c r="AL272">
        <f t="shared" si="233"/>
        <v>0.34412217136827428</v>
      </c>
      <c r="AM272" t="str">
        <f t="shared" si="214"/>
        <v>1-0.35601841585831i</v>
      </c>
      <c r="AN272">
        <f t="shared" si="234"/>
        <v>1.0614843910440985</v>
      </c>
      <c r="AO272">
        <f t="shared" si="235"/>
        <v>-0.34202634340527699</v>
      </c>
      <c r="AP272" s="41" t="str">
        <f t="shared" si="236"/>
        <v>0.102238675935854-5.05215220906152i</v>
      </c>
      <c r="AQ272">
        <f t="shared" si="237"/>
        <v>14.071306695119063</v>
      </c>
      <c r="AR272" s="43">
        <f t="shared" si="238"/>
        <v>-88.840683148724509</v>
      </c>
      <c r="AS272" t="str">
        <f t="shared" si="215"/>
        <v>-0.0000166666666666667</v>
      </c>
      <c r="AT272" t="str">
        <f t="shared" si="216"/>
        <v>0.0000740728040635166i</v>
      </c>
      <c r="AU272">
        <f t="shared" si="239"/>
        <v>7.4072804063516606E-5</v>
      </c>
      <c r="AV272">
        <f t="shared" si="240"/>
        <v>1.5707963267948966</v>
      </c>
      <c r="AW272" t="str">
        <f t="shared" si="217"/>
        <v>1+0.0752774482818507i</v>
      </c>
      <c r="AX272">
        <f t="shared" si="241"/>
        <v>1.0028293445147218</v>
      </c>
      <c r="AY272">
        <f t="shared" si="242"/>
        <v>7.5135738359773524E-2</v>
      </c>
      <c r="AZ272" t="str">
        <f t="shared" si="218"/>
        <v>1+2.55943324158292i</v>
      </c>
      <c r="BA272">
        <f t="shared" si="243"/>
        <v>2.747853438253149</v>
      </c>
      <c r="BB272">
        <f t="shared" si="244"/>
        <v>1.1983228341400205</v>
      </c>
      <c r="BC272" s="41" t="str">
        <f t="shared" si="245"/>
        <v>-0.555795115708608+0.266842695801271i</v>
      </c>
      <c r="BD272">
        <f t="shared" si="246"/>
        <v>-4.2008700867936746</v>
      </c>
      <c r="BE272" s="43">
        <f t="shared" si="247"/>
        <v>154.35388019176423</v>
      </c>
      <c r="BF272" s="41" t="str">
        <f t="shared" si="248"/>
        <v>1.0593847513399+0.0208816224512982i</v>
      </c>
      <c r="BG272" s="20">
        <f t="shared" si="249"/>
        <v>0.50276137220278938</v>
      </c>
      <c r="BH272" s="43">
        <f t="shared" si="250"/>
        <v>1.1292157284671731</v>
      </c>
      <c r="BI272" s="41" t="str">
        <f t="shared" si="255"/>
        <v>1.29130615834266+2.83524316551472i</v>
      </c>
      <c r="BJ272" s="20">
        <f t="shared" si="251"/>
        <v>9.8704366083253845</v>
      </c>
      <c r="BK272" s="43">
        <f t="shared" si="256"/>
        <v>65.513197043039696</v>
      </c>
      <c r="BL272">
        <f t="shared" si="252"/>
        <v>0.50276137220278938</v>
      </c>
      <c r="BM272" s="43">
        <f t="shared" si="253"/>
        <v>1.1292157284671731</v>
      </c>
    </row>
    <row r="273" spans="14:65" x14ac:dyDescent="0.25">
      <c r="N273" s="9">
        <v>55</v>
      </c>
      <c r="O273" s="34">
        <f t="shared" si="254"/>
        <v>3548.1338923357539</v>
      </c>
      <c r="P273" s="33" t="str">
        <f t="shared" si="206"/>
        <v>16.5157725627975</v>
      </c>
      <c r="Q273" s="4" t="str">
        <f t="shared" si="207"/>
        <v>1+57.6839996031153i</v>
      </c>
      <c r="R273" s="4">
        <f t="shared" si="219"/>
        <v>57.692666866874916</v>
      </c>
      <c r="S273" s="4">
        <f t="shared" si="220"/>
        <v>1.5534622333211239</v>
      </c>
      <c r="T273" s="4" t="str">
        <f t="shared" si="208"/>
        <v>1+0.366729436076782i</v>
      </c>
      <c r="U273" s="4">
        <f t="shared" si="221"/>
        <v>1.0651246308696436</v>
      </c>
      <c r="V273" s="4">
        <f t="shared" si="222"/>
        <v>0.35150012340899545</v>
      </c>
      <c r="W273" t="str">
        <f t="shared" si="209"/>
        <v>1-5.57339568505748i</v>
      </c>
      <c r="X273" s="4">
        <f t="shared" si="223"/>
        <v>5.6623969714439255</v>
      </c>
      <c r="Y273" s="4">
        <f t="shared" si="224"/>
        <v>-1.3932615325107993</v>
      </c>
      <c r="Z273" t="str">
        <f t="shared" si="210"/>
        <v>0.999739891443844+0.0780275395908046i</v>
      </c>
      <c r="AA273" s="4">
        <f t="shared" si="225"/>
        <v>1.0027802089584454</v>
      </c>
      <c r="AB273" s="4">
        <f t="shared" si="226"/>
        <v>7.7889941961325232E-2</v>
      </c>
      <c r="AC273" s="47" t="str">
        <f t="shared" si="227"/>
        <v>-1.53625310763592-0.777427025807648i</v>
      </c>
      <c r="AD273" s="20">
        <f t="shared" si="228"/>
        <v>4.7194653101458099</v>
      </c>
      <c r="AE273" s="43">
        <f t="shared" si="229"/>
        <v>-153.15812654430533</v>
      </c>
      <c r="AF273" t="str">
        <f t="shared" si="211"/>
        <v>247.084651286898</v>
      </c>
      <c r="AG273" t="str">
        <f t="shared" si="212"/>
        <v>1+56.4106807252781i</v>
      </c>
      <c r="AH273">
        <f t="shared" si="230"/>
        <v>56.419543598732361</v>
      </c>
      <c r="AI273">
        <f t="shared" si="231"/>
        <v>1.5530710439867412</v>
      </c>
      <c r="AJ273" t="str">
        <f t="shared" si="213"/>
        <v>1+0.366729436076782i</v>
      </c>
      <c r="AK273">
        <f t="shared" si="232"/>
        <v>1.0651246308696436</v>
      </c>
      <c r="AL273">
        <f t="shared" si="233"/>
        <v>0.35150012340899545</v>
      </c>
      <c r="AM273" t="str">
        <f t="shared" si="214"/>
        <v>1-0.364311150070702i</v>
      </c>
      <c r="AN273">
        <f t="shared" si="234"/>
        <v>1.0642944207623366</v>
      </c>
      <c r="AO273">
        <f t="shared" si="235"/>
        <v>-0.34936685364043663</v>
      </c>
      <c r="AP273" s="41" t="str">
        <f t="shared" si="236"/>
        <v>0.0985819622981582-4.96355424594855i</v>
      </c>
      <c r="AQ273">
        <f t="shared" si="237"/>
        <v>13.917568257096057</v>
      </c>
      <c r="AR273" s="43">
        <f t="shared" si="238"/>
        <v>-88.862188750115635</v>
      </c>
      <c r="AS273" t="str">
        <f t="shared" si="215"/>
        <v>-0.0000166666666666667</v>
      </c>
      <c r="AT273" t="str">
        <f t="shared" si="216"/>
        <v>0.0000757981813167817i</v>
      </c>
      <c r="AU273">
        <f t="shared" si="239"/>
        <v>7.5798181316781706E-5</v>
      </c>
      <c r="AV273">
        <f t="shared" si="240"/>
        <v>1.5707963267948966</v>
      </c>
      <c r="AW273" t="str">
        <f t="shared" si="217"/>
        <v>1+0.0770308853035944i</v>
      </c>
      <c r="AX273">
        <f t="shared" si="241"/>
        <v>1.002962490470434</v>
      </c>
      <c r="AY273">
        <f t="shared" si="242"/>
        <v>7.6879064599385788E-2</v>
      </c>
      <c r="AZ273" t="str">
        <f t="shared" si="218"/>
        <v>1+2.61905010032221i</v>
      </c>
      <c r="BA273">
        <f t="shared" si="243"/>
        <v>2.8034663236782031</v>
      </c>
      <c r="BB273">
        <f t="shared" si="244"/>
        <v>1.2060618282376934</v>
      </c>
      <c r="BC273" s="41" t="str">
        <f t="shared" si="245"/>
        <v>-0.5556475589244+0.262684168006494i</v>
      </c>
      <c r="BD273">
        <f t="shared" si="246"/>
        <v>-4.2279876698167387</v>
      </c>
      <c r="BE273" s="43">
        <f t="shared" si="247"/>
        <v>154.69740665539348</v>
      </c>
      <c r="BF273" s="41" t="str">
        <f t="shared" si="248"/>
        <v>1.05783306060797+0.0284260597051436i</v>
      </c>
      <c r="BG273" s="20">
        <f t="shared" si="249"/>
        <v>0.49147764032909041</v>
      </c>
      <c r="BH273" s="43">
        <f t="shared" si="250"/>
        <v>1.5392801110881471</v>
      </c>
      <c r="BI273" s="41" t="str">
        <f t="shared" si="255"/>
        <v>1.24907029074715+2.78388272109689i</v>
      </c>
      <c r="BJ273" s="20">
        <f t="shared" si="251"/>
        <v>9.6895805872793197</v>
      </c>
      <c r="BK273" s="43">
        <f t="shared" si="256"/>
        <v>65.835217905277787</v>
      </c>
      <c r="BL273">
        <f t="shared" si="252"/>
        <v>0.49147764032909041</v>
      </c>
      <c r="BM273" s="43">
        <f t="shared" si="253"/>
        <v>1.5392801110881471</v>
      </c>
    </row>
    <row r="274" spans="14:65" x14ac:dyDescent="0.25">
      <c r="N274" s="9">
        <v>56</v>
      </c>
      <c r="O274" s="34">
        <f t="shared" si="254"/>
        <v>3630.7805477010188</v>
      </c>
      <c r="P274" s="33" t="str">
        <f t="shared" si="206"/>
        <v>16.5157725627975</v>
      </c>
      <c r="Q274" s="4" t="str">
        <f t="shared" si="207"/>
        <v>1+59.0276325605938i</v>
      </c>
      <c r="R274" s="4">
        <f t="shared" si="219"/>
        <v>59.036102561978751</v>
      </c>
      <c r="S274" s="4">
        <f t="shared" si="220"/>
        <v>1.5538567291047172</v>
      </c>
      <c r="T274" s="4" t="str">
        <f t="shared" si="208"/>
        <v>1+0.375271662000445i</v>
      </c>
      <c r="U274" s="4">
        <f t="shared" si="221"/>
        <v>1.0680958853495206</v>
      </c>
      <c r="V274" s="4">
        <f t="shared" si="222"/>
        <v>0.35900881842126425</v>
      </c>
      <c r="W274" t="str">
        <f t="shared" si="209"/>
        <v>1-5.70321674772712i</v>
      </c>
      <c r="X274" s="4">
        <f t="shared" si="223"/>
        <v>5.7902229034429329</v>
      </c>
      <c r="Y274" s="4">
        <f t="shared" si="224"/>
        <v>-1.3972211268869328</v>
      </c>
      <c r="Z274" t="str">
        <f t="shared" si="210"/>
        <v>0.999727632905257+0.0798450344681797i</v>
      </c>
      <c r="AA274" s="4">
        <f t="shared" si="225"/>
        <v>1.0029110476625398</v>
      </c>
      <c r="AB274" s="4">
        <f t="shared" si="226"/>
        <v>7.9697619002398801E-2</v>
      </c>
      <c r="AC274" s="47" t="str">
        <f t="shared" si="227"/>
        <v>-1.53821596811295-0.781024567202268i</v>
      </c>
      <c r="AD274" s="20">
        <f t="shared" si="228"/>
        <v>4.7364864920690328</v>
      </c>
      <c r="AE274" s="43">
        <f t="shared" si="229"/>
        <v>-153.08095326539936</v>
      </c>
      <c r="AF274" t="str">
        <f t="shared" si="211"/>
        <v>247.084651286898</v>
      </c>
      <c r="AG274" t="str">
        <f t="shared" si="212"/>
        <v>1+57.7246542759643i</v>
      </c>
      <c r="AH274">
        <f t="shared" si="230"/>
        <v>57.733315436406414</v>
      </c>
      <c r="AI274">
        <f t="shared" si="231"/>
        <v>1.5534744390398434</v>
      </c>
      <c r="AJ274" t="str">
        <f t="shared" si="213"/>
        <v>1+0.375271662000445i</v>
      </c>
      <c r="AK274">
        <f t="shared" si="232"/>
        <v>1.0680958853495206</v>
      </c>
      <c r="AL274">
        <f t="shared" si="233"/>
        <v>0.35900881842126425</v>
      </c>
      <c r="AM274" t="str">
        <f t="shared" si="214"/>
        <v>1-0.372797046877093i</v>
      </c>
      <c r="AN274">
        <f t="shared" si="234"/>
        <v>1.0672289530181804</v>
      </c>
      <c r="AO274">
        <f t="shared" si="235"/>
        <v>-0.35683791669958792</v>
      </c>
      <c r="AP274" s="41" t="str">
        <f t="shared" si="236"/>
        <v>0.095089726804511-4.87758219016358i</v>
      </c>
      <c r="AQ274">
        <f t="shared" si="237"/>
        <v>13.765742213201085</v>
      </c>
      <c r="AR274" s="43">
        <f t="shared" si="238"/>
        <v>-88.883145432046376</v>
      </c>
      <c r="AS274" t="str">
        <f t="shared" si="215"/>
        <v>-0.0000166666666666667</v>
      </c>
      <c r="AT274" t="str">
        <f t="shared" si="216"/>
        <v>0.0000775637477690889i</v>
      </c>
      <c r="AU274">
        <f t="shared" si="239"/>
        <v>7.7563747769088893E-5</v>
      </c>
      <c r="AV274">
        <f t="shared" si="240"/>
        <v>1.5707963267948966</v>
      </c>
      <c r="AW274" t="str">
        <f t="shared" si="217"/>
        <v>1+0.0788251651203509i</v>
      </c>
      <c r="AX274">
        <f t="shared" si="241"/>
        <v>1.0031018924597095</v>
      </c>
      <c r="AY274">
        <f t="shared" si="242"/>
        <v>7.8662513461784794E-2</v>
      </c>
      <c r="AZ274" t="str">
        <f t="shared" si="218"/>
        <v>1+2.68005561409193i</v>
      </c>
      <c r="BA274">
        <f t="shared" si="243"/>
        <v>2.8605415736579798</v>
      </c>
      <c r="BB274">
        <f t="shared" si="244"/>
        <v>1.2136691129448738</v>
      </c>
      <c r="BC274" s="41" t="str">
        <f t="shared" si="245"/>
        <v>-0.555493131954613+0.258663853801431i</v>
      </c>
      <c r="BD274">
        <f t="shared" si="246"/>
        <v>-4.2541364315353007</v>
      </c>
      <c r="BE274" s="43">
        <f t="shared" si="247"/>
        <v>155.03108786987639</v>
      </c>
      <c r="BF274" s="41" t="str">
        <f t="shared" si="248"/>
        <v>1.05649123021579+0.0359729126776893i</v>
      </c>
      <c r="BG274" s="20">
        <f t="shared" si="249"/>
        <v>0.48235006053370771</v>
      </c>
      <c r="BH274" s="43">
        <f t="shared" si="250"/>
        <v>1.950134604477014</v>
      </c>
      <c r="BI274" s="41" t="str">
        <f t="shared" si="255"/>
        <v>1.20883251638159+2.73405968237219i</v>
      </c>
      <c r="BJ274" s="20">
        <f t="shared" si="251"/>
        <v>9.5116057816657911</v>
      </c>
      <c r="BK274" s="43">
        <f t="shared" si="256"/>
        <v>66.147942437830011</v>
      </c>
      <c r="BL274">
        <f t="shared" si="252"/>
        <v>0.48235006053370771</v>
      </c>
      <c r="BM274" s="43">
        <f t="shared" si="253"/>
        <v>1.950134604477014</v>
      </c>
    </row>
    <row r="275" spans="14:65" x14ac:dyDescent="0.25">
      <c r="N275" s="9">
        <v>57</v>
      </c>
      <c r="O275" s="34">
        <f t="shared" si="254"/>
        <v>3715.352290971724</v>
      </c>
      <c r="P275" s="33" t="str">
        <f t="shared" ref="P275:P338" si="257">COMPLEX(Adc,0)</f>
        <v>16.5157725627975</v>
      </c>
      <c r="Q275" s="4" t="str">
        <f t="shared" ref="Q275:Q338" si="258">IMSUM(COMPLEX(1,0),IMDIV(COMPLEX(0,2*PI()*O275),COMPLEX(wp_lf,0)))</f>
        <v>1+60.4025627501789i</v>
      </c>
      <c r="R275" s="4">
        <f t="shared" si="219"/>
        <v>60.410839977518101</v>
      </c>
      <c r="S275" s="4">
        <f t="shared" si="220"/>
        <v>1.5542422501632644</v>
      </c>
      <c r="T275" s="4" t="str">
        <f t="shared" ref="T275:T338" si="259">IMSUM(COMPLEX(1,0),IMDIV(COMPLEX(0,2*PI()*O275),COMPLEX(wz_esr,0)))</f>
        <v>1+0.384012861926607i</v>
      </c>
      <c r="U275" s="4">
        <f t="shared" si="221"/>
        <v>1.0711983374357259</v>
      </c>
      <c r="V275" s="4">
        <f t="shared" si="222"/>
        <v>0.36664884987230834</v>
      </c>
      <c r="W275" t="str">
        <f t="shared" ref="W275:W338" si="260">IMSUB(COMPLEX(1,0),IMDIV(COMPLEX(0,2*PI()*O275),COMPLEX(wz_rhp,0)))</f>
        <v>1-5.8360617314074i</v>
      </c>
      <c r="X275" s="4">
        <f t="shared" si="223"/>
        <v>5.9211161559960921</v>
      </c>
      <c r="Y275" s="4">
        <f t="shared" si="224"/>
        <v>-1.4010959098616265</v>
      </c>
      <c r="Z275" t="str">
        <f t="shared" ref="Z275:Z338" si="261">IMSUM(COMPLEX(1,0),IMDIV(COMPLEX(0,2*PI()*O275),COMPLEX(Q*(wsl/2),0)),IMDIV(IMPOWER(COMPLEX(0,2*PI()*O275),2),IMPOWER(COMPLEX(wsl/2,0),2)))</f>
        <v>0.999714796639545+0.0817048642397035i</v>
      </c>
      <c r="AA275" s="4">
        <f t="shared" si="225"/>
        <v>1.0030480344731627</v>
      </c>
      <c r="AB275" s="4">
        <f t="shared" si="226"/>
        <v>8.154693157553515E-2</v>
      </c>
      <c r="AC275" s="47" t="str">
        <f t="shared" si="227"/>
        <v>-1.54024793471915-0.785023525986455i</v>
      </c>
      <c r="AD275" s="20">
        <f t="shared" si="228"/>
        <v>4.7547151755774975</v>
      </c>
      <c r="AE275" s="43">
        <f t="shared" si="229"/>
        <v>-152.99326695389573</v>
      </c>
      <c r="AF275" t="str">
        <f t="shared" ref="AF275:AF338" si="262">COMPLEX($B$72,0)</f>
        <v>247.084651286898</v>
      </c>
      <c r="AG275" t="str">
        <f t="shared" ref="AG275:AG338" si="263">IMSUM(COMPLEX(1,0),IMDIV(COMPLEX(0,2*PI()*O275),COMPLEX(wp_lf_DCM,0)))</f>
        <v>1+59.0692342024235i</v>
      </c>
      <c r="AH275">
        <f t="shared" si="230"/>
        <v>59.077698239358966</v>
      </c>
      <c r="AI275">
        <f t="shared" si="231"/>
        <v>1.5538686571485365</v>
      </c>
      <c r="AJ275" t="str">
        <f t="shared" ref="AJ275:AJ338" si="264">IMSUM(COMPLEX(1,0),IMDIV(COMPLEX(0,2*PI()*O275),COMPLEX(wz1_dcm,0)))</f>
        <v>1+0.384012861926607i</v>
      </c>
      <c r="AK275">
        <f t="shared" si="232"/>
        <v>1.0711983374357259</v>
      </c>
      <c r="AL275">
        <f t="shared" si="233"/>
        <v>0.36664884987230834</v>
      </c>
      <c r="AM275" t="str">
        <f t="shared" ref="AM275:AM338" si="265">IMSUB(COMPLEX(1,0),IMDIV(COMPLEX(0,2*PI()*O275),COMPLEX(wz2_dcm,0)))</f>
        <v>1-0.381480605612289i</v>
      </c>
      <c r="AN275">
        <f t="shared" si="234"/>
        <v>1.0702931619226195</v>
      </c>
      <c r="AO275">
        <f t="shared" si="235"/>
        <v>-0.36444015676863079</v>
      </c>
      <c r="AP275" s="41" t="str">
        <f t="shared" si="236"/>
        <v>0.0917545756090671-4.79419084740366i</v>
      </c>
      <c r="AQ275">
        <f t="shared" si="237"/>
        <v>13.615896854306976</v>
      </c>
      <c r="AR275" s="43">
        <f t="shared" si="238"/>
        <v>-88.903567179191484</v>
      </c>
      <c r="AS275" t="str">
        <f t="shared" ref="AS275:AS338" si="266">COMPLEX(Adc_ea,0)</f>
        <v>-0.0000166666666666667</v>
      </c>
      <c r="AT275" t="str">
        <f t="shared" ref="AT275:AT338" si="267">COMPLEX(0,2*PI()*O275*wp0_ea)</f>
        <v>0.0000793704395471405i</v>
      </c>
      <c r="AU275">
        <f t="shared" si="239"/>
        <v>7.93704395471405E-5</v>
      </c>
      <c r="AV275">
        <f t="shared" si="240"/>
        <v>1.5707963267948966</v>
      </c>
      <c r="AW275" t="str">
        <f t="shared" ref="AW275:AW338" si="268">IMSUM(COMPLEX(1,0),IMDIV(COMPLEX(0,2*PI()*O275),COMPLEX(wp1_ea,0)))</f>
        <v>1+0.0806612390830284i</v>
      </c>
      <c r="AX275">
        <f t="shared" si="241"/>
        <v>1.0032478435014995</v>
      </c>
      <c r="AY275">
        <f t="shared" si="242"/>
        <v>8.0486985149032908E-2</v>
      </c>
      <c r="AZ275" t="str">
        <f t="shared" ref="AZ275:AZ338" si="269">IMSUM(COMPLEX(1,0),IMDIV(COMPLEX(0,2*PI()*O275),COMPLEX(wz_ea,0)))</f>
        <v>1+2.74248212882296i</v>
      </c>
      <c r="BA275">
        <f t="shared" si="243"/>
        <v>2.9191108623882913</v>
      </c>
      <c r="BB275">
        <f t="shared" si="244"/>
        <v>1.2211451988249222</v>
      </c>
      <c r="BC275" s="41" t="str">
        <f t="shared" si="245"/>
        <v>-0.555331519040079+0.254779546343734i</v>
      </c>
      <c r="BD275">
        <f t="shared" si="246"/>
        <v>-4.2793536334293387</v>
      </c>
      <c r="BE275" s="43">
        <f t="shared" si="247"/>
        <v>155.35490151056001</v>
      </c>
      <c r="BF275" s="41" t="str">
        <f t="shared" si="248"/>
        <v>1.05535616310592+0.0435246371036387i</v>
      </c>
      <c r="BG275" s="20">
        <f t="shared" si="249"/>
        <v>0.47536154214817694</v>
      </c>
      <c r="BH275" s="43">
        <f t="shared" si="250"/>
        <v>2.361634556664268</v>
      </c>
      <c r="BI275" s="41" t="str">
        <f t="shared" si="255"/>
        <v>1.17050756133493+2.68574247500536i</v>
      </c>
      <c r="BJ275" s="20">
        <f t="shared" si="251"/>
        <v>9.3365432208776475</v>
      </c>
      <c r="BK275" s="43">
        <f t="shared" si="256"/>
        <v>66.451334331368471</v>
      </c>
      <c r="BL275">
        <f t="shared" si="252"/>
        <v>0.47536154214817694</v>
      </c>
      <c r="BM275" s="43">
        <f t="shared" si="253"/>
        <v>2.361634556664268</v>
      </c>
    </row>
    <row r="276" spans="14:65" x14ac:dyDescent="0.25">
      <c r="N276" s="9">
        <v>58</v>
      </c>
      <c r="O276" s="34">
        <f t="shared" si="254"/>
        <v>3801.8939632056172</v>
      </c>
      <c r="P276" s="33" t="str">
        <f t="shared" si="257"/>
        <v>16.5157725627975</v>
      </c>
      <c r="Q276" s="4" t="str">
        <f t="shared" si="258"/>
        <v>1+61.8095191780566i</v>
      </c>
      <c r="R276" s="4">
        <f t="shared" ref="R276:R339" si="270">IMABS(Q276)</f>
        <v>61.817608017639657</v>
      </c>
      <c r="S276" s="4">
        <f t="shared" ref="S276:S339" si="271">IMARGUMENT(Q276)</f>
        <v>1.5546190004464817</v>
      </c>
      <c r="T276" s="4" t="str">
        <f t="shared" si="259"/>
        <v>1+0.392957670555174i</v>
      </c>
      <c r="U276" s="4">
        <f t="shared" ref="U276:U339" si="272">IMABS(T276)</f>
        <v>1.0744374020147236</v>
      </c>
      <c r="V276" s="4">
        <f t="shared" ref="V276:V339" si="273">IMARGUMENT(T276)</f>
        <v>0.37442070000616534</v>
      </c>
      <c r="W276" t="str">
        <f t="shared" si="260"/>
        <v>1-5.97200107226707i</v>
      </c>
      <c r="X276" s="4">
        <f t="shared" ref="X276:X339" si="274">IMABS(W276)</f>
        <v>6.055146307659216</v>
      </c>
      <c r="Y276" s="4">
        <f t="shared" ref="Y276:Y339" si="275">IMARGUMENT(W276)</f>
        <v>-1.404887470257524</v>
      </c>
      <c r="Z276" t="str">
        <f t="shared" si="261"/>
        <v>0.999701355419267+0.083608015011739i</v>
      </c>
      <c r="AA276" s="4">
        <f t="shared" ref="AA276:AA339" si="276">IMABS(Z276)</f>
        <v>1.0031914574004919</v>
      </c>
      <c r="AB276" s="4">
        <f t="shared" ref="AB276:AB339" si="277">IMARGUMENT(Z276)</f>
        <v>8.3438816109478356E-2</v>
      </c>
      <c r="AC276" s="47" t="str">
        <f t="shared" ref="AC276:AC339" si="278">(IMDIV(IMPRODUCT(P276,T276,W276),IMPRODUCT(Q276,Z276)))</f>
        <v>-1.54235318148515-0.789425176875384i</v>
      </c>
      <c r="AD276" s="20">
        <f t="shared" ref="AD276:AD339" si="279">20*LOG(IMABS(AC276))</f>
        <v>4.7741726250335876</v>
      </c>
      <c r="AE276" s="43">
        <f t="shared" ref="AE276:AE339" si="280">(180/PI())*IMARGUMENT(AC276)</f>
        <v>-152.89519635095127</v>
      </c>
      <c r="AF276" t="str">
        <f t="shared" si="262"/>
        <v>247.084651286898</v>
      </c>
      <c r="AG276" t="str">
        <f t="shared" si="263"/>
        <v>1+60.4451334187306i</v>
      </c>
      <c r="AH276">
        <f t="shared" ref="AH276:AH339" si="281">IMABS(AG276)</f>
        <v>60.453404817331361</v>
      </c>
      <c r="AI276">
        <f t="shared" ref="AI276:AI339" si="282">IMARGUMENT(AG276)</f>
        <v>1.5542539068420822</v>
      </c>
      <c r="AJ276" t="str">
        <f t="shared" si="264"/>
        <v>1+0.392957670555174i</v>
      </c>
      <c r="AK276">
        <f t="shared" ref="AK276:AK339" si="283">IMABS(AJ276)</f>
        <v>1.0744374020147236</v>
      </c>
      <c r="AL276">
        <f t="shared" ref="AL276:AL339" si="284">IMARGUMENT(AJ276)</f>
        <v>0.37442070000616534</v>
      </c>
      <c r="AM276" t="str">
        <f t="shared" si="265"/>
        <v>1-0.390366430414073i</v>
      </c>
      <c r="AN276">
        <f t="shared" ref="AN276:AN339" si="285">IMABS(AM276)</f>
        <v>1.0734924079816426</v>
      </c>
      <c r="AO276">
        <f t="shared" ref="AO276:AO339" si="286">IMARGUMENT(AM276)</f>
        <v>-0.37217408873868829</v>
      </c>
      <c r="AP276" s="41" t="str">
        <f t="shared" ref="AP276:AP339" si="287">(IMDIV(IMPRODUCT(AF276,AJ276,AM276),IMPRODUCT(AG276)))</f>
        <v>0.0885694468621347-4.71333636574034i</v>
      </c>
      <c r="AQ276">
        <f t="shared" ref="AQ276:AQ339" si="288">20*LOG(IMABS(AP276))</f>
        <v>13.468101953057612</v>
      </c>
      <c r="AR276" s="43">
        <f t="shared" ref="AR276:AR339" si="289">(180/PI())*IMARGUMENT(AP276)</f>
        <v>-88.923467809937762</v>
      </c>
      <c r="AS276" t="str">
        <f t="shared" si="266"/>
        <v>-0.0000166666666666667</v>
      </c>
      <c r="AT276" t="str">
        <f t="shared" si="267"/>
        <v>0.0000812192145828322i</v>
      </c>
      <c r="AU276">
        <f t="shared" ref="AU276:AU339" si="290">IMABS(AT276)</f>
        <v>8.1219214582832198E-5</v>
      </c>
      <c r="AV276">
        <f t="shared" ref="AV276:AV339" si="291">IMARGUMENT(AT276)</f>
        <v>1.5707963267948966</v>
      </c>
      <c r="AW276" t="str">
        <f t="shared" si="268"/>
        <v>1+0.0825400807023454i</v>
      </c>
      <c r="AX276">
        <f t="shared" ref="AX276:AX339" si="292">IMABS(AW276)</f>
        <v>1.0034006502501132</v>
      </c>
      <c r="AY276">
        <f t="shared" ref="AY276:AY339" si="293">IMARGUMENT(AW276)</f>
        <v>8.2353398408159278E-2</v>
      </c>
      <c r="AZ276" t="str">
        <f t="shared" si="269"/>
        <v>1+2.80636274387974i</v>
      </c>
      <c r="BA276">
        <f t="shared" ref="BA276:BA339" si="294">IMABS(AZ276)</f>
        <v>2.9792065806580492</v>
      </c>
      <c r="BB276">
        <f t="shared" ref="BB276:BB339" si="295">IMARGUMENT(AZ276)</f>
        <v>1.2284907059930688</v>
      </c>
      <c r="BC276" s="41" t="str">
        <f t="shared" ref="BC276:BC339" si="296">IMPRODUCT(AS276,IMDIV(AZ276,IMPRODUCT(AT276,AW276)))</f>
        <v>-0.555162390303098+0.251029105638987i</v>
      </c>
      <c r="BD276">
        <f t="shared" ref="BD276:BD339" si="297">20*LOG(IMABS(BC276))</f>
        <v>-4.3036759063925869</v>
      </c>
      <c r="BE276" s="43">
        <f t="shared" ref="BE276:BE339" si="298">(180/PI())*IMARGUMENT(BC276)</f>
        <v>155.66883046710282</v>
      </c>
      <c r="BF276" s="41" t="str">
        <f t="shared" ref="BF276:BF339" si="299">IMPRODUCT(AC276,BC276)</f>
        <v>1.05442517504481+0.0510836284319207i</v>
      </c>
      <c r="BG276" s="20">
        <f t="shared" ref="BG276:BG339" si="300">20*LOG(IMABS(BF276))</f>
        <v>0.47049671864099518</v>
      </c>
      <c r="BH276" s="43">
        <f t="shared" ref="BH276:BH339" si="301">(180/PI())*IMARGUMENT(BF276)</f>
        <v>2.7736341161515656</v>
      </c>
      <c r="BI276" s="41" t="str">
        <f t="shared" si="255"/>
        <v>1.13401418663971+2.63890059213967i</v>
      </c>
      <c r="BJ276" s="20">
        <f t="shared" ref="BJ276:BJ339" si="302">20*LOG(IMABS(BI276))</f>
        <v>9.164426046665044</v>
      </c>
      <c r="BK276" s="43">
        <f t="shared" si="256"/>
        <v>66.745362657165032</v>
      </c>
      <c r="BL276">
        <f t="shared" ref="BL276:BL339" si="303">IF($B$31=0,BJ276,BG276)</f>
        <v>0.47049671864099518</v>
      </c>
      <c r="BM276" s="43">
        <f t="shared" ref="BM276:BM339" si="304">IF($B$31=0,BK276,BH276)</f>
        <v>2.7736341161515656</v>
      </c>
    </row>
    <row r="277" spans="14:65" x14ac:dyDescent="0.25">
      <c r="N277" s="9">
        <v>59</v>
      </c>
      <c r="O277" s="34">
        <f t="shared" si="254"/>
        <v>3890.451449942811</v>
      </c>
      <c r="P277" s="33" t="str">
        <f t="shared" si="257"/>
        <v>16.5157725627975</v>
      </c>
      <c r="Q277" s="4" t="str">
        <f t="shared" si="258"/>
        <v>1+63.2492478311482i</v>
      </c>
      <c r="R277" s="4">
        <f t="shared" si="270"/>
        <v>63.257152569539571</v>
      </c>
      <c r="S277" s="4">
        <f t="shared" si="271"/>
        <v>1.5549871792843006</v>
      </c>
      <c r="T277" s="4" t="str">
        <f t="shared" si="259"/>
        <v>1+0.402110830542079i</v>
      </c>
      <c r="U277" s="4">
        <f t="shared" si="272"/>
        <v>1.077818686068877</v>
      </c>
      <c r="V277" s="4">
        <f t="shared" si="273"/>
        <v>0.38232473307712878</v>
      </c>
      <c r="W277" t="str">
        <f t="shared" si="260"/>
        <v>1-6.11110684714405i</v>
      </c>
      <c r="X277" s="4">
        <f t="shared" si="274"/>
        <v>6.1923845889294453</v>
      </c>
      <c r="Y277" s="4">
        <f t="shared" si="275"/>
        <v>-1.408597382133328</v>
      </c>
      <c r="Z277" t="str">
        <f t="shared" si="261"/>
        <v>0.999687280733794+0.0855554958600166i</v>
      </c>
      <c r="AA277" s="4">
        <f t="shared" si="276"/>
        <v>1.0033416178614245</v>
      </c>
      <c r="AB277" s="4">
        <f t="shared" si="277"/>
        <v>8.5374228490652029E-2</v>
      </c>
      <c r="AC277" s="47" t="str">
        <f t="shared" si="278"/>
        <v>-1.54453602507214-0.794230945500402i</v>
      </c>
      <c r="AD277" s="20">
        <f t="shared" si="279"/>
        <v>4.7948811540683227</v>
      </c>
      <c r="AE277" s="43">
        <f t="shared" si="280"/>
        <v>-152.78687696227385</v>
      </c>
      <c r="AF277" t="str">
        <f t="shared" si="262"/>
        <v>247.084651286898</v>
      </c>
      <c r="AG277" t="str">
        <f t="shared" si="263"/>
        <v>1+61.8530814448623i</v>
      </c>
      <c r="AH277">
        <f t="shared" si="281"/>
        <v>61.861164588332535</v>
      </c>
      <c r="AI277">
        <f t="shared" si="282"/>
        <v>1.5546303919272826</v>
      </c>
      <c r="AJ277" t="str">
        <f t="shared" si="264"/>
        <v>1+0.402110830542079i</v>
      </c>
      <c r="AK277">
        <f t="shared" si="283"/>
        <v>1.077818686068877</v>
      </c>
      <c r="AL277">
        <f t="shared" si="284"/>
        <v>0.38232473307712878</v>
      </c>
      <c r="AM277" t="str">
        <f t="shared" si="265"/>
        <v>1-0.399459232664374i</v>
      </c>
      <c r="AN277">
        <f t="shared" si="285"/>
        <v>1.0768322425340033</v>
      </c>
      <c r="AO277">
        <f t="shared" si="286"/>
        <v>-0.38004011146328659</v>
      </c>
      <c r="AP277" s="41" t="str">
        <f t="shared" si="287"/>
        <v>0.085527595836598-4.63497621409854i</v>
      </c>
      <c r="AQ277">
        <f t="shared" si="288"/>
        <v>13.322428717575534</v>
      </c>
      <c r="AR277" s="43">
        <f t="shared" si="289"/>
        <v>-88.942860983944826</v>
      </c>
      <c r="AS277" t="str">
        <f t="shared" si="266"/>
        <v>-0.0000166666666666667</v>
      </c>
      <c r="AT277" t="str">
        <f t="shared" si="267"/>
        <v>0.000083111053121159i</v>
      </c>
      <c r="AU277">
        <f t="shared" si="290"/>
        <v>8.3111053121158999E-5</v>
      </c>
      <c r="AV277">
        <f t="shared" si="291"/>
        <v>1.5707963267948966</v>
      </c>
      <c r="AW277" t="str">
        <f t="shared" si="268"/>
        <v>1+0.084462686164998i</v>
      </c>
      <c r="AX277">
        <f t="shared" si="292"/>
        <v>1.0035606336212113</v>
      </c>
      <c r="AY277">
        <f t="shared" si="293"/>
        <v>8.4262690794022349E-2</v>
      </c>
      <c r="AZ277" t="str">
        <f t="shared" si="269"/>
        <v>1+2.87173132960993i</v>
      </c>
      <c r="BA277">
        <f t="shared" si="294"/>
        <v>3.0408618563596765</v>
      </c>
      <c r="BB277">
        <f t="shared" si="295"/>
        <v>1.2357063574673841</v>
      </c>
      <c r="BC277" s="41" t="str">
        <f t="shared" si="296"/>
        <v>-0.554985401153986+0.247410457043347i</v>
      </c>
      <c r="BD277">
        <f t="shared" si="297"/>
        <v>-4.3271392367367687</v>
      </c>
      <c r="BE277" s="43">
        <f t="shared" si="298"/>
        <v>155.972862447452</v>
      </c>
      <c r="BF277" s="41" t="str">
        <f t="shared" si="299"/>
        <v>1.05369598669567+0.0586522160144375i</v>
      </c>
      <c r="BG277" s="20">
        <f t="shared" si="300"/>
        <v>0.46774191733156451</v>
      </c>
      <c r="BH277" s="43">
        <f t="shared" si="301"/>
        <v>3.1859854851781511</v>
      </c>
      <c r="BI277" s="41" t="str">
        <f t="shared" si="255"/>
        <v>1.09927501643005+2.59350455509641i</v>
      </c>
      <c r="BJ277" s="20">
        <f t="shared" si="302"/>
        <v>8.9952894808387533</v>
      </c>
      <c r="BK277" s="43">
        <f t="shared" si="256"/>
        <v>67.030001463507205</v>
      </c>
      <c r="BL277">
        <f t="shared" si="303"/>
        <v>0.46774191733156451</v>
      </c>
      <c r="BM277" s="43">
        <f t="shared" si="304"/>
        <v>3.1859854851781511</v>
      </c>
    </row>
    <row r="278" spans="14:65" x14ac:dyDescent="0.25">
      <c r="N278" s="9">
        <v>60</v>
      </c>
      <c r="O278" s="34">
        <f t="shared" si="254"/>
        <v>3981.0717055349769</v>
      </c>
      <c r="P278" s="33" t="str">
        <f t="shared" si="257"/>
        <v>16.5157725627975</v>
      </c>
      <c r="Q278" s="4" t="str">
        <f t="shared" si="258"/>
        <v>1+64.7225120726425i</v>
      </c>
      <c r="R278" s="4">
        <f t="shared" si="270"/>
        <v>64.730236898943559</v>
      </c>
      <c r="S278" s="4">
        <f t="shared" si="271"/>
        <v>1.5553469814905159</v>
      </c>
      <c r="T278" s="4" t="str">
        <f t="shared" si="259"/>
        <v>1+0.411477195013902i</v>
      </c>
      <c r="U278" s="4">
        <f t="shared" si="272"/>
        <v>1.0813479930237577</v>
      </c>
      <c r="V278" s="4">
        <f t="shared" si="273"/>
        <v>0.39036118851737167</v>
      </c>
      <c r="W278" t="str">
        <f t="shared" si="260"/>
        <v>1-6.25345281176143i</v>
      </c>
      <c r="X278" s="4">
        <f t="shared" si="274"/>
        <v>6.3329039207086453</v>
      </c>
      <c r="Y278" s="4">
        <f t="shared" si="275"/>
        <v>-1.4122272038374999</v>
      </c>
      <c r="Z278" t="str">
        <f t="shared" si="261"/>
        <v>0.99967254272883+0.0875483393646599i</v>
      </c>
      <c r="AA278" s="4">
        <f t="shared" si="276"/>
        <v>1.0034988312954998</v>
      </c>
      <c r="AB278" s="4">
        <f t="shared" si="277"/>
        <v>8.7354144352010069E-2</v>
      </c>
      <c r="AC278" s="47" t="str">
        <f t="shared" si="278"/>
        <v>-1.54680093270338-0.799442405073187i</v>
      </c>
      <c r="AD278" s="20">
        <f t="shared" si="279"/>
        <v>4.8168640774173355</v>
      </c>
      <c r="AE278" s="43">
        <f t="shared" si="280"/>
        <v>-152.66845141785956</v>
      </c>
      <c r="AF278" t="str">
        <f t="shared" si="262"/>
        <v>247.084651286898</v>
      </c>
      <c r="AG278" t="str">
        <f t="shared" si="263"/>
        <v>1+63.2938247934982i</v>
      </c>
      <c r="AH278">
        <f t="shared" si="281"/>
        <v>63.301723965386977</v>
      </c>
      <c r="AI278">
        <f t="shared" si="282"/>
        <v>1.5549983115943617</v>
      </c>
      <c r="AJ278" t="str">
        <f t="shared" si="264"/>
        <v>1+0.411477195013902i</v>
      </c>
      <c r="AK278">
        <f t="shared" si="283"/>
        <v>1.0813479930237577</v>
      </c>
      <c r="AL278">
        <f t="shared" si="284"/>
        <v>0.39036118851737167</v>
      </c>
      <c r="AM278" t="str">
        <f t="shared" si="265"/>
        <v>1-0.4087638334873i</v>
      </c>
      <c r="AN278">
        <f t="shared" si="285"/>
        <v>1.0803184121208123</v>
      </c>
      <c r="AO278">
        <f t="shared" si="286"/>
        <v>-0.38803850094212466</v>
      </c>
      <c r="AP278" s="41" t="str">
        <f t="shared" si="287"/>
        <v>0.0826225807177534-4.5590691613204i</v>
      </c>
      <c r="AQ278">
        <f t="shared" si="288"/>
        <v>13.178949737286018</v>
      </c>
      <c r="AR278" s="43">
        <f t="shared" si="289"/>
        <v>-88.961760209136699</v>
      </c>
      <c r="AS278" t="str">
        <f t="shared" si="266"/>
        <v>-0.0000166666666666667</v>
      </c>
      <c r="AT278" t="str">
        <f t="shared" si="267"/>
        <v>0.0000850469582399555i</v>
      </c>
      <c r="AU278">
        <f t="shared" si="290"/>
        <v>8.5046958239955495E-5</v>
      </c>
      <c r="AV278">
        <f t="shared" si="291"/>
        <v>1.5707963267948966</v>
      </c>
      <c r="AW278" t="str">
        <f t="shared" si="268"/>
        <v>1+0.0864300748618508i</v>
      </c>
      <c r="AX278">
        <f t="shared" si="292"/>
        <v>1.0037281294457305</v>
      </c>
      <c r="AY278">
        <f t="shared" si="293"/>
        <v>8.6215818926707891E-2</v>
      </c>
      <c r="AZ278" t="str">
        <f t="shared" si="269"/>
        <v>1+2.93862254530293i</v>
      </c>
      <c r="BA278">
        <f t="shared" si="294"/>
        <v>3.1041105753118186</v>
      </c>
      <c r="BB278">
        <f t="shared" si="295"/>
        <v>1.2427929726387428</v>
      </c>
      <c r="BC278" s="41" t="str">
        <f t="shared" si="296"/>
        <v>-0.55480019167637+0.243921589776532i</v>
      </c>
      <c r="BD278">
        <f t="shared" si="297"/>
        <v>-4.3497789559293381</v>
      </c>
      <c r="BE278" s="43">
        <f t="shared" si="298"/>
        <v>156.26698958895309</v>
      </c>
      <c r="BF278" s="41" t="str">
        <f t="shared" si="299"/>
        <v>1.05316671632925+0.0662326569959914i</v>
      </c>
      <c r="BG278" s="20">
        <f t="shared" si="300"/>
        <v>0.4670851214880048</v>
      </c>
      <c r="BH278" s="43">
        <f t="shared" si="301"/>
        <v>3.5985381710935629</v>
      </c>
      <c r="BI278" s="41" t="str">
        <f t="shared" si="255"/>
        <v>1.06621637411143+2.5495258758065i</v>
      </c>
      <c r="BJ278" s="20">
        <f t="shared" si="302"/>
        <v>8.8291707813566891</v>
      </c>
      <c r="BK278" s="43">
        <f t="shared" si="256"/>
        <v>67.305229379816339</v>
      </c>
      <c r="BL278">
        <f t="shared" si="303"/>
        <v>0.4670851214880048</v>
      </c>
      <c r="BM278" s="43">
        <f t="shared" si="304"/>
        <v>3.5985381710935629</v>
      </c>
    </row>
    <row r="279" spans="14:65" x14ac:dyDescent="0.25">
      <c r="N279" s="9">
        <v>61</v>
      </c>
      <c r="O279" s="34">
        <f t="shared" si="254"/>
        <v>4073.8027780411317</v>
      </c>
      <c r="P279" s="33" t="str">
        <f t="shared" si="257"/>
        <v>16.5157725627975</v>
      </c>
      <c r="Q279" s="4" t="str">
        <f t="shared" si="258"/>
        <v>1+66.2300930467416i</v>
      </c>
      <c r="R279" s="4">
        <f t="shared" si="270"/>
        <v>66.23764205480181</v>
      </c>
      <c r="S279" s="4">
        <f t="shared" si="271"/>
        <v>1.5556985974641724</v>
      </c>
      <c r="T279" s="4" t="str">
        <f t="shared" si="259"/>
        <v>1+0.421061730141067i</v>
      </c>
      <c r="U279" s="4">
        <f t="shared" si="272"/>
        <v>1.0850313270082983</v>
      </c>
      <c r="V279" s="4">
        <f t="shared" si="273"/>
        <v>0.3985301740669776</v>
      </c>
      <c r="W279" t="str">
        <f t="shared" si="260"/>
        <v>1-6.39911443983385i</v>
      </c>
      <c r="X279" s="4">
        <f t="shared" si="274"/>
        <v>6.4767789536227101</v>
      </c>
      <c r="Y279" s="4">
        <f t="shared" si="275"/>
        <v>-1.4157784771541826</v>
      </c>
      <c r="Z279" t="str">
        <f t="shared" si="261"/>
        <v>0.999657110143091+0.0895876021576738i</v>
      </c>
      <c r="AA279" s="4">
        <f t="shared" si="276"/>
        <v>1.0036634278083454</v>
      </c>
      <c r="AB279" s="4">
        <f t="shared" si="277"/>
        <v>8.9379559357340946E-2</v>
      </c>
      <c r="AC279" s="47" t="str">
        <f t="shared" si="278"/>
        <v>-1.54915253030148-0.805061272839038i</v>
      </c>
      <c r="AD279" s="20">
        <f t="shared" si="279"/>
        <v>4.8401456586993783</v>
      </c>
      <c r="AE279" s="43">
        <f t="shared" si="280"/>
        <v>-152.54006983877488</v>
      </c>
      <c r="AF279" t="str">
        <f t="shared" si="262"/>
        <v>247.084651286898</v>
      </c>
      <c r="AG279" t="str">
        <f t="shared" si="263"/>
        <v>1+64.7681273658326i</v>
      </c>
      <c r="AH279">
        <f t="shared" si="281"/>
        <v>64.775846752294285</v>
      </c>
      <c r="AI279">
        <f t="shared" si="282"/>
        <v>1.5553578605205409</v>
      </c>
      <c r="AJ279" t="str">
        <f t="shared" si="264"/>
        <v>1+0.421061730141067i</v>
      </c>
      <c r="AK279">
        <f t="shared" si="283"/>
        <v>1.0850313270082983</v>
      </c>
      <c r="AL279">
        <f t="shared" si="284"/>
        <v>0.3985301740669776</v>
      </c>
      <c r="AM279" t="str">
        <f t="shared" si="265"/>
        <v>1-0.418285166305371i</v>
      </c>
      <c r="AN279">
        <f t="shared" si="285"/>
        <v>1.0839568627722747</v>
      </c>
      <c r="AO279">
        <f t="shared" si="286"/>
        <v>-0.39616940345885149</v>
      </c>
      <c r="AP279" s="41" t="str">
        <f t="shared" si="287"/>
        <v>0.0798482490271566-4.48557525581083i</v>
      </c>
      <c r="AQ279">
        <f t="shared" si="288"/>
        <v>13.037738920484152</v>
      </c>
      <c r="AR279" s="43">
        <f t="shared" si="289"/>
        <v>-88.9801788480802</v>
      </c>
      <c r="AS279" t="str">
        <f t="shared" si="266"/>
        <v>-0.0000166666666666667</v>
      </c>
      <c r="AT279" t="str">
        <f t="shared" si="267"/>
        <v>0.0000870279563817404i</v>
      </c>
      <c r="AU279">
        <f t="shared" si="290"/>
        <v>8.7027956381740396E-5</v>
      </c>
      <c r="AV279">
        <f t="shared" si="291"/>
        <v>1.5707963267948966</v>
      </c>
      <c r="AW279" t="str">
        <f t="shared" si="268"/>
        <v>1+0.088443289928433i</v>
      </c>
      <c r="AX279">
        <f t="shared" si="292"/>
        <v>1.0039034891528991</v>
      </c>
      <c r="AY279">
        <f t="shared" si="293"/>
        <v>8.8213758742568357E-2</v>
      </c>
      <c r="AZ279" t="str">
        <f t="shared" si="269"/>
        <v>1+3.00707185756672i</v>
      </c>
      <c r="BA279">
        <f t="shared" si="294"/>
        <v>3.1689874023999787</v>
      </c>
      <c r="BB279">
        <f t="shared" si="295"/>
        <v>1.2497514608790077</v>
      </c>
      <c r="BC279" s="41" t="str">
        <f t="shared" si="296"/>
        <v>-0.554606385990801+0.240560555442844i</v>
      </c>
      <c r="BD279">
        <f t="shared" si="297"/>
        <v>-4.3716297338673149</v>
      </c>
      <c r="BE279" s="43">
        <f t="shared" si="298"/>
        <v>156.55120807774179</v>
      </c>
      <c r="BF279" s="41" t="str">
        <f t="shared" si="299"/>
        <v>1.05283587313869+0.0738271298754019i</v>
      </c>
      <c r="BG279" s="20">
        <f t="shared" si="300"/>
        <v>0.46851592483205889</v>
      </c>
      <c r="BH279" s="43">
        <f t="shared" si="301"/>
        <v>4.0111382389669084</v>
      </c>
      <c r="BI279" s="41" t="str">
        <f t="shared" si="255"/>
        <v>1.03476812619789+2.50693702085212i</v>
      </c>
      <c r="BJ279" s="20">
        <f t="shared" si="302"/>
        <v>8.6661091866168469</v>
      </c>
      <c r="BK279" s="43">
        <f t="shared" si="256"/>
        <v>67.571029229661519</v>
      </c>
      <c r="BL279">
        <f t="shared" si="303"/>
        <v>0.46851592483205889</v>
      </c>
      <c r="BM279" s="43">
        <f t="shared" si="304"/>
        <v>4.0111382389669084</v>
      </c>
    </row>
    <row r="280" spans="14:65" x14ac:dyDescent="0.25">
      <c r="N280" s="9">
        <v>62</v>
      </c>
      <c r="O280" s="34">
        <f t="shared" si="254"/>
        <v>4168.6938347033583</v>
      </c>
      <c r="P280" s="33" t="str">
        <f t="shared" si="257"/>
        <v>16.5157725627975</v>
      </c>
      <c r="Q280" s="4" t="str">
        <f t="shared" si="258"/>
        <v>1+67.7727900928331i</v>
      </c>
      <c r="R280" s="4">
        <f t="shared" si="270"/>
        <v>67.780167283411288</v>
      </c>
      <c r="S280" s="4">
        <f t="shared" si="271"/>
        <v>1.5560422132887413</v>
      </c>
      <c r="T280" s="4" t="str">
        <f t="shared" si="259"/>
        <v>1+0.430869517770965i</v>
      </c>
      <c r="U280" s="4">
        <f t="shared" si="272"/>
        <v>1.0888748970125925</v>
      </c>
      <c r="V280" s="4">
        <f t="shared" si="273"/>
        <v>0.40683165889751571</v>
      </c>
      <c r="W280" t="str">
        <f t="shared" si="260"/>
        <v>1-6.54816896308458i</v>
      </c>
      <c r="X280" s="4">
        <f t="shared" si="274"/>
        <v>6.6240861082193208</v>
      </c>
      <c r="Y280" s="4">
        <f t="shared" si="275"/>
        <v>-1.4192527265360009</v>
      </c>
      <c r="Z280" t="str">
        <f t="shared" si="261"/>
        <v>0.999640950241994+0.091674365483184i</v>
      </c>
      <c r="AA280" s="4">
        <f t="shared" si="276"/>
        <v>1.0038357528437911</v>
      </c>
      <c r="AB280" s="4">
        <f t="shared" si="277"/>
        <v>9.1451489480171178E-2</v>
      </c>
      <c r="AC280" s="47" t="str">
        <f t="shared" si="278"/>
        <v>-1.5515956108385-0.811089406299957i</v>
      </c>
      <c r="AD280" s="20">
        <f t="shared" si="279"/>
        <v>4.8647510539721601</v>
      </c>
      <c r="AE280" s="43">
        <f t="shared" si="280"/>
        <v>-152.4018902088533</v>
      </c>
      <c r="AF280" t="str">
        <f t="shared" si="262"/>
        <v>247.084651286898</v>
      </c>
      <c r="AG280" t="str">
        <f t="shared" si="263"/>
        <v>1+66.276770856604i</v>
      </c>
      <c r="AH280">
        <f t="shared" si="281"/>
        <v>66.28431454860791</v>
      </c>
      <c r="AI280">
        <f t="shared" si="282"/>
        <v>1.5557092289713601</v>
      </c>
      <c r="AJ280" t="str">
        <f t="shared" si="264"/>
        <v>1+0.430869517770965i</v>
      </c>
      <c r="AK280">
        <f t="shared" si="283"/>
        <v>1.0888748970125925</v>
      </c>
      <c r="AL280">
        <f t="shared" si="284"/>
        <v>0.40683165889751571</v>
      </c>
      <c r="AM280" t="str">
        <f t="shared" si="265"/>
        <v>1-0.428028279455277i</v>
      </c>
      <c r="AN280">
        <f t="shared" si="285"/>
        <v>1.0877537441964724</v>
      </c>
      <c r="AO280">
        <f t="shared" si="286"/>
        <v>-0.40443282870313113</v>
      </c>
      <c r="AP280" s="41" t="str">
        <f t="shared" si="287"/>
        <v>0.0771987246525037-4.41445580576131i</v>
      </c>
      <c r="AQ280">
        <f t="shared" si="288"/>
        <v>12.898871423293626</v>
      </c>
      <c r="AR280" s="43">
        <f t="shared" si="289"/>
        <v>-88.998130123703561</v>
      </c>
      <c r="AS280" t="str">
        <f t="shared" si="266"/>
        <v>-0.0000166666666666667</v>
      </c>
      <c r="AT280" t="str">
        <f t="shared" si="267"/>
        <v>0.0000890550978979501i</v>
      </c>
      <c r="AU280">
        <f t="shared" si="290"/>
        <v>8.9055097897950102E-5</v>
      </c>
      <c r="AV280">
        <f t="shared" si="291"/>
        <v>1.5707963267948966</v>
      </c>
      <c r="AW280" t="str">
        <f t="shared" si="268"/>
        <v>1+0.0905033987980207i</v>
      </c>
      <c r="AX280">
        <f t="shared" si="292"/>
        <v>1.0040870804835571</v>
      </c>
      <c r="AY280">
        <f t="shared" si="293"/>
        <v>9.025750573793366E-2</v>
      </c>
      <c r="AZ280" t="str">
        <f t="shared" si="269"/>
        <v>1+3.0771155591327i</v>
      </c>
      <c r="BA280">
        <f t="shared" si="294"/>
        <v>3.2355278030418084</v>
      </c>
      <c r="BB280">
        <f t="shared" si="295"/>
        <v>1.256582815304111</v>
      </c>
      <c r="BC280" s="41" t="str">
        <f t="shared" si="296"/>
        <v>-0.554403591596369+0.237325466557807i</v>
      </c>
      <c r="BD280">
        <f t="shared" si="297"/>
        <v>-4.3927255754878312</v>
      </c>
      <c r="BE280" s="43">
        <f t="shared" si="298"/>
        <v>156.82551777743117</v>
      </c>
      <c r="BF280" s="41" t="str">
        <f t="shared" si="299"/>
        <v>1.05270235112426+0.0814377277071701i</v>
      </c>
      <c r="BG280" s="20">
        <f t="shared" si="300"/>
        <v>0.47202547848434151</v>
      </c>
      <c r="BH280" s="43">
        <f t="shared" si="301"/>
        <v>4.4236275685778512</v>
      </c>
      <c r="BI280" s="41" t="str">
        <f t="shared" si="255"/>
        <v>1.00486353348712+2.46571137700334i</v>
      </c>
      <c r="BJ280" s="20">
        <f t="shared" si="302"/>
        <v>8.5061458478058114</v>
      </c>
      <c r="BK280" s="43">
        <f t="shared" si="256"/>
        <v>67.827387653727556</v>
      </c>
      <c r="BL280">
        <f t="shared" si="303"/>
        <v>0.47202547848434151</v>
      </c>
      <c r="BM280" s="43">
        <f t="shared" si="304"/>
        <v>4.4236275685778512</v>
      </c>
    </row>
    <row r="281" spans="14:65" x14ac:dyDescent="0.25">
      <c r="N281" s="9">
        <v>63</v>
      </c>
      <c r="O281" s="34">
        <f t="shared" si="254"/>
        <v>4265.7951880159299</v>
      </c>
      <c r="P281" s="33" t="str">
        <f t="shared" si="257"/>
        <v>16.5157725627975</v>
      </c>
      <c r="Q281" s="4" t="str">
        <f t="shared" si="258"/>
        <v>1+69.3514211693107i</v>
      </c>
      <c r="R281" s="4">
        <f t="shared" si="270"/>
        <v>69.358630452187526</v>
      </c>
      <c r="S281" s="4">
        <f t="shared" si="271"/>
        <v>1.5563780108291239</v>
      </c>
      <c r="T281" s="4" t="str">
        <f t="shared" si="259"/>
        <v>1+0.440905758122416i</v>
      </c>
      <c r="U281" s="4">
        <f t="shared" si="272"/>
        <v>1.0928851209278596</v>
      </c>
      <c r="V281" s="4">
        <f t="shared" si="273"/>
        <v>0.41526546676325515</v>
      </c>
      <c r="W281" t="str">
        <f t="shared" si="260"/>
        <v>1-6.70069541219477i</v>
      </c>
      <c r="X281" s="4">
        <f t="shared" si="274"/>
        <v>6.7749036160677631</v>
      </c>
      <c r="Y281" s="4">
        <f t="shared" si="275"/>
        <v>-1.4226514584186096</v>
      </c>
      <c r="Z281" t="str">
        <f t="shared" si="261"/>
        <v>0.999624028748221+0.0938097357707268i</v>
      </c>
      <c r="AA281" s="4">
        <f t="shared" si="276"/>
        <v>1.004016167885855</v>
      </c>
      <c r="AB281" s="4">
        <f t="shared" si="277"/>
        <v>9.3570971276348072E-2</v>
      </c>
      <c r="AC281" s="47" t="str">
        <f t="shared" si="278"/>
        <v>-1.55413514290478-0.817528799187019i</v>
      </c>
      <c r="AD281" s="20">
        <f t="shared" si="279"/>
        <v>4.8907062509088384</v>
      </c>
      <c r="AE281" s="43">
        <f t="shared" si="280"/>
        <v>-152.2540787490027</v>
      </c>
      <c r="AF281" t="str">
        <f t="shared" si="262"/>
        <v>247.084651286898</v>
      </c>
      <c r="AG281" t="str">
        <f t="shared" si="263"/>
        <v>1+67.8205551685601i</v>
      </c>
      <c r="AH281">
        <f t="shared" si="281"/>
        <v>67.827927164050251</v>
      </c>
      <c r="AI281">
        <f t="shared" si="282"/>
        <v>1.5560526028997843</v>
      </c>
      <c r="AJ281" t="str">
        <f t="shared" si="264"/>
        <v>1+0.440905758122416i</v>
      </c>
      <c r="AK281">
        <f t="shared" si="283"/>
        <v>1.0928851209278596</v>
      </c>
      <c r="AL281">
        <f t="shared" si="284"/>
        <v>0.41526546676325515</v>
      </c>
      <c r="AM281" t="str">
        <f t="shared" si="265"/>
        <v>1-0.437998338864573i</v>
      </c>
      <c r="AN281">
        <f t="shared" si="285"/>
        <v>1.0917154138547853</v>
      </c>
      <c r="AO281">
        <f t="shared" si="286"/>
        <v>-0.41282864291025634</v>
      </c>
      <c r="AP281" s="41" t="str">
        <f t="shared" si="287"/>
        <v>0.074668395456668-4.34567335994787i</v>
      </c>
      <c r="AQ281">
        <f t="shared" si="288"/>
        <v>12.762423569692904</v>
      </c>
      <c r="AR281" s="43">
        <f t="shared" si="289"/>
        <v>-89.015627124310242</v>
      </c>
      <c r="AS281" t="str">
        <f t="shared" si="266"/>
        <v>-0.0000166666666666667</v>
      </c>
      <c r="AT281" t="str">
        <f t="shared" si="267"/>
        <v>0.0000911294576058488i</v>
      </c>
      <c r="AU281">
        <f t="shared" si="290"/>
        <v>9.1129457605848804E-5</v>
      </c>
      <c r="AV281">
        <f t="shared" si="291"/>
        <v>1.5707963267948966</v>
      </c>
      <c r="AW281" t="str">
        <f t="shared" si="268"/>
        <v>1+0.0926114937676049i</v>
      </c>
      <c r="AX281">
        <f t="shared" si="292"/>
        <v>1.0042792882350344</v>
      </c>
      <c r="AY281">
        <f t="shared" si="293"/>
        <v>9.2348075204462254E-2</v>
      </c>
      <c r="AZ281" t="str">
        <f t="shared" si="269"/>
        <v>1+3.14879078809857i</v>
      </c>
      <c r="BA281">
        <f t="shared" si="294"/>
        <v>3.3037680649849519</v>
      </c>
      <c r="BB281">
        <f t="shared" si="295"/>
        <v>1.2632881067063058</v>
      </c>
      <c r="BC281" s="41" t="str">
        <f t="shared" si="296"/>
        <v>-0.554191398689988+0.234214495077909i</v>
      </c>
      <c r="BD281">
        <f t="shared" si="297"/>
        <v>-4.413099820517024</v>
      </c>
      <c r="BE281" s="43">
        <f t="shared" si="298"/>
        <v>157.08992186797124</v>
      </c>
      <c r="BF281" s="41" t="str">
        <f t="shared" si="299"/>
        <v>1.0527654235129+0.0890664509125234i</v>
      </c>
      <c r="BG281" s="20">
        <f t="shared" si="300"/>
        <v>0.47760643039180495</v>
      </c>
      <c r="BH281" s="43">
        <f t="shared" si="301"/>
        <v>4.8358431189685458</v>
      </c>
      <c r="BI281" s="41" t="str">
        <f t="shared" si="255"/>
        <v>0.976439109257643+2.42582321813949i</v>
      </c>
      <c r="BJ281" s="20">
        <f t="shared" si="302"/>
        <v>8.3493237491758769</v>
      </c>
      <c r="BK281" s="43">
        <f t="shared" si="256"/>
        <v>68.074294743661</v>
      </c>
      <c r="BL281">
        <f t="shared" si="303"/>
        <v>0.47760643039180495</v>
      </c>
      <c r="BM281" s="43">
        <f t="shared" si="304"/>
        <v>4.8358431189685458</v>
      </c>
    </row>
    <row r="282" spans="14:65" x14ac:dyDescent="0.25">
      <c r="N282" s="9">
        <v>64</v>
      </c>
      <c r="O282" s="34">
        <f t="shared" si="254"/>
        <v>4365.1583224016631</v>
      </c>
      <c r="P282" s="33" t="str">
        <f t="shared" si="257"/>
        <v>16.5157725627975</v>
      </c>
      <c r="Q282" s="4" t="str">
        <f t="shared" si="258"/>
        <v>1+70.9668232872666i</v>
      </c>
      <c r="R282" s="4">
        <f t="shared" si="270"/>
        <v>70.973868483309573</v>
      </c>
      <c r="S282" s="4">
        <f t="shared" si="271"/>
        <v>1.5567061678265308</v>
      </c>
      <c r="T282" s="4" t="str">
        <f t="shared" si="259"/>
        <v>1+0.451175772542901i</v>
      </c>
      <c r="U282" s="4">
        <f t="shared" si="272"/>
        <v>1.0970686294529086</v>
      </c>
      <c r="V282" s="4">
        <f t="shared" si="273"/>
        <v>0.4238312692170253</v>
      </c>
      <c r="W282" t="str">
        <f t="shared" si="260"/>
        <v>1-6.8567746587067i</v>
      </c>
      <c r="X282" s="4">
        <f t="shared" si="274"/>
        <v>6.9293115617846475</v>
      </c>
      <c r="Y282" s="4">
        <f t="shared" si="275"/>
        <v>-1.4259761606120525</v>
      </c>
      <c r="Z282" t="str">
        <f t="shared" si="261"/>
        <v>0.999606309769016+0.0959948452218937i</v>
      </c>
      <c r="AA282" s="4">
        <f t="shared" si="276"/>
        <v>1.0042050511918397</v>
      </c>
      <c r="AB282" s="4">
        <f t="shared" si="277"/>
        <v>9.5739062149309453E-2</v>
      </c>
      <c r="AC282" s="47" t="str">
        <f t="shared" si="278"/>
        <v>-1.55677627950251-0.824381577160299i</v>
      </c>
      <c r="AD282" s="20">
        <f t="shared" si="279"/>
        <v>4.9180380034562079</v>
      </c>
      <c r="AE282" s="43">
        <f t="shared" si="280"/>
        <v>-152.0968102916716</v>
      </c>
      <c r="AF282" t="str">
        <f t="shared" si="262"/>
        <v>247.084651286898</v>
      </c>
      <c r="AG282" t="str">
        <f t="shared" si="263"/>
        <v>1+69.4002988365777i</v>
      </c>
      <c r="AH282">
        <f t="shared" si="281"/>
        <v>69.407503042583869</v>
      </c>
      <c r="AI282">
        <f t="shared" si="282"/>
        <v>1.5563881640431441</v>
      </c>
      <c r="AJ282" t="str">
        <f t="shared" si="264"/>
        <v>1+0.451175772542901i</v>
      </c>
      <c r="AK282">
        <f t="shared" si="283"/>
        <v>1.0970686294529086</v>
      </c>
      <c r="AL282">
        <f t="shared" si="284"/>
        <v>0.4238312692170253</v>
      </c>
      <c r="AM282" t="str">
        <f t="shared" si="265"/>
        <v>1-0.448200630790728i</v>
      </c>
      <c r="AN282">
        <f t="shared" si="285"/>
        <v>1.0958484409083249</v>
      </c>
      <c r="AO282">
        <f t="shared" si="286"/>
        <v>-0.42135656205447775</v>
      </c>
      <c r="AP282" s="41" t="str">
        <f t="shared" si="287"/>
        <v>0.0722519014402474-4.27919168909938i</v>
      </c>
      <c r="AQ282">
        <f t="shared" si="288"/>
        <v>12.628472762318612</v>
      </c>
      <c r="AR282" s="43">
        <f t="shared" si="289"/>
        <v>-89.032682807842221</v>
      </c>
      <c r="AS282" t="str">
        <f t="shared" si="266"/>
        <v>-0.0000166666666666667</v>
      </c>
      <c r="AT282" t="str">
        <f t="shared" si="267"/>
        <v>0.0000932521353584112i</v>
      </c>
      <c r="AU282">
        <f t="shared" si="290"/>
        <v>9.3252135358411201E-5</v>
      </c>
      <c r="AV282">
        <f t="shared" si="291"/>
        <v>1.5707963267948966</v>
      </c>
      <c r="AW282" t="str">
        <f t="shared" si="268"/>
        <v>1+0.0947686925770427i</v>
      </c>
      <c r="AX282">
        <f t="shared" si="292"/>
        <v>1.0044805150388743</v>
      </c>
      <c r="AY282">
        <f t="shared" si="293"/>
        <v>9.448650245501547E-2</v>
      </c>
      <c r="AZ282" t="str">
        <f t="shared" si="269"/>
        <v>1+3.22213554761945i</v>
      </c>
      <c r="BA282">
        <f t="shared" si="294"/>
        <v>3.3737453204462384</v>
      </c>
      <c r="BB282">
        <f t="shared" si="295"/>
        <v>1.2698684776675668</v>
      </c>
      <c r="BC282" s="41" t="str">
        <f t="shared" si="296"/>
        <v>-0.553969379463071+0.231225870930862i</v>
      </c>
      <c r="BD282">
        <f t="shared" si="297"/>
        <v>-4.4327851461609162</v>
      </c>
      <c r="BE282" s="43">
        <f t="shared" si="298"/>
        <v>157.3444264954295</v>
      </c>
      <c r="BF282" s="41" t="str">
        <f t="shared" si="299"/>
        <v>1.05302473767708+0.0967151996678037i</v>
      </c>
      <c r="BG282" s="20">
        <f t="shared" si="300"/>
        <v>0.48525285729527917</v>
      </c>
      <c r="BH282" s="43">
        <f t="shared" si="301"/>
        <v>5.2476162037579064</v>
      </c>
      <c r="BI282" s="41" t="str">
        <f t="shared" si="255"/>
        <v>0.94943448418623+2.38724767345085i</v>
      </c>
      <c r="BJ282" s="20">
        <f t="shared" si="302"/>
        <v>8.195687616157711</v>
      </c>
      <c r="BK282" s="43">
        <f t="shared" si="256"/>
        <v>68.311743687587338</v>
      </c>
      <c r="BL282">
        <f t="shared" si="303"/>
        <v>0.48525285729527917</v>
      </c>
      <c r="BM282" s="43">
        <f t="shared" si="304"/>
        <v>5.2476162037579064</v>
      </c>
    </row>
    <row r="283" spans="14:65" x14ac:dyDescent="0.25">
      <c r="N283" s="9">
        <v>65</v>
      </c>
      <c r="O283" s="34">
        <f t="shared" si="254"/>
        <v>4466.8359215096343</v>
      </c>
      <c r="P283" s="33" t="str">
        <f t="shared" si="257"/>
        <v>16.5157725627975</v>
      </c>
      <c r="Q283" s="4" t="str">
        <f t="shared" si="258"/>
        <v>1+72.6198529542865i</v>
      </c>
      <c r="R283" s="4">
        <f t="shared" si="270"/>
        <v>72.626737797468181</v>
      </c>
      <c r="S283" s="4">
        <f t="shared" si="271"/>
        <v>1.5570268579912776</v>
      </c>
      <c r="T283" s="4" t="str">
        <f t="shared" si="259"/>
        <v>1+0.461685006330006i</v>
      </c>
      <c r="U283" s="4">
        <f t="shared" si="272"/>
        <v>1.1014322698513686</v>
      </c>
      <c r="V283" s="4">
        <f t="shared" si="273"/>
        <v>0.43252857893057922</v>
      </c>
      <c r="W283" t="str">
        <f t="shared" si="260"/>
        <v>1-7.01648945790282i</v>
      </c>
      <c r="X283" s="4">
        <f t="shared" si="274"/>
        <v>7.0873919260092713</v>
      </c>
      <c r="Y283" s="4">
        <f t="shared" si="275"/>
        <v>-1.429228301764186</v>
      </c>
      <c r="Z283" t="str">
        <f t="shared" si="261"/>
        <v>0.999587755720048+0.0982308524106395i</v>
      </c>
      <c r="AA283" s="4">
        <f t="shared" si="276"/>
        <v>1.0044027985578112</v>
      </c>
      <c r="AB283" s="4">
        <f t="shared" si="277"/>
        <v>9.7956840606972212E-2</v>
      </c>
      <c r="AC283" s="47" t="str">
        <f t="shared" si="278"/>
        <v>-1.55952436706878-0.831649993213279i</v>
      </c>
      <c r="AD283" s="20">
        <f t="shared" si="279"/>
        <v>4.946773761850678</v>
      </c>
      <c r="AE283" s="43">
        <f t="shared" si="280"/>
        <v>-151.93026865285529</v>
      </c>
      <c r="AF283" t="str">
        <f t="shared" si="262"/>
        <v>247.084651286898</v>
      </c>
      <c r="AG283" t="str">
        <f t="shared" si="263"/>
        <v>1+71.0168394616602i</v>
      </c>
      <c r="AH283">
        <f t="shared" si="281"/>
        <v>71.023879696361405</v>
      </c>
      <c r="AI283">
        <f t="shared" si="282"/>
        <v>1.5567160900179489</v>
      </c>
      <c r="AJ283" t="str">
        <f t="shared" si="264"/>
        <v>1+0.461685006330006i</v>
      </c>
      <c r="AK283">
        <f t="shared" si="283"/>
        <v>1.1014322698513686</v>
      </c>
      <c r="AL283">
        <f t="shared" si="284"/>
        <v>0.43252857893057922</v>
      </c>
      <c r="AM283" t="str">
        <f t="shared" si="265"/>
        <v>1-0.458640564623966i</v>
      </c>
      <c r="AN283">
        <f t="shared" si="285"/>
        <v>1.1001596100196509</v>
      </c>
      <c r="AO283">
        <f t="shared" si="286"/>
        <v>-0.4300161451350914</v>
      </c>
      <c r="AP283" s="41" t="str">
        <f t="shared" si="287"/>
        <v>0.0699441234330623-4.21497576783215i</v>
      </c>
      <c r="AQ283">
        <f t="shared" si="288"/>
        <v>12.49709738379627</v>
      </c>
      <c r="AR283" s="43">
        <f t="shared" si="289"/>
        <v>-89.049310005348531</v>
      </c>
      <c r="AS283" t="str">
        <f t="shared" si="266"/>
        <v>-0.0000166666666666667</v>
      </c>
      <c r="AT283" t="str">
        <f t="shared" si="267"/>
        <v>0.0000954242566274785i</v>
      </c>
      <c r="AU283">
        <f t="shared" si="290"/>
        <v>9.5424256627478504E-5</v>
      </c>
      <c r="AV283">
        <f t="shared" si="291"/>
        <v>1.5707963267948966</v>
      </c>
      <c r="AW283" t="str">
        <f t="shared" si="268"/>
        <v>1+0.0969761390016969i</v>
      </c>
      <c r="AX283">
        <f t="shared" si="292"/>
        <v>1.0046911821727493</v>
      </c>
      <c r="AY283">
        <f t="shared" si="293"/>
        <v>9.6673843038856525E-2</v>
      </c>
      <c r="AZ283" t="str">
        <f t="shared" si="269"/>
        <v>1+3.29718872605769i</v>
      </c>
      <c r="BA283">
        <f t="shared" si="294"/>
        <v>3.4454975686019473</v>
      </c>
      <c r="BB283">
        <f t="shared" si="295"/>
        <v>1.2763251368639807</v>
      </c>
      <c r="BC283" s="41" t="str">
        <f t="shared" si="296"/>
        <v>-0.553737087375438+0.22835788054369i</v>
      </c>
      <c r="BD283">
        <f t="shared" si="297"/>
        <v>-4.4518135725443493</v>
      </c>
      <c r="BE283" s="43">
        <f t="shared" si="298"/>
        <v>157.58904043332655</v>
      </c>
      <c r="BF283" s="41" t="str">
        <f t="shared" si="299"/>
        <v>1.05348031051605+0.104385765837658i</v>
      </c>
      <c r="BG283" s="20">
        <f t="shared" si="300"/>
        <v>0.49496018930634234</v>
      </c>
      <c r="BH283" s="43">
        <f t="shared" si="301"/>
        <v>5.6587717804712723</v>
      </c>
      <c r="BI283" s="41" t="str">
        <f t="shared" si="255"/>
        <v>0.92379227769631+2.34996069682109i</v>
      </c>
      <c r="BJ283" s="20">
        <f t="shared" si="302"/>
        <v>8.0452838112519345</v>
      </c>
      <c r="BK283" s="43">
        <f t="shared" si="256"/>
        <v>68.539730427978071</v>
      </c>
      <c r="BL283">
        <f t="shared" si="303"/>
        <v>0.49496018930634234</v>
      </c>
      <c r="BM283" s="43">
        <f t="shared" si="304"/>
        <v>5.6587717804712723</v>
      </c>
    </row>
    <row r="284" spans="14:65" x14ac:dyDescent="0.25">
      <c r="N284" s="9">
        <v>66</v>
      </c>
      <c r="O284" s="34">
        <f t="shared" ref="O284:O318" si="305">10^(3+(N284/100))</f>
        <v>4570.8818961487532</v>
      </c>
      <c r="P284" s="33" t="str">
        <f t="shared" si="257"/>
        <v>16.5157725627975</v>
      </c>
      <c r="Q284" s="4" t="str">
        <f t="shared" si="258"/>
        <v>1+74.3113866285803i</v>
      </c>
      <c r="R284" s="4">
        <f t="shared" si="270"/>
        <v>74.31811476795103</v>
      </c>
      <c r="S284" s="4">
        <f t="shared" si="271"/>
        <v>1.5573402510935392</v>
      </c>
      <c r="T284" s="4" t="str">
        <f t="shared" si="259"/>
        <v>1+0.472439031618591i</v>
      </c>
      <c r="U284" s="4">
        <f t="shared" si="272"/>
        <v>1.1059831095440436</v>
      </c>
      <c r="V284" s="4">
        <f t="shared" si="273"/>
        <v>0.44135674316212681</v>
      </c>
      <c r="W284" t="str">
        <f t="shared" si="260"/>
        <v>1-7.17992449268375i</v>
      </c>
      <c r="X284" s="4">
        <f t="shared" si="274"/>
        <v>7.2492286293536097</v>
      </c>
      <c r="Y284" s="4">
        <f t="shared" si="275"/>
        <v>-1.4324093308916359</v>
      </c>
      <c r="Z284" t="str">
        <f t="shared" si="261"/>
        <v>0.999568327245691+0.100518942897572i</v>
      </c>
      <c r="AA284" s="4">
        <f t="shared" si="276"/>
        <v>1.0046098241177985</v>
      </c>
      <c r="AB284" s="4">
        <f t="shared" si="277"/>
        <v>0.10022540650909166</v>
      </c>
      <c r="AC284" s="47" t="str">
        <f t="shared" si="278"/>
        <v>-1.56238495473281-0.83933642275747i</v>
      </c>
      <c r="AD284" s="20">
        <f t="shared" si="279"/>
        <v>4.9769415978932194</v>
      </c>
      <c r="AE284" s="43">
        <f t="shared" si="280"/>
        <v>-151.75464699887721</v>
      </c>
      <c r="AF284" t="str">
        <f t="shared" si="262"/>
        <v>247.084651286898</v>
      </c>
      <c r="AG284" t="str">
        <f t="shared" si="263"/>
        <v>1+72.6710341550442i</v>
      </c>
      <c r="AH284">
        <f t="shared" si="281"/>
        <v>72.677914149785565</v>
      </c>
      <c r="AI284">
        <f t="shared" si="282"/>
        <v>1.5570365544126199</v>
      </c>
      <c r="AJ284" t="str">
        <f t="shared" si="264"/>
        <v>1+0.472439031618591i</v>
      </c>
      <c r="AK284">
        <f t="shared" si="283"/>
        <v>1.1059831095440436</v>
      </c>
      <c r="AL284">
        <f t="shared" si="284"/>
        <v>0.44135674316212681</v>
      </c>
      <c r="AM284" t="str">
        <f t="shared" si="265"/>
        <v>1-0.469323675755392i</v>
      </c>
      <c r="AN284">
        <f t="shared" si="285"/>
        <v>1.1046559249940917</v>
      </c>
      <c r="AO284">
        <f t="shared" si="286"/>
        <v>-0.43880678759715908</v>
      </c>
      <c r="AP284" s="41" t="str">
        <f t="shared" si="287"/>
        <v>0.0677401722911645-4.15299175714669i</v>
      </c>
      <c r="AQ284">
        <f t="shared" si="288"/>
        <v>12.368376688394862</v>
      </c>
      <c r="AR284" s="43">
        <f t="shared" si="289"/>
        <v>-89.065521423616332</v>
      </c>
      <c r="AS284" t="str">
        <f t="shared" si="266"/>
        <v>-0.0000166666666666667</v>
      </c>
      <c r="AT284" t="str">
        <f t="shared" si="267"/>
        <v>0.0000976469731004991i</v>
      </c>
      <c r="AU284">
        <f t="shared" si="290"/>
        <v>9.7646973100499099E-5</v>
      </c>
      <c r="AV284">
        <f t="shared" si="291"/>
        <v>1.5707963267948966</v>
      </c>
      <c r="AW284" t="str">
        <f t="shared" si="268"/>
        <v>1+0.0992350034588808i</v>
      </c>
      <c r="AX284">
        <f t="shared" si="292"/>
        <v>1.004911730407942</v>
      </c>
      <c r="AY284">
        <f t="shared" si="293"/>
        <v>9.8911172944894252E-2</v>
      </c>
      <c r="AZ284" t="str">
        <f t="shared" si="269"/>
        <v>1+3.37399011760195i</v>
      </c>
      <c r="BA284">
        <f t="shared" si="294"/>
        <v>3.5190636984396315</v>
      </c>
      <c r="BB284">
        <f t="shared" si="295"/>
        <v>1.2826593535689725</v>
      </c>
      <c r="BC284" s="41" t="str">
        <f t="shared" si="296"/>
        <v>-0.553494056406244+0.225608865365829i</v>
      </c>
      <c r="BD284">
        <f t="shared" si="297"/>
        <v>-4.4702164707103078</v>
      </c>
      <c r="BE284" s="43">
        <f t="shared" si="298"/>
        <v>157.8237747560494</v>
      </c>
      <c r="BF284" s="41" t="str">
        <f t="shared" si="299"/>
        <v>1.05413252426168+0.112079824419627i</v>
      </c>
      <c r="BG284" s="20">
        <f t="shared" si="300"/>
        <v>0.5067251271829486</v>
      </c>
      <c r="BH284" s="43">
        <f t="shared" si="301"/>
        <v>6.0691277571721542</v>
      </c>
      <c r="BI284" s="41" t="str">
        <f t="shared" si="255"/>
        <v>0.899457975460411+2.31393903729511i</v>
      </c>
      <c r="BJ284" s="20">
        <f t="shared" si="302"/>
        <v>7.8981602176845502</v>
      </c>
      <c r="BK284" s="43">
        <f t="shared" si="256"/>
        <v>68.758253332433043</v>
      </c>
      <c r="BL284">
        <f t="shared" si="303"/>
        <v>0.5067251271829486</v>
      </c>
      <c r="BM284" s="43">
        <f t="shared" si="304"/>
        <v>6.0691277571721542</v>
      </c>
    </row>
    <row r="285" spans="14:65" x14ac:dyDescent="0.25">
      <c r="N285" s="9">
        <v>67</v>
      </c>
      <c r="O285" s="34">
        <f t="shared" si="305"/>
        <v>4677.3514128719844</v>
      </c>
      <c r="P285" s="33" t="str">
        <f t="shared" si="257"/>
        <v>16.5157725627975</v>
      </c>
      <c r="Q285" s="4" t="str">
        <f t="shared" si="258"/>
        <v>1+76.0423211836919i</v>
      </c>
      <c r="R285" s="4">
        <f t="shared" si="270"/>
        <v>76.048896185308024</v>
      </c>
      <c r="S285" s="4">
        <f t="shared" si="271"/>
        <v>1.5576465130521056</v>
      </c>
      <c r="T285" s="4" t="str">
        <f t="shared" si="259"/>
        <v>1+0.483443550335209i</v>
      </c>
      <c r="U285" s="4">
        <f t="shared" si="272"/>
        <v>1.1107284395209802</v>
      </c>
      <c r="V285" s="4">
        <f t="shared" si="273"/>
        <v>0.45031493741632544</v>
      </c>
      <c r="W285" t="str">
        <f t="shared" si="260"/>
        <v>1-7.34716641846823i</v>
      </c>
      <c r="X285" s="4">
        <f t="shared" si="274"/>
        <v>7.4149075773516753</v>
      </c>
      <c r="Y285" s="4">
        <f t="shared" si="275"/>
        <v>-1.4355206769739481</v>
      </c>
      <c r="Z285" t="str">
        <f t="shared" si="261"/>
        <v>0.999547983135548+0.102860329858555i</v>
      </c>
      <c r="AA285" s="4">
        <f t="shared" si="276"/>
        <v>1.0048265611780736</v>
      </c>
      <c r="AB285" s="4">
        <f t="shared" si="277"/>
        <v>0.10254588130386705</v>
      </c>
      <c r="AC285" s="47" t="str">
        <f t="shared" si="278"/>
        <v>-1.56536380381063-0.847443358361386i</v>
      </c>
      <c r="AD285" s="20">
        <f t="shared" si="279"/>
        <v>5.0085701254064379</v>
      </c>
      <c r="AE285" s="43">
        <f t="shared" si="280"/>
        <v>-151.57014820503272</v>
      </c>
      <c r="AF285" t="str">
        <f t="shared" si="262"/>
        <v>247.084651286898</v>
      </c>
      <c r="AG285" t="str">
        <f t="shared" si="263"/>
        <v>1+74.363759992652i</v>
      </c>
      <c r="AH285">
        <f t="shared" si="281"/>
        <v>74.370483393916103</v>
      </c>
      <c r="AI285">
        <f t="shared" si="282"/>
        <v>1.5573497268781828</v>
      </c>
      <c r="AJ285" t="str">
        <f t="shared" si="264"/>
        <v>1+0.483443550335209i</v>
      </c>
      <c r="AK285">
        <f t="shared" si="283"/>
        <v>1.1107284395209802</v>
      </c>
      <c r="AL285">
        <f t="shared" si="284"/>
        <v>0.45031493741632544</v>
      </c>
      <c r="AM285" t="str">
        <f t="shared" si="265"/>
        <v>1-0.480255628511938i</v>
      </c>
      <c r="AN285">
        <f t="shared" si="285"/>
        <v>1.1093446122451744</v>
      </c>
      <c r="AO285">
        <f t="shared" si="286"/>
        <v>-0.44772771493142233</v>
      </c>
      <c r="AP285" s="41" t="str">
        <f t="shared" si="287"/>
        <v>0.0656353785768416-4.09320698748229i</v>
      </c>
      <c r="AQ285">
        <f t="shared" si="288"/>
        <v>12.24239068385512</v>
      </c>
      <c r="AR285" s="43">
        <f t="shared" si="289"/>
        <v>-89.081329646925042</v>
      </c>
      <c r="AS285" t="str">
        <f t="shared" si="266"/>
        <v>-0.0000166666666666667</v>
      </c>
      <c r="AT285" t="str">
        <f t="shared" si="267"/>
        <v>0.000099921463291168i</v>
      </c>
      <c r="AU285">
        <f t="shared" si="290"/>
        <v>9.9921463291167997E-5</v>
      </c>
      <c r="AV285">
        <f t="shared" si="291"/>
        <v>1.5707963267948966</v>
      </c>
      <c r="AW285" t="str">
        <f t="shared" si="268"/>
        <v>1+0.101546483628429i</v>
      </c>
      <c r="AX285">
        <f t="shared" si="292"/>
        <v>1.0051426208938206</v>
      </c>
      <c r="AY285">
        <f t="shared" si="293"/>
        <v>0.10119958879159546</v>
      </c>
      <c r="AZ285" t="str">
        <f t="shared" si="269"/>
        <v>1+3.45258044336659i</v>
      </c>
      <c r="BA285">
        <f t="shared" si="294"/>
        <v>3.5944835119829719</v>
      </c>
      <c r="BB285">
        <f t="shared" si="295"/>
        <v>1.2888724523613893</v>
      </c>
      <c r="BC285" s="41" t="str">
        <f t="shared" si="296"/>
        <v>-0.553239800281904+0.222977220384352i</v>
      </c>
      <c r="BD285">
        <f t="shared" si="297"/>
        <v>-4.4880245729957204</v>
      </c>
      <c r="BE285" s="43">
        <f t="shared" si="298"/>
        <v>158.048642524766</v>
      </c>
      <c r="BF285" s="41" t="str">
        <f t="shared" si="299"/>
        <v>1.05498212266932+0.119798924466109i</v>
      </c>
      <c r="BG285" s="20">
        <f t="shared" si="300"/>
        <v>0.52054555241074318</v>
      </c>
      <c r="BH285" s="43">
        <f t="shared" si="301"/>
        <v>6.4784943197332527</v>
      </c>
      <c r="BI285" s="41" t="str">
        <f t="shared" si="255"/>
        <v>0.876379812791329+2.27916021054113i</v>
      </c>
      <c r="BJ285" s="20">
        <f t="shared" si="302"/>
        <v>7.754366110859384</v>
      </c>
      <c r="BK285" s="43">
        <f t="shared" si="256"/>
        <v>68.967312877840911</v>
      </c>
      <c r="BL285">
        <f t="shared" si="303"/>
        <v>0.52054555241074318</v>
      </c>
      <c r="BM285" s="43">
        <f t="shared" si="304"/>
        <v>6.4784943197332527</v>
      </c>
    </row>
    <row r="286" spans="14:65" x14ac:dyDescent="0.25">
      <c r="N286" s="9">
        <v>68</v>
      </c>
      <c r="O286" s="34">
        <f t="shared" si="305"/>
        <v>4786.3009232263848</v>
      </c>
      <c r="P286" s="33" t="str">
        <f t="shared" si="257"/>
        <v>16.5157725627975</v>
      </c>
      <c r="Q286" s="4" t="str">
        <f t="shared" si="258"/>
        <v>1+77.8135743840343i</v>
      </c>
      <c r="R286" s="4">
        <f t="shared" si="270"/>
        <v>77.819999732842703</v>
      </c>
      <c r="S286" s="4">
        <f t="shared" si="271"/>
        <v>1.5579458060211788</v>
      </c>
      <c r="T286" s="4" t="str">
        <f t="shared" si="259"/>
        <v>1+0.494704397221348i</v>
      </c>
      <c r="U286" s="4">
        <f t="shared" si="272"/>
        <v>1.1156757775582193</v>
      </c>
      <c r="V286" s="4">
        <f t="shared" si="273"/>
        <v>0.45940215934447964</v>
      </c>
      <c r="W286" t="str">
        <f t="shared" si="260"/>
        <v>1-7.51830390913902i</v>
      </c>
      <c r="X286" s="4">
        <f t="shared" si="274"/>
        <v>7.5845167064339085</v>
      </c>
      <c r="Y286" s="4">
        <f t="shared" si="275"/>
        <v>-1.438563748606793</v>
      </c>
      <c r="Z286" t="str">
        <f t="shared" si="261"/>
        <v>0.999526680237032+0.105256254727946i</v>
      </c>
      <c r="AA286" s="4">
        <f t="shared" si="276"/>
        <v>1.0050534630879175</v>
      </c>
      <c r="AB286" s="4">
        <f t="shared" si="277"/>
        <v>0.10491940825246231</v>
      </c>
      <c r="AC286" s="47" t="str">
        <f t="shared" si="278"/>
        <v>-1.5684668975401-0.855973404116746i</v>
      </c>
      <c r="AD286" s="20">
        <f t="shared" si="279"/>
        <v>5.0416884158286326</v>
      </c>
      <c r="AE286" s="43">
        <f t="shared" si="280"/>
        <v>-151.37698520304977</v>
      </c>
      <c r="AF286" t="str">
        <f t="shared" si="262"/>
        <v>247.084651286898</v>
      </c>
      <c r="AG286" t="str">
        <f t="shared" si="263"/>
        <v>1+76.0959144801287i</v>
      </c>
      <c r="AH286">
        <f t="shared" si="281"/>
        <v>76.102484851462393</v>
      </c>
      <c r="AI286">
        <f t="shared" si="282"/>
        <v>1.5576557732169634</v>
      </c>
      <c r="AJ286" t="str">
        <f t="shared" si="264"/>
        <v>1+0.494704397221348i</v>
      </c>
      <c r="AK286">
        <f t="shared" si="283"/>
        <v>1.1156757775582193</v>
      </c>
      <c r="AL286">
        <f t="shared" si="284"/>
        <v>0.45940215934447964</v>
      </c>
      <c r="AM286" t="str">
        <f t="shared" si="265"/>
        <v>1-0.491442219159655i</v>
      </c>
      <c r="AN286">
        <f t="shared" si="285"/>
        <v>1.1142331240690013</v>
      </c>
      <c r="AO286">
        <f t="shared" si="286"/>
        <v>-0.45677797650044977</v>
      </c>
      <c r="AP286" s="41" t="str">
        <f t="shared" si="287"/>
        <v>0.0636252827002798-4.03558994232532i</v>
      </c>
      <c r="AQ286">
        <f t="shared" si="288"/>
        <v>12.119220003302082</v>
      </c>
      <c r="AR286" s="43">
        <f t="shared" si="289"/>
        <v>-89.096747137885345</v>
      </c>
      <c r="AS286" t="str">
        <f t="shared" si="266"/>
        <v>-0.0000166666666666667</v>
      </c>
      <c r="AT286" t="str">
        <f t="shared" si="267"/>
        <v>0.000102248933164291i</v>
      </c>
      <c r="AU286">
        <f t="shared" si="290"/>
        <v>1.02248933164291E-4</v>
      </c>
      <c r="AV286">
        <f t="shared" si="291"/>
        <v>1.5707963267948966</v>
      </c>
      <c r="AW286" t="str">
        <f t="shared" si="268"/>
        <v>1+0.103911805087724i</v>
      </c>
      <c r="AX286">
        <f t="shared" si="292"/>
        <v>1.0053843360807793</v>
      </c>
      <c r="AY286">
        <f t="shared" si="293"/>
        <v>0.10354020800209603</v>
      </c>
      <c r="AZ286" t="str">
        <f t="shared" si="269"/>
        <v>1+3.53300137298261i</v>
      </c>
      <c r="BA286">
        <f t="shared" si="294"/>
        <v>3.671797747901838</v>
      </c>
      <c r="BB286">
        <f t="shared" si="295"/>
        <v>1.2949658080427724</v>
      </c>
      <c r="BC286" s="41" t="str">
        <f t="shared" si="296"/>
        <v>-0.552973811681016+0.220461392628304i</v>
      </c>
      <c r="BD286">
        <f t="shared" si="297"/>
        <v>-4.5052679856070323</v>
      </c>
      <c r="BE286" s="43">
        <f t="shared" si="298"/>
        <v>158.26365848617237</v>
      </c>
      <c r="BF286" s="41" t="str">
        <f t="shared" si="299"/>
        <v>1.05603020755261+0.127544479448926i</v>
      </c>
      <c r="BG286" s="20">
        <f t="shared" si="300"/>
        <v>0.53642043022156627</v>
      </c>
      <c r="BH286" s="43">
        <f t="shared" si="301"/>
        <v>6.8866732831226338</v>
      </c>
      <c r="BI286" s="41" t="str">
        <f t="shared" si="255"/>
        <v>0.854508663667761+2.24560247121968i</v>
      </c>
      <c r="BJ286" s="20">
        <f t="shared" si="302"/>
        <v>7.6139520176950617</v>
      </c>
      <c r="BK286" s="43">
        <f t="shared" si="256"/>
        <v>69.166911348287059</v>
      </c>
      <c r="BL286">
        <f t="shared" si="303"/>
        <v>0.53642043022156627</v>
      </c>
      <c r="BM286" s="43">
        <f t="shared" si="304"/>
        <v>6.8866732831226338</v>
      </c>
    </row>
    <row r="287" spans="14:65" x14ac:dyDescent="0.25">
      <c r="N287" s="9">
        <v>69</v>
      </c>
      <c r="O287" s="34">
        <f t="shared" si="305"/>
        <v>4897.7881936844633</v>
      </c>
      <c r="P287" s="33" t="str">
        <f t="shared" si="257"/>
        <v>16.5157725627975</v>
      </c>
      <c r="Q287" s="4" t="str">
        <f t="shared" si="258"/>
        <v>1+79.6260853714996i</v>
      </c>
      <c r="R287" s="4">
        <f t="shared" si="270"/>
        <v>79.632364473179763</v>
      </c>
      <c r="S287" s="4">
        <f t="shared" si="271"/>
        <v>1.558238288475253</v>
      </c>
      <c r="T287" s="4" t="str">
        <f t="shared" si="259"/>
        <v>1+0.506227542927081i</v>
      </c>
      <c r="U287" s="4">
        <f t="shared" si="272"/>
        <v>1.1208328712247824</v>
      </c>
      <c r="V287" s="4">
        <f t="shared" si="273"/>
        <v>0.46861722293488978</v>
      </c>
      <c r="W287" t="str">
        <f t="shared" si="260"/>
        <v>1-7.69342770405898i</v>
      </c>
      <c r="X287" s="4">
        <f t="shared" si="274"/>
        <v>7.7581460309523846</v>
      </c>
      <c r="Y287" s="4">
        <f t="shared" si="275"/>
        <v>-1.4415399337102799</v>
      </c>
      <c r="Z287" t="str">
        <f t="shared" si="261"/>
        <v>0.999504373363839+0.107707987856826i</v>
      </c>
      <c r="AA287" s="4">
        <f t="shared" si="276"/>
        <v>1.0052910041483543</v>
      </c>
      <c r="AB287" s="4">
        <f t="shared" si="277"/>
        <v>0.10734715264004198</v>
      </c>
      <c r="AC287" s="47" t="str">
        <f t="shared" si="278"/>
        <v>-1.57170045105779-0.86492926960317i</v>
      </c>
      <c r="AD287" s="20">
        <f t="shared" si="279"/>
        <v>5.0763259089303503</v>
      </c>
      <c r="AE287" s="43">
        <f t="shared" si="280"/>
        <v>-151.17538131419909</v>
      </c>
      <c r="AF287" t="str">
        <f t="shared" si="262"/>
        <v>247.084651286898</v>
      </c>
      <c r="AG287" t="str">
        <f t="shared" si="263"/>
        <v>1+77.8684160287114i</v>
      </c>
      <c r="AH287">
        <f t="shared" si="281"/>
        <v>77.87483685260905</v>
      </c>
      <c r="AI287">
        <f t="shared" si="282"/>
        <v>1.5579548554693243</v>
      </c>
      <c r="AJ287" t="str">
        <f t="shared" si="264"/>
        <v>1+0.506227542927081i</v>
      </c>
      <c r="AK287">
        <f t="shared" si="283"/>
        <v>1.1208328712247824</v>
      </c>
      <c r="AL287">
        <f t="shared" si="284"/>
        <v>0.46861722293488978</v>
      </c>
      <c r="AM287" t="str">
        <f t="shared" si="265"/>
        <v>1-0.502889378976978i</v>
      </c>
      <c r="AN287">
        <f t="shared" si="285"/>
        <v>1.1193291417129507</v>
      </c>
      <c r="AO287">
        <f t="shared" si="286"/>
        <v>-0.46595643964039335</v>
      </c>
      <c r="AP287" s="41" t="str">
        <f t="shared" si="287"/>
        <v>0.061705625502192-3.98011024236686i</v>
      </c>
      <c r="AQ287">
        <f t="shared" si="288"/>
        <v>11.998945767219231</v>
      </c>
      <c r="AR287" s="43">
        <f t="shared" si="289"/>
        <v>-89.111786237332879</v>
      </c>
      <c r="AS287" t="str">
        <f t="shared" si="266"/>
        <v>-0.0000166666666666667</v>
      </c>
      <c r="AT287" t="str">
        <f t="shared" si="267"/>
        <v>0.000104630616775202i</v>
      </c>
      <c r="AU287">
        <f t="shared" si="290"/>
        <v>1.04630616775202E-4</v>
      </c>
      <c r="AV287">
        <f t="shared" si="291"/>
        <v>1.5707963267948966</v>
      </c>
      <c r="AW287" t="str">
        <f t="shared" si="268"/>
        <v>1+0.106332221961512i</v>
      </c>
      <c r="AX287">
        <f t="shared" si="292"/>
        <v>1.0056373806831527</v>
      </c>
      <c r="AY287">
        <f t="shared" si="293"/>
        <v>0.1059341689629336</v>
      </c>
      <c r="AZ287" t="str">
        <f t="shared" si="269"/>
        <v>1+3.61529554669139i</v>
      </c>
      <c r="BA287">
        <f t="shared" si="294"/>
        <v>3.751048105520189</v>
      </c>
      <c r="BB287">
        <f t="shared" si="295"/>
        <v>1.3009408407665852</v>
      </c>
      <c r="BC287" s="41" t="str">
        <f t="shared" si="296"/>
        <v>-0.552695561416378+0.218059879658984i</v>
      </c>
      <c r="BD287">
        <f t="shared" si="297"/>
        <v>-4.5219762032258721</v>
      </c>
      <c r="BE287" s="43">
        <f t="shared" si="298"/>
        <v>158.46883878432436</v>
      </c>
      <c r="BF287" s="41" t="str">
        <f t="shared" si="299"/>
        <v>1.05727823561896+0.135317757031149i</v>
      </c>
      <c r="BG287" s="20">
        <f t="shared" si="300"/>
        <v>0.55434970570447883</v>
      </c>
      <c r="BH287" s="43">
        <f t="shared" si="301"/>
        <v>7.2934574701252428</v>
      </c>
      <c r="BI287" s="41" t="str">
        <f t="shared" si="255"/>
        <v>0.833797935150524+2.21324478617532i</v>
      </c>
      <c r="BJ287" s="20">
        <f t="shared" si="302"/>
        <v>7.4769695639933644</v>
      </c>
      <c r="BK287" s="43">
        <f t="shared" si="256"/>
        <v>69.357052546991483</v>
      </c>
      <c r="BL287">
        <f t="shared" si="303"/>
        <v>0.55434970570447883</v>
      </c>
      <c r="BM287" s="43">
        <f t="shared" si="304"/>
        <v>7.2934574701252428</v>
      </c>
    </row>
    <row r="288" spans="14:65" x14ac:dyDescent="0.25">
      <c r="N288" s="9">
        <v>70</v>
      </c>
      <c r="O288" s="34">
        <f t="shared" si="305"/>
        <v>5011.8723362727324</v>
      </c>
      <c r="P288" s="33" t="str">
        <f t="shared" si="257"/>
        <v>16.5157725627975</v>
      </c>
      <c r="Q288" s="4" t="str">
        <f t="shared" si="258"/>
        <v>1+81.4808151634047i</v>
      </c>
      <c r="R288" s="4">
        <f t="shared" si="270"/>
        <v>81.486951346169036</v>
      </c>
      <c r="S288" s="4">
        <f t="shared" si="271"/>
        <v>1.5585241152921168</v>
      </c>
      <c r="T288" s="4" t="str">
        <f t="shared" si="259"/>
        <v>1+0.518019097176787i</v>
      </c>
      <c r="U288" s="4">
        <f t="shared" si="272"/>
        <v>1.1262077006662019</v>
      </c>
      <c r="V288" s="4">
        <f t="shared" si="273"/>
        <v>0.4779587530452431</v>
      </c>
      <c r="W288" t="str">
        <f t="shared" si="260"/>
        <v>1-7.87263065618217i</v>
      </c>
      <c r="X288" s="4">
        <f t="shared" si="274"/>
        <v>7.9358876912831438</v>
      </c>
      <c r="Y288" s="4">
        <f t="shared" si="275"/>
        <v>-1.4444505992886232</v>
      </c>
      <c r="Z288" t="str">
        <f t="shared" si="261"/>
        <v>0.999481015200101+0.11021682918655i</v>
      </c>
      <c r="AA288" s="4">
        <f t="shared" si="276"/>
        <v>1.0055396805603258</v>
      </c>
      <c r="AB288" s="4">
        <f t="shared" si="277"/>
        <v>0.10983030197179044</v>
      </c>
      <c r="AC288" s="47" t="str">
        <f t="shared" si="278"/>
        <v>-1.57507092161832-0.874313763421145i</v>
      </c>
      <c r="AD288" s="20">
        <f t="shared" si="279"/>
        <v>5.1125123186761048</v>
      </c>
      <c r="AE288" s="43">
        <f t="shared" si="280"/>
        <v>-150.96557056478224</v>
      </c>
      <c r="AF288" t="str">
        <f t="shared" si="262"/>
        <v>247.084651286898</v>
      </c>
      <c r="AG288" t="str">
        <f t="shared" si="263"/>
        <v>1+79.6822044421829i</v>
      </c>
      <c r="AH288">
        <f t="shared" si="281"/>
        <v>79.688479121927216</v>
      </c>
      <c r="AI288">
        <f t="shared" si="282"/>
        <v>1.5582471319984883</v>
      </c>
      <c r="AJ288" t="str">
        <f t="shared" si="264"/>
        <v>1+0.518019097176787i</v>
      </c>
      <c r="AK288">
        <f t="shared" si="283"/>
        <v>1.1262077006662019</v>
      </c>
      <c r="AL288">
        <f t="shared" si="284"/>
        <v>0.4779587530452431</v>
      </c>
      <c r="AM288" t="str">
        <f t="shared" si="265"/>
        <v>1-0.514603177399563i</v>
      </c>
      <c r="AN288">
        <f t="shared" si="285"/>
        <v>1.1246405782247615</v>
      </c>
      <c r="AO288">
        <f t="shared" si="286"/>
        <v>-0.47526178408968611</v>
      </c>
      <c r="AP288" s="41" t="str">
        <f t="shared" si="287"/>
        <v>0.059872339257966-3.92673863020558i</v>
      </c>
      <c r="AQ288">
        <f t="shared" si="288"/>
        <v>11.881649435535945</v>
      </c>
      <c r="AR288" s="43">
        <f t="shared" si="289"/>
        <v>-89.126459163247048</v>
      </c>
      <c r="AS288" t="str">
        <f t="shared" si="266"/>
        <v>-0.0000166666666666667</v>
      </c>
      <c r="AT288" t="str">
        <f t="shared" si="267"/>
        <v>0.000107067776924077i</v>
      </c>
      <c r="AU288">
        <f t="shared" si="290"/>
        <v>1.07067776924077E-4</v>
      </c>
      <c r="AV288">
        <f t="shared" si="291"/>
        <v>1.5707963267948966</v>
      </c>
      <c r="AW288" t="str">
        <f t="shared" si="268"/>
        <v>1+0.108809017586857i</v>
      </c>
      <c r="AX288">
        <f t="shared" si="292"/>
        <v>1.0059022826836694</v>
      </c>
      <c r="AY288">
        <f t="shared" si="293"/>
        <v>0.10838263116472588</v>
      </c>
      <c r="AZ288" t="str">
        <f t="shared" si="269"/>
        <v>1+3.69950659795313i</v>
      </c>
      <c r="BA288">
        <f t="shared" si="294"/>
        <v>3.8322772692354534</v>
      </c>
      <c r="BB288">
        <f t="shared" si="295"/>
        <v>1.306799011380803</v>
      </c>
      <c r="BC288" s="41" t="str">
        <f t="shared" si="296"/>
        <v>-0.552404497594318+0.215771228042954i</v>
      </c>
      <c r="BD288">
        <f t="shared" si="297"/>
        <v>-4.5381781254821014</v>
      </c>
      <c r="BE288" s="43">
        <f t="shared" si="298"/>
        <v>158.66420068572663</v>
      </c>
      <c r="BF288" s="41" t="str">
        <f t="shared" si="299"/>
        <v>1.05872801556022+0.143119868210123i</v>
      </c>
      <c r="BG288" s="20">
        <f t="shared" si="300"/>
        <v>0.57433419319396373</v>
      </c>
      <c r="BH288" s="43">
        <f t="shared" si="301"/>
        <v>7.6986301209444203</v>
      </c>
      <c r="BI288" s="41" t="str">
        <f t="shared" si="255"/>
        <v>0.814203466955572+2.18206680837041i</v>
      </c>
      <c r="BJ288" s="20">
        <f t="shared" si="302"/>
        <v>7.3434713100538449</v>
      </c>
      <c r="BK288" s="43">
        <f t="shared" si="256"/>
        <v>69.537741522479578</v>
      </c>
      <c r="BL288">
        <f t="shared" si="303"/>
        <v>0.57433419319396373</v>
      </c>
      <c r="BM288" s="43">
        <f t="shared" si="304"/>
        <v>7.6986301209444203</v>
      </c>
    </row>
    <row r="289" spans="14:65" x14ac:dyDescent="0.25">
      <c r="N289" s="9">
        <v>71</v>
      </c>
      <c r="O289" s="34">
        <f t="shared" si="305"/>
        <v>5128.6138399136489</v>
      </c>
      <c r="P289" s="33" t="str">
        <f t="shared" si="257"/>
        <v>16.5157725627975</v>
      </c>
      <c r="Q289" s="4" t="str">
        <f t="shared" si="258"/>
        <v>1+83.3787471620352i</v>
      </c>
      <c r="R289" s="4">
        <f t="shared" si="270"/>
        <v>83.384743678388745</v>
      </c>
      <c r="S289" s="4">
        <f t="shared" si="271"/>
        <v>1.5588034378340145</v>
      </c>
      <c r="T289" s="4" t="str">
        <f t="shared" si="259"/>
        <v>1+0.530085312008607i</v>
      </c>
      <c r="U289" s="4">
        <f t="shared" si="272"/>
        <v>1.1318084811518521</v>
      </c>
      <c r="V289" s="4">
        <f t="shared" si="273"/>
        <v>0.48742518033046955</v>
      </c>
      <c r="W289" t="str">
        <f t="shared" si="260"/>
        <v>1-8.05600778128582i</v>
      </c>
      <c r="X289" s="4">
        <f t="shared" si="274"/>
        <v>8.1178360030329308</v>
      </c>
      <c r="Y289" s="4">
        <f t="shared" si="275"/>
        <v>-1.4472970912376022</v>
      </c>
      <c r="Z289" t="str">
        <f t="shared" si="261"/>
        <v>0.999456556200022+0.112784108938001i</v>
      </c>
      <c r="AA289" s="4">
        <f t="shared" si="276"/>
        <v>1.005800011413873</v>
      </c>
      <c r="AB289" s="4">
        <f t="shared" si="277"/>
        <v>0.11237006615232074</v>
      </c>
      <c r="AC289" s="47" t="str">
        <f t="shared" si="278"/>
        <v>-1.57858501905547-0.884129786261406i</v>
      </c>
      <c r="AD289" s="20">
        <f t="shared" si="279"/>
        <v>5.1502775342931795</v>
      </c>
      <c r="AE289" s="43">
        <f t="shared" si="280"/>
        <v>-150.74779798064247</v>
      </c>
      <c r="AF289" t="str">
        <f t="shared" si="262"/>
        <v>247.084651286898</v>
      </c>
      <c r="AG289" t="str">
        <f t="shared" si="263"/>
        <v>1+81.5382414151678i</v>
      </c>
      <c r="AH289">
        <f t="shared" si="281"/>
        <v>81.544373276628875</v>
      </c>
      <c r="AI289">
        <f t="shared" si="282"/>
        <v>1.5585327575734818</v>
      </c>
      <c r="AJ289" t="str">
        <f t="shared" si="264"/>
        <v>1+0.530085312008607i</v>
      </c>
      <c r="AK289">
        <f t="shared" si="283"/>
        <v>1.1318084811518521</v>
      </c>
      <c r="AL289">
        <f t="shared" si="284"/>
        <v>0.48742518033046955</v>
      </c>
      <c r="AM289" t="str">
        <f t="shared" si="265"/>
        <v>1-0.526589825238381i</v>
      </c>
      <c r="AN289">
        <f t="shared" si="285"/>
        <v>1.130175581068972</v>
      </c>
      <c r="AO289">
        <f t="shared" si="286"/>
        <v>-0.48469249679772103</v>
      </c>
      <c r="AP289" s="41" t="str">
        <f t="shared" si="287"/>
        <v>0.0581215390844687-3.87544695559128i</v>
      </c>
      <c r="AQ289">
        <f t="shared" si="288"/>
        <v>11.76741264995929</v>
      </c>
      <c r="AR289" s="43">
        <f t="shared" si="289"/>
        <v>-89.140778008675014</v>
      </c>
      <c r="AS289" t="str">
        <f t="shared" si="266"/>
        <v>-0.0000166666666666667</v>
      </c>
      <c r="AT289" t="str">
        <f t="shared" si="267"/>
        <v>0.000109561705825487i</v>
      </c>
      <c r="AU289">
        <f t="shared" si="290"/>
        <v>1.09561705825487E-4</v>
      </c>
      <c r="AV289">
        <f t="shared" si="291"/>
        <v>1.5707963267948966</v>
      </c>
      <c r="AW289" t="str">
        <f t="shared" si="268"/>
        <v>1+0.111343505193583i</v>
      </c>
      <c r="AX289">
        <f t="shared" si="292"/>
        <v>1.0061795943810397</v>
      </c>
      <c r="AY289">
        <f t="shared" si="293"/>
        <v>0.11088677532299746</v>
      </c>
      <c r="AZ289" t="str">
        <f t="shared" si="269"/>
        <v>1+3.78567917658183i</v>
      </c>
      <c r="BA289">
        <f t="shared" si="294"/>
        <v>3.9155289333633183</v>
      </c>
      <c r="BB289">
        <f t="shared" si="295"/>
        <v>1.3125418169839851</v>
      </c>
      <c r="BC289" s="41" t="str">
        <f t="shared" si="296"/>
        <v>-0.552100044751651+0.213594031804365i</v>
      </c>
      <c r="BD289">
        <f t="shared" si="297"/>
        <v>-4.5539020751399031</v>
      </c>
      <c r="BE289" s="43">
        <f t="shared" si="298"/>
        <v>158.84976231779174</v>
      </c>
      <c r="BF289" s="41" t="str">
        <f t="shared" si="299"/>
        <v>1.06038170535072+0.150951755795162i</v>
      </c>
      <c r="BG289" s="20">
        <f t="shared" si="300"/>
        <v>0.59637545915330903</v>
      </c>
      <c r="BH289" s="43">
        <f t="shared" si="301"/>
        <v>8.1019643371492869</v>
      </c>
      <c r="BI289" s="41" t="str">
        <f t="shared" si="255"/>
        <v>0.795683435959123+2.15204885148232i</v>
      </c>
      <c r="BJ289" s="20">
        <f t="shared" si="302"/>
        <v>7.2135105748193791</v>
      </c>
      <c r="BK289" s="43">
        <f t="shared" si="256"/>
        <v>69.708984309116744</v>
      </c>
      <c r="BL289">
        <f t="shared" si="303"/>
        <v>0.59637545915330903</v>
      </c>
      <c r="BM289" s="43">
        <f t="shared" si="304"/>
        <v>8.1019643371492869</v>
      </c>
    </row>
    <row r="290" spans="14:65" x14ac:dyDescent="0.25">
      <c r="N290" s="9">
        <v>72</v>
      </c>
      <c r="O290" s="34">
        <f t="shared" si="305"/>
        <v>5248.0746024977261</v>
      </c>
      <c r="P290" s="33" t="str">
        <f t="shared" si="257"/>
        <v>16.5157725627975</v>
      </c>
      <c r="Q290" s="4" t="str">
        <f t="shared" si="258"/>
        <v>1+85.3208876760595i</v>
      </c>
      <c r="R290" s="4">
        <f t="shared" si="270"/>
        <v>85.326747704519732</v>
      </c>
      <c r="S290" s="4">
        <f t="shared" si="271"/>
        <v>1.5590764040270113</v>
      </c>
      <c r="T290" s="4" t="str">
        <f t="shared" si="259"/>
        <v>1+0.542432585089366i</v>
      </c>
      <c r="U290" s="4">
        <f t="shared" si="272"/>
        <v>1.1376436653745021</v>
      </c>
      <c r="V290" s="4">
        <f t="shared" si="273"/>
        <v>0.49701473662065948</v>
      </c>
      <c r="W290" t="str">
        <f t="shared" si="260"/>
        <v>1-8.24365630834903i</v>
      </c>
      <c r="X290" s="4">
        <f t="shared" si="274"/>
        <v>8.3040875073774814</v>
      </c>
      <c r="Y290" s="4">
        <f t="shared" si="275"/>
        <v>-1.4500807341964259</v>
      </c>
      <c r="Z290" t="str">
        <f t="shared" si="261"/>
        <v>0.999430944482781+0.115411188316886i</v>
      </c>
      <c r="AA290" s="4">
        <f t="shared" si="276"/>
        <v>1.0060725397199048</v>
      </c>
      <c r="AB290" s="4">
        <f t="shared" si="277"/>
        <v>0.114967677646718</v>
      </c>
      <c r="AC290" s="47" t="str">
        <f t="shared" si="278"/>
        <v>-1.58224971648275-0.894380323477313i</v>
      </c>
      <c r="AD290" s="20">
        <f t="shared" si="279"/>
        <v>5.1896515166513355</v>
      </c>
      <c r="AE290" s="43">
        <f t="shared" si="280"/>
        <v>-150.52231985727525</v>
      </c>
      <c r="AF290" t="str">
        <f t="shared" si="262"/>
        <v>247.084651286898</v>
      </c>
      <c r="AG290" t="str">
        <f t="shared" si="263"/>
        <v>1+83.4375110430377i</v>
      </c>
      <c r="AH290">
        <f t="shared" si="281"/>
        <v>83.443503336431405</v>
      </c>
      <c r="AI290">
        <f t="shared" si="282"/>
        <v>1.5588118834502436</v>
      </c>
      <c r="AJ290" t="str">
        <f t="shared" si="264"/>
        <v>1+0.542432585089366i</v>
      </c>
      <c r="AK290">
        <f t="shared" si="283"/>
        <v>1.1376436653745021</v>
      </c>
      <c r="AL290">
        <f t="shared" si="284"/>
        <v>0.49701473662065948</v>
      </c>
      <c r="AM290" t="str">
        <f t="shared" si="265"/>
        <v>1-0.538855677972783i</v>
      </c>
      <c r="AN290">
        <f t="shared" si="285"/>
        <v>1.1359425344987781</v>
      </c>
      <c r="AO290">
        <f t="shared" si="286"/>
        <v>-0.49424686716781729</v>
      </c>
      <c r="AP290" s="41" t="str">
        <f t="shared" si="287"/>
        <v>0.0564495147315952-3.82620816120508i</v>
      </c>
      <c r="AQ290">
        <f t="shared" si="288"/>
        <v>11.656317066768667</v>
      </c>
      <c r="AR290" s="43">
        <f t="shared" si="289"/>
        <v>-89.154754738646702</v>
      </c>
      <c r="AS290" t="str">
        <f t="shared" si="266"/>
        <v>-0.0000166666666666667</v>
      </c>
      <c r="AT290" t="str">
        <f t="shared" si="267"/>
        <v>0.000112113725793547i</v>
      </c>
      <c r="AU290">
        <f t="shared" si="290"/>
        <v>1.12113725793547E-4</v>
      </c>
      <c r="AV290">
        <f t="shared" si="291"/>
        <v>1.5707963267948966</v>
      </c>
      <c r="AW290" t="str">
        <f t="shared" si="268"/>
        <v>1+0.11393702860057i</v>
      </c>
      <c r="AX290">
        <f t="shared" si="292"/>
        <v>1.0064698934823273</v>
      </c>
      <c r="AY290">
        <f t="shared" si="293"/>
        <v>0.11344780347724724</v>
      </c>
      <c r="AZ290" t="str">
        <f t="shared" si="269"/>
        <v>1+3.87385897241937i</v>
      </c>
      <c r="BA290">
        <f t="shared" si="294"/>
        <v>4.0008478274228398</v>
      </c>
      <c r="BB290">
        <f t="shared" si="295"/>
        <v>1.3181707866938643</v>
      </c>
      <c r="BC290" s="41" t="str">
        <f t="shared" si="296"/>
        <v>-0.551781602970774+0.211526930853107i</v>
      </c>
      <c r="BD290">
        <f t="shared" si="297"/>
        <v>-4.5691758178495281</v>
      </c>
      <c r="BE290" s="43">
        <f t="shared" si="298"/>
        <v>159.02554242072208</v>
      </c>
      <c r="BF290" s="41" t="str">
        <f t="shared" si="299"/>
        <v>1.06224180970147+0.158814182183036i</v>
      </c>
      <c r="BG290" s="20">
        <f t="shared" si="300"/>
        <v>0.62047569880180853</v>
      </c>
      <c r="BH290" s="43">
        <f t="shared" si="301"/>
        <v>8.5032225634468031</v>
      </c>
      <c r="BI290" s="41" t="str">
        <f t="shared" si="255"/>
        <v>0.778198265419299+2.12317186508892i</v>
      </c>
      <c r="BJ290" s="20">
        <f t="shared" si="302"/>
        <v>7.087141248919143</v>
      </c>
      <c r="BK290" s="43">
        <f t="shared" si="256"/>
        <v>69.870787682075402</v>
      </c>
      <c r="BL290">
        <f t="shared" si="303"/>
        <v>0.62047569880180853</v>
      </c>
      <c r="BM290" s="43">
        <f t="shared" si="304"/>
        <v>8.5032225634468031</v>
      </c>
    </row>
    <row r="291" spans="14:65" x14ac:dyDescent="0.25">
      <c r="N291" s="9">
        <v>73</v>
      </c>
      <c r="O291" s="34">
        <f t="shared" si="305"/>
        <v>5370.3179637025269</v>
      </c>
      <c r="P291" s="33" t="str">
        <f t="shared" si="257"/>
        <v>16.5157725627975</v>
      </c>
      <c r="Q291" s="4" t="str">
        <f t="shared" si="258"/>
        <v>1+87.3082664540849i</v>
      </c>
      <c r="R291" s="4">
        <f t="shared" si="270"/>
        <v>87.313993100862632</v>
      </c>
      <c r="S291" s="4">
        <f t="shared" si="271"/>
        <v>1.5593431584385911</v>
      </c>
      <c r="T291" s="4" t="str">
        <f t="shared" si="259"/>
        <v>1+0.555067463106681i</v>
      </c>
      <c r="U291" s="4">
        <f t="shared" si="272"/>
        <v>1.1437219454918606</v>
      </c>
      <c r="V291" s="4">
        <f t="shared" si="273"/>
        <v>0.50672545080428433</v>
      </c>
      <c r="W291" t="str">
        <f t="shared" si="260"/>
        <v>1-8.43567573110457i</v>
      </c>
      <c r="X291" s="4">
        <f t="shared" si="274"/>
        <v>8.4947410225589941</v>
      </c>
      <c r="Y291" s="4">
        <f t="shared" si="275"/>
        <v>-1.4528028314407893</v>
      </c>
      <c r="Z291" t="str">
        <f t="shared" si="261"/>
        <v>0.999404125722494+0.118099460235464i</v>
      </c>
      <c r="AA291" s="4">
        <f t="shared" si="276"/>
        <v>1.0063578334862062</v>
      </c>
      <c r="AB291" s="4">
        <f t="shared" si="277"/>
        <v>0.1176243916213868</v>
      </c>
      <c r="AC291" s="47" t="str">
        <f t="shared" si="278"/>
        <v>-1.58607226123008-0.905068437124938i</v>
      </c>
      <c r="AD291" s="20">
        <f t="shared" si="279"/>
        <v>5.2306641901045641</v>
      </c>
      <c r="AE291" s="43">
        <f t="shared" si="280"/>
        <v>-150.28940400209405</v>
      </c>
      <c r="AF291" t="str">
        <f t="shared" si="262"/>
        <v>247.084651286898</v>
      </c>
      <c r="AG291" t="str">
        <f t="shared" si="263"/>
        <v>1+85.3810203436884i</v>
      </c>
      <c r="AH291">
        <f t="shared" si="281"/>
        <v>85.386876245295056</v>
      </c>
      <c r="AI291">
        <f t="shared" si="282"/>
        <v>1.5590846574509316</v>
      </c>
      <c r="AJ291" t="str">
        <f t="shared" si="264"/>
        <v>1+0.555067463106681i</v>
      </c>
      <c r="AK291">
        <f t="shared" si="283"/>
        <v>1.1437219454918606</v>
      </c>
      <c r="AL291">
        <f t="shared" si="284"/>
        <v>0.50672545080428433</v>
      </c>
      <c r="AM291" t="str">
        <f t="shared" si="265"/>
        <v>1-0.551407239120243i</v>
      </c>
      <c r="AN291">
        <f t="shared" si="285"/>
        <v>1.1419500616726674</v>
      </c>
      <c r="AO291">
        <f t="shared" si="286"/>
        <v>-0.50392298278957059</v>
      </c>
      <c r="AP291" s="41" t="str">
        <f t="shared" si="287"/>
        <v>0.0548527227414361-3.7789962689723i</v>
      </c>
      <c r="AQ291">
        <f t="shared" si="288"/>
        <v>11.548444180383905</v>
      </c>
      <c r="AR291" s="43">
        <f t="shared" si="289"/>
        <v>-89.168401186074547</v>
      </c>
      <c r="AS291" t="str">
        <f t="shared" si="266"/>
        <v>-0.0000166666666666667</v>
      </c>
      <c r="AT291" t="str">
        <f t="shared" si="267"/>
        <v>0.000114725189943022i</v>
      </c>
      <c r="AU291">
        <f t="shared" si="290"/>
        <v>1.14725189943022E-4</v>
      </c>
      <c r="AV291">
        <f t="shared" si="291"/>
        <v>1.5707963267948966</v>
      </c>
      <c r="AW291" t="str">
        <f t="shared" si="268"/>
        <v>1+0.116590962928255i</v>
      </c>
      <c r="AX291">
        <f t="shared" si="292"/>
        <v>1.0067737842417916</v>
      </c>
      <c r="AY291">
        <f t="shared" si="293"/>
        <v>0.116066939066201</v>
      </c>
      <c r="AZ291" t="str">
        <f t="shared" si="269"/>
        <v>1+3.96409273956066i</v>
      </c>
      <c r="BA291">
        <f t="shared" si="294"/>
        <v>4.0882797418764705</v>
      </c>
      <c r="BB291">
        <f t="shared" si="295"/>
        <v>1.323687477626432</v>
      </c>
      <c r="BC291" s="41" t="str">
        <f t="shared" si="296"/>
        <v>-0.551448546973431+0.209568609385122i</v>
      </c>
      <c r="BD291">
        <f t="shared" si="297"/>
        <v>-4.5840265833274092</v>
      </c>
      <c r="BE291" s="43">
        <f t="shared" si="298"/>
        <v>159.19156011281675</v>
      </c>
      <c r="BF291" s="41" t="str">
        <f t="shared" si="299"/>
        <v>1.06431117761683+0.166707716393757i</v>
      </c>
      <c r="BG291" s="20">
        <f t="shared" si="300"/>
        <v>0.64663760677714865</v>
      </c>
      <c r="BH291" s="43">
        <f t="shared" si="301"/>
        <v>8.9021561107226841</v>
      </c>
      <c r="BI291" s="41" t="str">
        <f t="shared" si="255"/>
        <v>0.761710538706788+2.0954174103687i</v>
      </c>
      <c r="BJ291" s="20">
        <f t="shared" si="302"/>
        <v>6.9644175970564905</v>
      </c>
      <c r="BK291" s="43">
        <f t="shared" si="256"/>
        <v>70.023158926742184</v>
      </c>
      <c r="BL291">
        <f t="shared" si="303"/>
        <v>0.64663760677714865</v>
      </c>
      <c r="BM291" s="43">
        <f t="shared" si="304"/>
        <v>8.9021561107226841</v>
      </c>
    </row>
    <row r="292" spans="14:65" x14ac:dyDescent="0.25">
      <c r="N292" s="9">
        <v>74</v>
      </c>
      <c r="O292" s="34">
        <f t="shared" si="305"/>
        <v>5495.4087385762541</v>
      </c>
      <c r="P292" s="33" t="str">
        <f t="shared" si="257"/>
        <v>16.5157725627975</v>
      </c>
      <c r="Q292" s="4" t="str">
        <f t="shared" si="258"/>
        <v>1+89.3419372306461i</v>
      </c>
      <c r="R292" s="4">
        <f t="shared" si="270"/>
        <v>89.347533531288406</v>
      </c>
      <c r="S292" s="4">
        <f t="shared" si="271"/>
        <v>1.5596038423535332</v>
      </c>
      <c r="T292" s="4" t="str">
        <f t="shared" si="259"/>
        <v>1+0.567996645240123i</v>
      </c>
      <c r="U292" s="4">
        <f t="shared" si="272"/>
        <v>1.1500522549015042</v>
      </c>
      <c r="V292" s="4">
        <f t="shared" si="273"/>
        <v>0.51655514527220037</v>
      </c>
      <c r="W292" t="str">
        <f t="shared" si="260"/>
        <v>1-8.63216786079215i</v>
      </c>
      <c r="X292" s="4">
        <f t="shared" si="274"/>
        <v>8.68989769657232</v>
      </c>
      <c r="Y292" s="4">
        <f t="shared" si="275"/>
        <v>-1.4554646648141032</v>
      </c>
      <c r="Z292" t="str">
        <f t="shared" si="261"/>
        <v>0.999376043032975+0.12085035005109i</v>
      </c>
      <c r="AA292" s="4">
        <f t="shared" si="276"/>
        <v>1.0066564868393377</v>
      </c>
      <c r="AB292" s="4">
        <f t="shared" si="277"/>
        <v>0.12034148606274005</v>
      </c>
      <c r="AC292" s="47" t="str">
        <f t="shared" si="278"/>
        <v>-1.59006018601075-0.916197257434177i</v>
      </c>
      <c r="AD292" s="20">
        <f t="shared" si="279"/>
        <v>5.2733453299916846</v>
      </c>
      <c r="AE292" s="43">
        <f t="shared" si="280"/>
        <v>-150.04932994537839</v>
      </c>
      <c r="AF292" t="str">
        <f t="shared" si="262"/>
        <v>247.084651286898</v>
      </c>
      <c r="AG292" t="str">
        <f t="shared" si="263"/>
        <v>1+87.369799791477i</v>
      </c>
      <c r="AH292">
        <f t="shared" si="281"/>
        <v>87.375522405321149</v>
      </c>
      <c r="AI292">
        <f t="shared" si="282"/>
        <v>1.5593512240414709</v>
      </c>
      <c r="AJ292" t="str">
        <f t="shared" si="264"/>
        <v>1+0.567996645240123i</v>
      </c>
      <c r="AK292">
        <f t="shared" si="283"/>
        <v>1.1500522549015042</v>
      </c>
      <c r="AL292">
        <f t="shared" si="284"/>
        <v>0.51655514527220037</v>
      </c>
      <c r="AM292" t="str">
        <f t="shared" si="265"/>
        <v>1-0.564251163684623i</v>
      </c>
      <c r="AN292">
        <f t="shared" si="285"/>
        <v>1.1482070265067408</v>
      </c>
      <c r="AO292">
        <f t="shared" si="286"/>
        <v>-0.51371872571606725</v>
      </c>
      <c r="AP292" s="41" t="str">
        <f t="shared" si="287"/>
        <v>0.0533277789586969-3.73378636690326i</v>
      </c>
      <c r="AQ292">
        <f t="shared" si="288"/>
        <v>11.443875138112261</v>
      </c>
      <c r="AR292" s="43">
        <f t="shared" si="289"/>
        <v>-89.181729046640356</v>
      </c>
      <c r="AS292" t="str">
        <f t="shared" si="266"/>
        <v>-0.0000166666666666667</v>
      </c>
      <c r="AT292" t="str">
        <f t="shared" si="267"/>
        <v>0.000117397482906773i</v>
      </c>
      <c r="AU292">
        <f t="shared" si="290"/>
        <v>1.17397482906773E-4</v>
      </c>
      <c r="AV292">
        <f t="shared" si="291"/>
        <v>1.5707963267948966</v>
      </c>
      <c r="AW292" t="str">
        <f t="shared" si="268"/>
        <v>1+0.119306715327748i</v>
      </c>
      <c r="AX292">
        <f t="shared" si="292"/>
        <v>1.0070918986479318</v>
      </c>
      <c r="AY292">
        <f t="shared" si="293"/>
        <v>0.11874542697711188</v>
      </c>
      <c r="AZ292" t="str">
        <f t="shared" si="269"/>
        <v>1+4.05642832114345i</v>
      </c>
      <c r="BA292">
        <f t="shared" si="294"/>
        <v>4.1778715543413574</v>
      </c>
      <c r="BB292">
        <f t="shared" si="295"/>
        <v>1.3290934710827158</v>
      </c>
      <c r="BC292" s="41" t="str">
        <f t="shared" si="296"/>
        <v>-0.551100225193954+0.207717794251109i</v>
      </c>
      <c r="BD292">
        <f t="shared" si="297"/>
        <v>-4.5984810878337887</v>
      </c>
      <c r="BE292" s="43">
        <f t="shared" si="298"/>
        <v>159.34783466916511</v>
      </c>
      <c r="BF292" s="41" t="str">
        <f t="shared" si="299"/>
        <v>1.06659299999561+0.174632720329397i</v>
      </c>
      <c r="BG292" s="20">
        <f t="shared" si="300"/>
        <v>0.67486424215791785</v>
      </c>
      <c r="BH292" s="43">
        <f t="shared" si="301"/>
        <v>9.2985047237866834</v>
      </c>
      <c r="BI292" s="41" t="str">
        <f t="shared" si="255"/>
        <v>0.746184917344776+2.06876763624411i</v>
      </c>
      <c r="BJ292" s="20">
        <f t="shared" si="302"/>
        <v>6.8453940502784585</v>
      </c>
      <c r="BK292" s="43">
        <f t="shared" si="256"/>
        <v>70.166105622524725</v>
      </c>
      <c r="BL292">
        <f t="shared" si="303"/>
        <v>0.67486424215791785</v>
      </c>
      <c r="BM292" s="43">
        <f t="shared" si="304"/>
        <v>9.2985047237866834</v>
      </c>
    </row>
    <row r="293" spans="14:65" x14ac:dyDescent="0.25">
      <c r="N293" s="9">
        <v>75</v>
      </c>
      <c r="O293" s="34">
        <f t="shared" si="305"/>
        <v>5623.4132519034993</v>
      </c>
      <c r="P293" s="33" t="str">
        <f t="shared" si="257"/>
        <v>16.5157725627975</v>
      </c>
      <c r="Q293" s="4" t="str">
        <f t="shared" si="258"/>
        <v>1+91.4229782849071i</v>
      </c>
      <c r="R293" s="4">
        <f t="shared" si="270"/>
        <v>91.428447205903012</v>
      </c>
      <c r="S293" s="4">
        <f t="shared" si="271"/>
        <v>1.559858593848098</v>
      </c>
      <c r="T293" s="4" t="str">
        <f t="shared" si="259"/>
        <v>1+0.581226986713196i</v>
      </c>
      <c r="U293" s="4">
        <f t="shared" si="272"/>
        <v>1.15664376974231</v>
      </c>
      <c r="V293" s="4">
        <f t="shared" si="273"/>
        <v>0.5265014329773765</v>
      </c>
      <c r="W293" t="str">
        <f t="shared" si="260"/>
        <v>1-8.83323688013975i</v>
      </c>
      <c r="X293" s="4">
        <f t="shared" si="274"/>
        <v>8.8896610610675726</v>
      </c>
      <c r="Y293" s="4">
        <f t="shared" si="275"/>
        <v>-1.4580674946940078</v>
      </c>
      <c r="Z293" t="str">
        <f t="shared" si="261"/>
        <v>0.999346636847073+0.123665316321956i</v>
      </c>
      <c r="AA293" s="4">
        <f t="shared" si="276"/>
        <v>1.0069691211941729</v>
      </c>
      <c r="AB293" s="4">
        <f t="shared" si="277"/>
        <v>0.12312026187162188</v>
      </c>
      <c r="AC293" s="47" t="str">
        <f t="shared" si="278"/>
        <v>-1.59422132031177-0.927769973672093i</v>
      </c>
      <c r="AD293" s="20">
        <f t="shared" si="279"/>
        <v>5.3177244460454629</v>
      </c>
      <c r="AE293" s="43">
        <f t="shared" si="280"/>
        <v>-149.8023891164832</v>
      </c>
      <c r="AF293" t="str">
        <f t="shared" si="262"/>
        <v>247.084651286898</v>
      </c>
      <c r="AG293" t="str">
        <f t="shared" si="263"/>
        <v>1+89.4049038635908i</v>
      </c>
      <c r="AH293">
        <f t="shared" si="281"/>
        <v>89.410496223082859</v>
      </c>
      <c r="AI293">
        <f t="shared" si="282"/>
        <v>1.5596117244073766</v>
      </c>
      <c r="AJ293" t="str">
        <f t="shared" si="264"/>
        <v>1+0.581226986713196i</v>
      </c>
      <c r="AK293">
        <f t="shared" si="283"/>
        <v>1.15664376974231</v>
      </c>
      <c r="AL293">
        <f t="shared" si="284"/>
        <v>0.5265014329773765</v>
      </c>
      <c r="AM293" t="str">
        <f t="shared" si="265"/>
        <v>1-0.577394261684735i</v>
      </c>
      <c r="AN293">
        <f t="shared" si="285"/>
        <v>1.1547225352553141</v>
      </c>
      <c r="AO293">
        <f t="shared" si="286"/>
        <v>-0.52363176934111078</v>
      </c>
      <c r="AP293" s="41" t="str">
        <f t="shared" si="287"/>
        <v>0.0518714513766525-3.6905545964587i</v>
      </c>
      <c r="AQ293">
        <f t="shared" si="288"/>
        <v>11.342690546583597</v>
      </c>
      <c r="AR293" s="43">
        <f t="shared" si="289"/>
        <v>-89.194749872682976</v>
      </c>
      <c r="AS293" t="str">
        <f t="shared" si="266"/>
        <v>-0.0000166666666666667</v>
      </c>
      <c r="AT293" t="str">
        <f t="shared" si="267"/>
        <v>0.000120132021569901i</v>
      </c>
      <c r="AU293">
        <f t="shared" si="290"/>
        <v>1.20132021569901E-4</v>
      </c>
      <c r="AV293">
        <f t="shared" si="291"/>
        <v>1.5707963267948966</v>
      </c>
      <c r="AW293" t="str">
        <f t="shared" si="268"/>
        <v>1+0.12208572572692i</v>
      </c>
      <c r="AX293">
        <f t="shared" si="292"/>
        <v>1.0074248976604998</v>
      </c>
      <c r="AY293">
        <f t="shared" si="293"/>
        <v>0.12148453356677411</v>
      </c>
      <c r="AZ293" t="str">
        <f t="shared" si="269"/>
        <v>1+4.15091467471527i</v>
      </c>
      <c r="BA293">
        <f t="shared" si="294"/>
        <v>4.2696712562873707</v>
      </c>
      <c r="BB293">
        <f t="shared" si="295"/>
        <v>1.3343903689395944</v>
      </c>
      <c r="BC293" s="41" t="str">
        <f t="shared" si="296"/>
        <v>-0.550735958832966+0.205973253289717i</v>
      </c>
      <c r="BD293">
        <f t="shared" si="297"/>
        <v>-4.612565557825274</v>
      </c>
      <c r="BE293" s="43">
        <f t="shared" si="298"/>
        <v>159.494385313652</v>
      </c>
      <c r="BF293" s="41" t="str">
        <f t="shared" si="299"/>
        <v>1.06909080721562+0.182589334218293i</v>
      </c>
      <c r="BG293" s="20">
        <f t="shared" si="300"/>
        <v>0.7051588882202241</v>
      </c>
      <c r="BH293" s="43">
        <f t="shared" si="301"/>
        <v>9.6919961971687965</v>
      </c>
      <c r="BI293" s="41" t="str">
        <f t="shared" si="255"/>
        <v>0.731588063165939+2.043205255899i</v>
      </c>
      <c r="BJ293" s="20">
        <f t="shared" si="302"/>
        <v>6.7301249887583223</v>
      </c>
      <c r="BK293" s="43">
        <f t="shared" si="256"/>
        <v>70.299635440969055</v>
      </c>
      <c r="BL293">
        <f t="shared" si="303"/>
        <v>0.7051588882202241</v>
      </c>
      <c r="BM293" s="43">
        <f t="shared" si="304"/>
        <v>9.6919961971687965</v>
      </c>
    </row>
    <row r="294" spans="14:65" x14ac:dyDescent="0.25">
      <c r="N294" s="9">
        <v>76</v>
      </c>
      <c r="O294" s="34">
        <f t="shared" si="305"/>
        <v>5754.399373371567</v>
      </c>
      <c r="P294" s="33" t="str">
        <f t="shared" si="257"/>
        <v>16.5157725627975</v>
      </c>
      <c r="Q294" s="4" t="str">
        <f t="shared" si="258"/>
        <v>1+93.5524930123808i</v>
      </c>
      <c r="R294" s="4">
        <f t="shared" si="270"/>
        <v>93.557837452730595</v>
      </c>
      <c r="S294" s="4">
        <f t="shared" si="271"/>
        <v>1.5601075478625608</v>
      </c>
      <c r="T294" s="4" t="str">
        <f t="shared" si="259"/>
        <v>1+0.594765502428071i</v>
      </c>
      <c r="U294" s="4">
        <f t="shared" si="272"/>
        <v>1.1635059101175704</v>
      </c>
      <c r="V294" s="4">
        <f t="shared" si="273"/>
        <v>0.53656171516434459</v>
      </c>
      <c r="W294" t="str">
        <f t="shared" si="260"/>
        <v>1-9.0389893986029i</v>
      </c>
      <c r="X294" s="4">
        <f t="shared" si="274"/>
        <v>9.0941370865000515</v>
      </c>
      <c r="Y294" s="4">
        <f t="shared" si="275"/>
        <v>-1.4606125599914777</v>
      </c>
      <c r="Z294" t="str">
        <f t="shared" si="261"/>
        <v>0.999315844790325+0.12654585158044i</v>
      </c>
      <c r="AA294" s="4">
        <f t="shared" si="276"/>
        <v>1.0072963864728293</v>
      </c>
      <c r="AB294" s="4">
        <f t="shared" si="277"/>
        <v>0.12596204293124644</v>
      </c>
      <c r="AC294" s="47" t="str">
        <f t="shared" si="278"/>
        <v>-1.5985638019978-0.939789824358206i</v>
      </c>
      <c r="AD294" s="20">
        <f t="shared" si="279"/>
        <v>5.3638306620089393</v>
      </c>
      <c r="AE294" s="43">
        <f t="shared" si="280"/>
        <v>-149.54888498192767</v>
      </c>
      <c r="AF294" t="str">
        <f t="shared" si="262"/>
        <v>247.084651286898</v>
      </c>
      <c r="AG294" t="str">
        <f t="shared" si="263"/>
        <v>1+91.4874115991468i</v>
      </c>
      <c r="AH294">
        <f t="shared" si="281"/>
        <v>91.4928766686877</v>
      </c>
      <c r="AI294">
        <f t="shared" si="282"/>
        <v>1.5598662965278878</v>
      </c>
      <c r="AJ294" t="str">
        <f t="shared" si="264"/>
        <v>1+0.594765502428071i</v>
      </c>
      <c r="AK294">
        <f t="shared" si="283"/>
        <v>1.1635059101175704</v>
      </c>
      <c r="AL294">
        <f t="shared" si="284"/>
        <v>0.53656171516434459</v>
      </c>
      <c r="AM294" t="str">
        <f t="shared" si="265"/>
        <v>1-0.590843501765108i</v>
      </c>
      <c r="AN294">
        <f t="shared" si="285"/>
        <v>1.1615059378143768</v>
      </c>
      <c r="AO294">
        <f t="shared" si="286"/>
        <v>-0.53365957593080793</v>
      </c>
      <c r="AP294" s="41" t="str">
        <f t="shared" si="287"/>
        <v>0.0504806533037108-3.64927814043523i</v>
      </c>
      <c r="AQ294">
        <f t="shared" si="288"/>
        <v>11.244970270483943</v>
      </c>
      <c r="AR294" s="43">
        <f t="shared" si="289"/>
        <v>-89.207475066109168</v>
      </c>
      <c r="AS294" t="str">
        <f t="shared" si="266"/>
        <v>-0.0000166666666666667</v>
      </c>
      <c r="AT294" t="str">
        <f t="shared" si="267"/>
        <v>0.000122930255821i</v>
      </c>
      <c r="AU294">
        <f t="shared" si="290"/>
        <v>1.2293025582100001E-4</v>
      </c>
      <c r="AV294">
        <f t="shared" si="291"/>
        <v>1.5707963267948966</v>
      </c>
      <c r="AW294" t="str">
        <f t="shared" si="268"/>
        <v>1+0.124929467593867i</v>
      </c>
      <c r="AX294">
        <f t="shared" si="292"/>
        <v>1.0077734724992948</v>
      </c>
      <c r="AY294">
        <f t="shared" si="293"/>
        <v>0.12428554665180956</v>
      </c>
      <c r="AZ294" t="str">
        <f t="shared" si="269"/>
        <v>1+4.24760189819147i</v>
      </c>
      <c r="BA294">
        <f t="shared" si="294"/>
        <v>4.36372798023889</v>
      </c>
      <c r="BB294">
        <f t="shared" si="295"/>
        <v>1.3395797902404214</v>
      </c>
      <c r="BC294" s="41" t="str">
        <f t="shared" si="296"/>
        <v>-0.550355040892649+0.20433379362115i</v>
      </c>
      <c r="BD294">
        <f t="shared" si="297"/>
        <v>-4.6263057546688584</v>
      </c>
      <c r="BE294" s="43">
        <f t="shared" si="298"/>
        <v>159.63123102417131</v>
      </c>
      <c r="BF294" s="41" t="str">
        <f t="shared" si="299"/>
        <v>1.07180846663567+0.190577461207496i</v>
      </c>
      <c r="BG294" s="20">
        <f t="shared" si="300"/>
        <v>0.73752490734004916</v>
      </c>
      <c r="BH294" s="43">
        <f t="shared" si="301"/>
        <v>10.08234604224363</v>
      </c>
      <c r="BI294" s="41" t="str">
        <f t="shared" si="255"/>
        <v>0.717888564400615+2.0187135236019i</v>
      </c>
      <c r="BJ294" s="20">
        <f t="shared" si="302"/>
        <v>6.6186645158150759</v>
      </c>
      <c r="BK294" s="43">
        <f t="shared" si="256"/>
        <v>70.423755958062117</v>
      </c>
      <c r="BL294">
        <f t="shared" si="303"/>
        <v>0.73752490734004916</v>
      </c>
      <c r="BM294" s="43">
        <f t="shared" si="304"/>
        <v>10.08234604224363</v>
      </c>
    </row>
    <row r="295" spans="14:65" x14ac:dyDescent="0.25">
      <c r="N295" s="9">
        <v>77</v>
      </c>
      <c r="O295" s="34">
        <f t="shared" si="305"/>
        <v>5888.4365535558973</v>
      </c>
      <c r="P295" s="33" t="str">
        <f t="shared" si="257"/>
        <v>16.5157725627975</v>
      </c>
      <c r="Q295" s="4" t="str">
        <f t="shared" si="258"/>
        <v>1+95.7316105099637i</v>
      </c>
      <c r="R295" s="4">
        <f t="shared" si="270"/>
        <v>95.736833302712654</v>
      </c>
      <c r="S295" s="4">
        <f t="shared" si="271"/>
        <v>1.5603508362721263</v>
      </c>
      <c r="T295" s="4" t="str">
        <f t="shared" si="259"/>
        <v>1+0.608619370684988i</v>
      </c>
      <c r="U295" s="4">
        <f t="shared" si="272"/>
        <v>1.1706483410371327</v>
      </c>
      <c r="V295" s="4">
        <f t="shared" si="273"/>
        <v>0.54673317982058189</v>
      </c>
      <c r="W295" t="str">
        <f t="shared" si="260"/>
        <v>1-9.2495345088904i</v>
      </c>
      <c r="X295" s="4">
        <f t="shared" si="274"/>
        <v>9.303434238556985</v>
      </c>
      <c r="Y295" s="4">
        <f t="shared" si="275"/>
        <v>-1.4631010781799507</v>
      </c>
      <c r="Z295" t="str">
        <f t="shared" si="261"/>
        <v>0.999283601548652+0.129493483124465i</v>
      </c>
      <c r="AA295" s="4">
        <f t="shared" si="276"/>
        <v>1.0076389623747939</v>
      </c>
      <c r="AB295" s="4">
        <f t="shared" si="277"/>
        <v>0.12886817614627655</v>
      </c>
      <c r="AC295" s="47" t="str">
        <f t="shared" si="278"/>
        <v>-1.60309608911721-0.952260086789561i</v>
      </c>
      <c r="AD295" s="20">
        <f t="shared" si="279"/>
        <v>5.4116925918129883</v>
      </c>
      <c r="AE295" s="43">
        <f t="shared" si="280"/>
        <v>-149.28913314209652</v>
      </c>
      <c r="AF295" t="str">
        <f t="shared" si="262"/>
        <v>247.084651286898</v>
      </c>
      <c r="AG295" t="str">
        <f t="shared" si="263"/>
        <v>1+93.6184271713122i</v>
      </c>
      <c r="AH295">
        <f t="shared" si="281"/>
        <v>93.623767847861615</v>
      </c>
      <c r="AI295">
        <f t="shared" si="282"/>
        <v>1.5601150752484529</v>
      </c>
      <c r="AJ295" t="str">
        <f t="shared" si="264"/>
        <v>1+0.608619370684988i</v>
      </c>
      <c r="AK295">
        <f t="shared" si="283"/>
        <v>1.1706483410371327</v>
      </c>
      <c r="AL295">
        <f t="shared" si="284"/>
        <v>0.54673317982058189</v>
      </c>
      <c r="AM295" t="str">
        <f t="shared" si="265"/>
        <v>1-0.604606014890858i</v>
      </c>
      <c r="AN295">
        <f t="shared" si="285"/>
        <v>1.1685668287445969</v>
      </c>
      <c r="AO295">
        <f t="shared" si="286"/>
        <v>-0.54379939486229623</v>
      </c>
      <c r="AP295" s="41" t="str">
        <f t="shared" si="287"/>
        <v>0.0491524368362841-3.60993521136734i</v>
      </c>
      <c r="AQ295">
        <f t="shared" si="288"/>
        <v>11.150793224305275</v>
      </c>
      <c r="AR295" s="43">
        <f t="shared" si="289"/>
        <v>-89.219915870362456</v>
      </c>
      <c r="AS295" t="str">
        <f t="shared" si="266"/>
        <v>-0.0000166666666666667</v>
      </c>
      <c r="AT295" t="str">
        <f t="shared" si="267"/>
        <v>0.000125793669320909i</v>
      </c>
      <c r="AU295">
        <f t="shared" si="290"/>
        <v>1.2579366932090899E-4</v>
      </c>
      <c r="AV295">
        <f t="shared" si="291"/>
        <v>1.5707963267948966</v>
      </c>
      <c r="AW295" t="str">
        <f t="shared" si="268"/>
        <v>1+0.12783944871817i</v>
      </c>
      <c r="AX295">
        <f t="shared" si="292"/>
        <v>1.008138345986584</v>
      </c>
      <c r="AY295">
        <f t="shared" si="293"/>
        <v>0.12714977546564379</v>
      </c>
      <c r="AZ295" t="str">
        <f t="shared" si="269"/>
        <v>1+4.34654125641778i</v>
      </c>
      <c r="BA295">
        <f t="shared" si="294"/>
        <v>4.46009202749695</v>
      </c>
      <c r="BB295">
        <f t="shared" si="295"/>
        <v>1.3446633679806175</v>
      </c>
      <c r="BC295" s="41" t="str">
        <f t="shared" si="296"/>
        <v>-0.549956735194943+0.20279825989701i</v>
      </c>
      <c r="BD295">
        <f t="shared" si="297"/>
        <v>-4.6397270003110318</v>
      </c>
      <c r="BE295" s="43">
        <f t="shared" si="298"/>
        <v>159.75839035091875</v>
      </c>
      <c r="BF295" s="41" t="str">
        <f t="shared" si="299"/>
        <v>1.07475017994498+0.198596751066568i</v>
      </c>
      <c r="BG295" s="20">
        <f t="shared" si="300"/>
        <v>0.7719655915019521</v>
      </c>
      <c r="BH295" s="43">
        <f t="shared" si="301"/>
        <v>10.469257208822249</v>
      </c>
      <c r="BI295" s="41" t="str">
        <f t="shared" si="255"/>
        <v>0.705056865516883+1.99527621176895i</v>
      </c>
      <c r="BJ295" s="20">
        <f t="shared" si="302"/>
        <v>6.5110662239942654</v>
      </c>
      <c r="BK295" s="43">
        <f t="shared" si="256"/>
        <v>70.53847448055636</v>
      </c>
      <c r="BL295">
        <f t="shared" si="303"/>
        <v>0.7719655915019521</v>
      </c>
      <c r="BM295" s="43">
        <f t="shared" si="304"/>
        <v>10.469257208822249</v>
      </c>
    </row>
    <row r="296" spans="14:65" x14ac:dyDescent="0.25">
      <c r="N296" s="9">
        <v>78</v>
      </c>
      <c r="O296" s="34">
        <f t="shared" si="305"/>
        <v>6025.595860743585</v>
      </c>
      <c r="P296" s="33" t="str">
        <f t="shared" si="257"/>
        <v>16.5157725627975</v>
      </c>
      <c r="Q296" s="4" t="str">
        <f t="shared" si="258"/>
        <v>1+97.9614861745964i</v>
      </c>
      <c r="R296" s="4">
        <f t="shared" si="270"/>
        <v>97.966590088333888</v>
      </c>
      <c r="S296" s="4">
        <f t="shared" si="271"/>
        <v>1.5605885879562633</v>
      </c>
      <c r="T296" s="4" t="str">
        <f t="shared" si="259"/>
        <v>1+0.622795936988271i</v>
      </c>
      <c r="U296" s="4">
        <f t="shared" si="272"/>
        <v>1.1780809730782933</v>
      </c>
      <c r="V296" s="4">
        <f t="shared" si="273"/>
        <v>0.55701280089960636</v>
      </c>
      <c r="W296" t="str">
        <f t="shared" si="260"/>
        <v>1-9.46498384480655i</v>
      </c>
      <c r="X296" s="4">
        <f t="shared" si="274"/>
        <v>9.5176635358920407</v>
      </c>
      <c r="Y296" s="4">
        <f t="shared" si="275"/>
        <v>-1.4655342453520761</v>
      </c>
      <c r="Z296" t="str">
        <f t="shared" si="261"/>
        <v>0.999249838729814+0.132509773827292i</v>
      </c>
      <c r="AA296" s="4">
        <f t="shared" si="276"/>
        <v>1.0079975597000814</v>
      </c>
      <c r="AB296" s="4">
        <f t="shared" si="277"/>
        <v>0.13184003145053211</v>
      </c>
      <c r="AC296" s="47" t="str">
        <f t="shared" si="278"/>
        <v>-1.60782697189573-0.965184065831571i</v>
      </c>
      <c r="AD296" s="20">
        <f t="shared" si="279"/>
        <v>5.461338212719717</v>
      </c>
      <c r="AE296" s="43">
        <f t="shared" si="280"/>
        <v>-149.02346138341784</v>
      </c>
      <c r="AF296" t="str">
        <f t="shared" si="262"/>
        <v>247.084651286898</v>
      </c>
      <c r="AG296" t="str">
        <f t="shared" si="263"/>
        <v>1+95.7990804727498i</v>
      </c>
      <c r="AH296">
        <f t="shared" si="281"/>
        <v>95.80429958735877</v>
      </c>
      <c r="AI296">
        <f t="shared" si="282"/>
        <v>1.5603581923515941</v>
      </c>
      <c r="AJ296" t="str">
        <f t="shared" si="264"/>
        <v>1+0.622795936988271i</v>
      </c>
      <c r="AK296">
        <f t="shared" si="283"/>
        <v>1.1780809730782933</v>
      </c>
      <c r="AL296">
        <f t="shared" si="284"/>
        <v>0.55701280089960636</v>
      </c>
      <c r="AM296" t="str">
        <f t="shared" si="265"/>
        <v>1-0.618689098128609i</v>
      </c>
      <c r="AN296">
        <f t="shared" si="285"/>
        <v>1.1759150480129046</v>
      </c>
      <c r="AO296">
        <f t="shared" si="286"/>
        <v>-0.55404826162017373</v>
      </c>
      <c r="AP296" s="41" t="str">
        <f t="shared" si="287"/>
        <v>0.0478839866242555-3.57250504044208i</v>
      </c>
      <c r="AQ296">
        <f t="shared" si="288"/>
        <v>11.060237157934594</v>
      </c>
      <c r="AR296" s="43">
        <f t="shared" si="289"/>
        <v>-89.232083361496407</v>
      </c>
      <c r="AS296" t="str">
        <f t="shared" si="266"/>
        <v>-0.0000166666666666667</v>
      </c>
      <c r="AT296" t="str">
        <f t="shared" si="267"/>
        <v>0.000128723780289369i</v>
      </c>
      <c r="AU296">
        <f t="shared" si="290"/>
        <v>1.28723780289369E-4</v>
      </c>
      <c r="AV296">
        <f t="shared" si="291"/>
        <v>1.5707963267948966</v>
      </c>
      <c r="AW296" t="str">
        <f t="shared" si="268"/>
        <v>1+0.130817212010338i</v>
      </c>
      <c r="AX296">
        <f t="shared" si="292"/>
        <v>1.0085202739450296</v>
      </c>
      <c r="AY296">
        <f t="shared" si="293"/>
        <v>0.1300785505793913</v>
      </c>
      <c r="AZ296" t="str">
        <f t="shared" si="269"/>
        <v>1+4.44778520835149i</v>
      </c>
      <c r="BA296">
        <f t="shared" si="294"/>
        <v>4.558814896399098</v>
      </c>
      <c r="BB296">
        <f t="shared" si="295"/>
        <v>1.3496427460829576</v>
      </c>
      <c r="BC296" s="41" t="str">
        <f t="shared" si="296"/>
        <v>-0.549540275384285+0.201365532502029i</v>
      </c>
      <c r="BD296">
        <f t="shared" si="297"/>
        <v>-4.6528542038031988</v>
      </c>
      <c r="BE296" s="43">
        <f t="shared" si="298"/>
        <v>159.87588124762189</v>
      </c>
      <c r="BF296" s="41" t="str">
        <f t="shared" si="299"/>
        <v>1.07792048028451+0.206646582966697i</v>
      </c>
      <c r="BG296" s="20">
        <f t="shared" si="300"/>
        <v>0.80848400891653061</v>
      </c>
      <c r="BH296" s="43">
        <f t="shared" si="301"/>
        <v>10.852419864204043</v>
      </c>
      <c r="BI296" s="41" t="str">
        <f t="shared" si="255"/>
        <v>0.693065200638811+1.9728775882012i</v>
      </c>
      <c r="BJ296" s="20">
        <f t="shared" si="302"/>
        <v>6.4073829541313945</v>
      </c>
      <c r="BK296" s="43">
        <f t="shared" si="256"/>
        <v>70.643797886125512</v>
      </c>
      <c r="BL296">
        <f t="shared" si="303"/>
        <v>0.80848400891653061</v>
      </c>
      <c r="BM296" s="43">
        <f t="shared" si="304"/>
        <v>10.852419864204043</v>
      </c>
    </row>
    <row r="297" spans="14:65" x14ac:dyDescent="0.25">
      <c r="N297" s="9">
        <v>79</v>
      </c>
      <c r="O297" s="34">
        <f t="shared" si="305"/>
        <v>6165.9500186148289</v>
      </c>
      <c r="P297" s="33" t="str">
        <f t="shared" si="257"/>
        <v>16.5157725627975</v>
      </c>
      <c r="Q297" s="4" t="str">
        <f t="shared" si="258"/>
        <v>1+100.243302315873i</v>
      </c>
      <c r="R297" s="4">
        <f t="shared" si="270"/>
        <v>100.24829005619752</v>
      </c>
      <c r="S297" s="4">
        <f t="shared" si="271"/>
        <v>1.5608209288664872</v>
      </c>
      <c r="T297" s="4" t="str">
        <f t="shared" si="259"/>
        <v>1+0.637302717941024i</v>
      </c>
      <c r="U297" s="4">
        <f t="shared" si="272"/>
        <v>1.185813962767776</v>
      </c>
      <c r="V297" s="4">
        <f t="shared" si="273"/>
        <v>0.56739733836243977</v>
      </c>
      <c r="W297" t="str">
        <f t="shared" si="260"/>
        <v>1-9.6854516404411i</v>
      </c>
      <c r="X297" s="4">
        <f t="shared" si="274"/>
        <v>9.7369386091996688</v>
      </c>
      <c r="Y297" s="4">
        <f t="shared" si="275"/>
        <v>-1.4679132363018184</v>
      </c>
      <c r="Z297" t="str">
        <f t="shared" si="261"/>
        <v>0.999214484718346+0.135596322966175i</v>
      </c>
      <c r="AA297" s="4">
        <f t="shared" si="276"/>
        <v>1.0083729217273225</v>
      </c>
      <c r="AB297" s="4">
        <f t="shared" si="277"/>
        <v>0.13487900178065712</v>
      </c>
      <c r="AC297" s="47" t="str">
        <f t="shared" si="278"/>
        <v>-1.61276558490081-0.978565081928954i</v>
      </c>
      <c r="AD297" s="20">
        <f t="shared" si="279"/>
        <v>5.5127947358910658</v>
      </c>
      <c r="AE297" s="43">
        <f t="shared" si="280"/>
        <v>-148.75220968306795</v>
      </c>
      <c r="AF297" t="str">
        <f t="shared" si="262"/>
        <v>247.084651286898</v>
      </c>
      <c r="AG297" t="str">
        <f t="shared" si="263"/>
        <v>1+98.0305277147051i</v>
      </c>
      <c r="AH297">
        <f t="shared" si="281"/>
        <v>98.035628034014067</v>
      </c>
      <c r="AI297">
        <f t="shared" si="282"/>
        <v>1.5605957766261949</v>
      </c>
      <c r="AJ297" t="str">
        <f t="shared" si="264"/>
        <v>1+0.637302717941024i</v>
      </c>
      <c r="AK297">
        <f t="shared" si="283"/>
        <v>1.185813962767776</v>
      </c>
      <c r="AL297">
        <f t="shared" si="284"/>
        <v>0.56739733836243977</v>
      </c>
      <c r="AM297" t="str">
        <f t="shared" si="265"/>
        <v>1-0.633100218515506i</v>
      </c>
      <c r="AN297">
        <f t="shared" si="285"/>
        <v>1.1835606814542217</v>
      </c>
      <c r="AO297">
        <f t="shared" si="286"/>
        <v>-0.56440299759826629</v>
      </c>
      <c r="AP297" s="41" t="str">
        <f t="shared" si="287"/>
        <v>0.0466726139159991-3.53696786692256i</v>
      </c>
      <c r="AQ297">
        <f t="shared" si="288"/>
        <v>10.973378437009968</v>
      </c>
      <c r="AR297" s="43">
        <f t="shared" si="289"/>
        <v>-89.24398843841081</v>
      </c>
      <c r="AS297" t="str">
        <f t="shared" si="266"/>
        <v>-0.0000166666666666667</v>
      </c>
      <c r="AT297" t="str">
        <f t="shared" si="267"/>
        <v>0.000131722142309999i</v>
      </c>
      <c r="AU297">
        <f t="shared" si="290"/>
        <v>1.3172214230999899E-4</v>
      </c>
      <c r="AV297">
        <f t="shared" si="291"/>
        <v>1.5707963267948966</v>
      </c>
      <c r="AW297" t="str">
        <f t="shared" si="268"/>
        <v>1+0.133864336319885i</v>
      </c>
      <c r="AX297">
        <f t="shared" si="292"/>
        <v>1.0089200466530355</v>
      </c>
      <c r="AY297">
        <f t="shared" si="293"/>
        <v>0.13307322378376171</v>
      </c>
      <c r="AZ297" t="str">
        <f t="shared" si="269"/>
        <v>1+4.55138743487608i</v>
      </c>
      <c r="BA297">
        <f t="shared" si="294"/>
        <v>4.6599493111350325</v>
      </c>
      <c r="BB297">
        <f t="shared" si="295"/>
        <v>1.3545195765569196</v>
      </c>
      <c r="BC297" s="41" t="str">
        <f t="shared" si="296"/>
        <v>-0.549104863916848+0.20003452570326i</v>
      </c>
      <c r="BD297">
        <f t="shared" si="297"/>
        <v>-4.6657118885903763</v>
      </c>
      <c r="BE297" s="43">
        <f t="shared" si="298"/>
        <v>159.98372091554947</v>
      </c>
      <c r="BF297" s="41" t="str">
        <f t="shared" si="299"/>
        <v>1.08132422906017+0.214726047300203i</v>
      </c>
      <c r="BG297" s="20">
        <f t="shared" si="300"/>
        <v>0.84708284730072425</v>
      </c>
      <c r="BH297" s="43">
        <f t="shared" si="301"/>
        <v>11.231511232481454</v>
      </c>
      <c r="BI297" s="41" t="str">
        <f t="shared" si="255"/>
        <v>0.681887530374537+1.95150239343279i</v>
      </c>
      <c r="BJ297" s="20">
        <f t="shared" si="302"/>
        <v>6.3076665484195704</v>
      </c>
      <c r="BK297" s="43">
        <f t="shared" si="256"/>
        <v>70.739732477138631</v>
      </c>
      <c r="BL297">
        <f t="shared" si="303"/>
        <v>0.84708284730072425</v>
      </c>
      <c r="BM297" s="43">
        <f t="shared" si="304"/>
        <v>11.231511232481454</v>
      </c>
    </row>
    <row r="298" spans="14:65" x14ac:dyDescent="0.25">
      <c r="N298" s="9">
        <v>80</v>
      </c>
      <c r="O298" s="34">
        <f t="shared" si="305"/>
        <v>6309.5734448019384</v>
      </c>
      <c r="P298" s="33" t="str">
        <f t="shared" si="257"/>
        <v>16.5157725627975</v>
      </c>
      <c r="Q298" s="4" t="str">
        <f t="shared" si="258"/>
        <v>1+102.578268782913i</v>
      </c>
      <c r="R298" s="4">
        <f t="shared" si="270"/>
        <v>102.58314299386396</v>
      </c>
      <c r="S298" s="4">
        <f t="shared" si="271"/>
        <v>1.5610479820926275</v>
      </c>
      <c r="T298" s="4" t="str">
        <f t="shared" si="259"/>
        <v>1+0.652147405230528i</v>
      </c>
      <c r="U298" s="4">
        <f t="shared" si="272"/>
        <v>1.1938577126897956</v>
      </c>
      <c r="V298" s="4">
        <f t="shared" si="273"/>
        <v>0.57788333908010991</v>
      </c>
      <c r="W298" t="str">
        <f t="shared" si="260"/>
        <v>1-9.9110547907375i</v>
      </c>
      <c r="X298" s="4">
        <f t="shared" si="274"/>
        <v>9.9613757616606744</v>
      </c>
      <c r="Y298" s="4">
        <f t="shared" si="275"/>
        <v>-1.4702392046297799</v>
      </c>
      <c r="Z298" t="str">
        <f t="shared" si="261"/>
        <v>0.99917746452365+0.138754767070325i</v>
      </c>
      <c r="AA298" s="4">
        <f t="shared" si="276"/>
        <v>1.0087658256486736</v>
      </c>
      <c r="AB298" s="4">
        <f t="shared" si="277"/>
        <v>0.13798650301293025</v>
      </c>
      <c r="AC298" s="47" t="str">
        <f t="shared" si="278"/>
        <v>-1.61792141935639-0.992406458289325i</v>
      </c>
      <c r="AD298" s="20">
        <f t="shared" si="279"/>
        <v>5.5660884748917372</v>
      </c>
      <c r="AE298" s="43">
        <f t="shared" si="280"/>
        <v>-148.47573016347107</v>
      </c>
      <c r="AF298" t="str">
        <f t="shared" si="262"/>
        <v>247.084651286898</v>
      </c>
      <c r="AG298" t="str">
        <f t="shared" si="263"/>
        <v>1+100.313952040042i</v>
      </c>
      <c r="AH298">
        <f t="shared" si="281"/>
        <v>100.3189362677448</v>
      </c>
      <c r="AI298">
        <f t="shared" si="282"/>
        <v>1.5608279539352343</v>
      </c>
      <c r="AJ298" t="str">
        <f t="shared" si="264"/>
        <v>1+0.652147405230528i</v>
      </c>
      <c r="AK298">
        <f t="shared" si="283"/>
        <v>1.1938577126897956</v>
      </c>
      <c r="AL298">
        <f t="shared" si="284"/>
        <v>0.57788333908010991</v>
      </c>
      <c r="AM298" t="str">
        <f t="shared" si="265"/>
        <v>1-0.64784701701833i</v>
      </c>
      <c r="AN298">
        <f t="shared" si="285"/>
        <v>1.1915140609575485</v>
      </c>
      <c r="AO298">
        <f t="shared" si="286"/>
        <v>-0.57486021075060911</v>
      </c>
      <c r="AP298" s="41" t="str">
        <f t="shared" si="287"/>
        <v>0.0455157508704654-3.50330492807712i</v>
      </c>
      <c r="AQ298">
        <f t="shared" si="288"/>
        <v>10.890291819075417</v>
      </c>
      <c r="AR298" s="43">
        <f t="shared" si="289"/>
        <v>-89.25564181232177</v>
      </c>
      <c r="AS298" t="str">
        <f t="shared" si="266"/>
        <v>-0.0000166666666666667</v>
      </c>
      <c r="AT298" t="str">
        <f t="shared" si="267"/>
        <v>0.00013479034515403i</v>
      </c>
      <c r="AU298">
        <f t="shared" si="290"/>
        <v>1.3479034515403001E-4</v>
      </c>
      <c r="AV298">
        <f t="shared" si="291"/>
        <v>1.5707963267948966</v>
      </c>
      <c r="AW298" t="str">
        <f t="shared" si="268"/>
        <v>1+0.136982437272452i</v>
      </c>
      <c r="AX298">
        <f t="shared" si="292"/>
        <v>1.0093384903594538</v>
      </c>
      <c r="AY298">
        <f t="shared" si="293"/>
        <v>0.13613516792888172</v>
      </c>
      <c r="AZ298" t="str">
        <f t="shared" si="269"/>
        <v>1+4.65740286726336i</v>
      </c>
      <c r="BA298">
        <f t="shared" si="294"/>
        <v>4.7635492511354354</v>
      </c>
      <c r="BB298">
        <f t="shared" si="295"/>
        <v>1.3592955168360983</v>
      </c>
      <c r="BC298" s="41" t="str">
        <f t="shared" si="296"/>
        <v>-0.54864967103826+0.198804185742099i</v>
      </c>
      <c r="BD298">
        <f t="shared" si="297"/>
        <v>-4.6783242204809703</v>
      </c>
      <c r="BE298" s="43">
        <f t="shared" si="298"/>
        <v>160.08192566013278</v>
      </c>
      <c r="BF298" s="41" t="str">
        <f t="shared" si="299"/>
        <v>1.08496661236105+0.222833926506835i</v>
      </c>
      <c r="BG298" s="20">
        <f t="shared" si="300"/>
        <v>0.88776425441078677</v>
      </c>
      <c r="BH298" s="43">
        <f t="shared" si="301"/>
        <v>11.606195496661691</v>
      </c>
      <c r="BI298" s="41" t="str">
        <f t="shared" si="255"/>
        <v>0.671499481890514+1.93113581812647i</v>
      </c>
      <c r="BJ298" s="20">
        <f t="shared" si="302"/>
        <v>6.21196759859445</v>
      </c>
      <c r="BK298" s="43">
        <f t="shared" si="256"/>
        <v>70.826283847811041</v>
      </c>
      <c r="BL298">
        <f t="shared" si="303"/>
        <v>0.88776425441078677</v>
      </c>
      <c r="BM298" s="43">
        <f t="shared" si="304"/>
        <v>11.606195496661691</v>
      </c>
    </row>
    <row r="299" spans="14:65" x14ac:dyDescent="0.25">
      <c r="N299" s="9">
        <v>81</v>
      </c>
      <c r="O299" s="34">
        <f t="shared" si="305"/>
        <v>6456.5422903465615</v>
      </c>
      <c r="P299" s="33" t="str">
        <f t="shared" si="257"/>
        <v>16.5157725627975</v>
      </c>
      <c r="Q299" s="4" t="str">
        <f t="shared" si="258"/>
        <v>1+104.967623605847i</v>
      </c>
      <c r="R299" s="4">
        <f t="shared" si="270"/>
        <v>104.97238687130425</v>
      </c>
      <c r="S299" s="4">
        <f t="shared" si="271"/>
        <v>1.5612698679276145</v>
      </c>
      <c r="T299" s="4" t="str">
        <f t="shared" si="259"/>
        <v>1+0.667337869706477i</v>
      </c>
      <c r="U299" s="4">
        <f t="shared" si="272"/>
        <v>1.2022228713280989</v>
      </c>
      <c r="V299" s="4">
        <f t="shared" si="273"/>
        <v>0.58846713863522859</v>
      </c>
      <c r="W299" t="str">
        <f t="shared" si="260"/>
        <v>1-10.1419129134723i</v>
      </c>
      <c r="X299" s="4">
        <f t="shared" si="274"/>
        <v>10.191094030792582</v>
      </c>
      <c r="Y299" s="4">
        <f t="shared" si="275"/>
        <v>-1.4725132828697434</v>
      </c>
      <c r="Z299" t="str">
        <f t="shared" si="261"/>
        <v>0.999138699620929+0.141986780788612i</v>
      </c>
      <c r="AA299" s="4">
        <f t="shared" si="276"/>
        <v>1.009177084063503</v>
      </c>
      <c r="AB299" s="4">
        <f t="shared" si="277"/>
        <v>0.14116397386020538</v>
      </c>
      <c r="AC299" s="47" t="str">
        <f t="shared" si="278"/>
        <v>-1.62330433558457-1.00671150719008i</v>
      </c>
      <c r="AD299" s="20">
        <f t="shared" si="279"/>
        <v>5.6212447126848408</v>
      </c>
      <c r="AE299" s="43">
        <f t="shared" si="280"/>
        <v>-148.19438699413593</v>
      </c>
      <c r="AF299" t="str">
        <f t="shared" si="262"/>
        <v>247.084651286898</v>
      </c>
      <c r="AG299" t="str">
        <f t="shared" si="263"/>
        <v>1+102.650564150563i</v>
      </c>
      <c r="AH299">
        <f t="shared" si="281"/>
        <v>102.65543492883778</v>
      </c>
      <c r="AI299">
        <f t="shared" si="282"/>
        <v>1.5610548472820112</v>
      </c>
      <c r="AJ299" t="str">
        <f t="shared" si="264"/>
        <v>1+0.667337869706477i</v>
      </c>
      <c r="AK299">
        <f t="shared" si="283"/>
        <v>1.2022228713280989</v>
      </c>
      <c r="AL299">
        <f t="shared" si="284"/>
        <v>0.58846713863522859</v>
      </c>
      <c r="AM299" t="str">
        <f t="shared" si="265"/>
        <v>1-0.662937312584849i</v>
      </c>
      <c r="AN299">
        <f t="shared" si="285"/>
        <v>1.1997857643834677</v>
      </c>
      <c r="AO299">
        <f t="shared" si="286"/>
        <v>-0.58541629713111087</v>
      </c>
      <c r="AP299" s="41" t="str">
        <f t="shared" si="287"/>
        <v>0.0444109451243668-3.47149844961041i</v>
      </c>
      <c r="AQ299">
        <f t="shared" si="288"/>
        <v>10.811050226662886</v>
      </c>
      <c r="AR299" s="43">
        <f t="shared" si="289"/>
        <v>-89.267053995549219</v>
      </c>
      <c r="AS299" t="str">
        <f t="shared" si="266"/>
        <v>-0.0000166666666666667</v>
      </c>
      <c r="AT299" t="str">
        <f t="shared" si="267"/>
        <v>0.000137930015623223i</v>
      </c>
      <c r="AU299">
        <f t="shared" si="290"/>
        <v>1.3793001562322299E-4</v>
      </c>
      <c r="AV299">
        <f t="shared" si="291"/>
        <v>1.5707963267948966</v>
      </c>
      <c r="AW299" t="str">
        <f t="shared" si="268"/>
        <v>1+0.140173168126438i</v>
      </c>
      <c r="AX299">
        <f t="shared" si="292"/>
        <v>1.0097764688596198</v>
      </c>
      <c r="AY299">
        <f t="shared" si="293"/>
        <v>0.13926577671879758</v>
      </c>
      <c r="AZ299" t="str">
        <f t="shared" si="269"/>
        <v>1+4.7658877162989i</v>
      </c>
      <c r="BA299">
        <f t="shared" si="294"/>
        <v>4.8696699810530015</v>
      </c>
      <c r="BB299">
        <f t="shared" si="295"/>
        <v>1.363972227287533</v>
      </c>
      <c r="BC299" s="41" t="str">
        <f t="shared" si="296"/>
        <v>-0.548173833752446+0.197673488864429i</v>
      </c>
      <c r="BD299">
        <f t="shared" si="297"/>
        <v>-4.6907150362168384</v>
      </c>
      <c r="BE299" s="43">
        <f t="shared" si="298"/>
        <v>160.17051076003585</v>
      </c>
      <c r="BF299" s="41" t="str">
        <f t="shared" si="299"/>
        <v>1.08885313689059+0.230968674875333i</v>
      </c>
      <c r="BG299" s="20">
        <f t="shared" si="300"/>
        <v>0.93052967646799256</v>
      </c>
      <c r="BH299" s="43">
        <f t="shared" si="301"/>
        <v>11.976123765899919</v>
      </c>
      <c r="BI299" s="41" t="str">
        <f t="shared" si="255"/>
        <v>0.661878292072552+1.91176348045511i</v>
      </c>
      <c r="BJ299" s="20">
        <f t="shared" si="302"/>
        <v>6.1203351904460437</v>
      </c>
      <c r="BK299" s="43">
        <f t="shared" si="256"/>
        <v>70.903456764486634</v>
      </c>
      <c r="BL299">
        <f t="shared" si="303"/>
        <v>0.93052967646799256</v>
      </c>
      <c r="BM299" s="43">
        <f t="shared" si="304"/>
        <v>11.976123765899919</v>
      </c>
    </row>
    <row r="300" spans="14:65" x14ac:dyDescent="0.25">
      <c r="N300" s="9">
        <v>82</v>
      </c>
      <c r="O300" s="34">
        <f t="shared" si="305"/>
        <v>6606.9344800759654</v>
      </c>
      <c r="P300" s="33" t="str">
        <f t="shared" si="257"/>
        <v>16.5157725627975</v>
      </c>
      <c r="Q300" s="4" t="str">
        <f t="shared" si="258"/>
        <v>1+107.412633652227i</v>
      </c>
      <c r="R300" s="4">
        <f t="shared" si="270"/>
        <v>107.41728849727835</v>
      </c>
      <c r="S300" s="4">
        <f t="shared" si="271"/>
        <v>1.5614867039308107</v>
      </c>
      <c r="T300" s="4" t="str">
        <f t="shared" si="259"/>
        <v>1+0.682882165554204i</v>
      </c>
      <c r="U300" s="4">
        <f t="shared" si="272"/>
        <v>1.2109203326528131</v>
      </c>
      <c r="V300" s="4">
        <f t="shared" si="273"/>
        <v>0.59914486405522804</v>
      </c>
      <c r="W300" t="str">
        <f t="shared" si="260"/>
        <v>1-10.3781484126779i</v>
      </c>
      <c r="X300" s="4">
        <f t="shared" si="274"/>
        <v>10.426215251737748</v>
      </c>
      <c r="Y300" s="4">
        <f t="shared" si="275"/>
        <v>-1.4747365826345518</v>
      </c>
      <c r="Z300" t="str">
        <f t="shared" si="261"/>
        <v>0.999098107784628+0.14529407777749i</v>
      </c>
      <c r="AA300" s="4">
        <f t="shared" si="276"/>
        <v>1.0096075465328276</v>
      </c>
      <c r="AB300" s="4">
        <f t="shared" si="277"/>
        <v>0.14441287572584777</v>
      </c>
      <c r="AC300" s="47" t="str">
        <f t="shared" si="278"/>
        <v>-1.62892457554727-1.02148351535806i</v>
      </c>
      <c r="AD300" s="20">
        <f t="shared" si="279"/>
        <v>5.6782875677269775</v>
      </c>
      <c r="AE300" s="43">
        <f t="shared" si="280"/>
        <v>-147.90855623866949</v>
      </c>
      <c r="AF300" t="str">
        <f t="shared" si="262"/>
        <v>247.084651286898</v>
      </c>
      <c r="AG300" t="str">
        <f t="shared" si="263"/>
        <v>1+105.041602948937i</v>
      </c>
      <c r="AH300">
        <f t="shared" si="281"/>
        <v>105.04636285984455</v>
      </c>
      <c r="AI300">
        <f t="shared" si="282"/>
        <v>1.5612765768748824</v>
      </c>
      <c r="AJ300" t="str">
        <f t="shared" si="264"/>
        <v>1+0.682882165554204i</v>
      </c>
      <c r="AK300">
        <f t="shared" si="283"/>
        <v>1.2109203326528131</v>
      </c>
      <c r="AL300">
        <f t="shared" si="284"/>
        <v>0.59914486405522804</v>
      </c>
      <c r="AM300" t="str">
        <f t="shared" si="265"/>
        <v>1-0.678379106289511i</v>
      </c>
      <c r="AN300">
        <f t="shared" si="285"/>
        <v>1.2083866152230236</v>
      </c>
      <c r="AO300">
        <f t="shared" si="286"/>
        <v>-0.59606744335609474</v>
      </c>
      <c r="AP300" s="41" t="str">
        <f t="shared" si="287"/>
        <v>0.0433558546031342-3.44153163659335i</v>
      </c>
      <c r="AQ300">
        <f t="shared" si="288"/>
        <v>10.735724518523202</v>
      </c>
      <c r="AR300" s="43">
        <f t="shared" si="289"/>
        <v>-89.278235289716648</v>
      </c>
      <c r="AS300" t="str">
        <f t="shared" si="266"/>
        <v>-0.0000166666666666667</v>
      </c>
      <c r="AT300" t="str">
        <f t="shared" si="267"/>
        <v>0.000141142818412419i</v>
      </c>
      <c r="AU300">
        <f t="shared" si="290"/>
        <v>1.41142818412419E-4</v>
      </c>
      <c r="AV300">
        <f t="shared" si="291"/>
        <v>1.5707963267948966</v>
      </c>
      <c r="AW300" t="str">
        <f t="shared" si="268"/>
        <v>1+0.143438220649576i</v>
      </c>
      <c r="AX300">
        <f t="shared" si="292"/>
        <v>1.0102348851346981</v>
      </c>
      <c r="AY300">
        <f t="shared" si="293"/>
        <v>0.14246646445720509</v>
      </c>
      <c r="AZ300" t="str">
        <f t="shared" si="269"/>
        <v>1+4.87689950208559i</v>
      </c>
      <c r="BA300">
        <f t="shared" si="294"/>
        <v>4.9783680813538362</v>
      </c>
      <c r="BB300">
        <f t="shared" si="295"/>
        <v>1.3685513688865585</v>
      </c>
      <c r="BC300" s="41" t="str">
        <f t="shared" si="296"/>
        <v>-0.547676454784303+0.196641439284047i</v>
      </c>
      <c r="BD300">
        <f t="shared" si="297"/>
        <v>-4.7029078725727134</v>
      </c>
      <c r="BE300" s="43">
        <f t="shared" si="298"/>
        <v>160.24949034850292</v>
      </c>
      <c r="BF300" s="41" t="str">
        <f t="shared" si="299"/>
        <v>1.09298962531169+0.239128397291139i</v>
      </c>
      <c r="BG300" s="20">
        <f t="shared" si="300"/>
        <v>0.97537969515425438</v>
      </c>
      <c r="BH300" s="43">
        <f t="shared" si="301"/>
        <v>12.340934109833437</v>
      </c>
      <c r="BI300" s="41" t="str">
        <f t="shared" si="255"/>
        <v>0.65300275361811+1.89337140340802i</v>
      </c>
      <c r="BJ300" s="20">
        <f t="shared" si="302"/>
        <v>6.0328166459505042</v>
      </c>
      <c r="BK300" s="43">
        <f t="shared" si="256"/>
        <v>70.971255058786298</v>
      </c>
      <c r="BL300">
        <f t="shared" si="303"/>
        <v>0.97537969515425438</v>
      </c>
      <c r="BM300" s="43">
        <f t="shared" si="304"/>
        <v>12.340934109833437</v>
      </c>
    </row>
    <row r="301" spans="14:65" x14ac:dyDescent="0.25">
      <c r="N301" s="9">
        <v>83</v>
      </c>
      <c r="O301" s="34">
        <f t="shared" si="305"/>
        <v>6760.8297539198229</v>
      </c>
      <c r="P301" s="33" t="str">
        <f t="shared" si="257"/>
        <v>16.5157725627975</v>
      </c>
      <c r="Q301" s="4" t="str">
        <f t="shared" si="258"/>
        <v>1+109.914595298744i</v>
      </c>
      <c r="R301" s="4">
        <f t="shared" si="270"/>
        <v>109.91914419102197</v>
      </c>
      <c r="S301" s="4">
        <f t="shared" si="271"/>
        <v>1.5616986049899275</v>
      </c>
      <c r="T301" s="4" t="str">
        <f t="shared" si="259"/>
        <v>1+0.698788534565123i</v>
      </c>
      <c r="U301" s="4">
        <f t="shared" si="272"/>
        <v>1.2199612354659766</v>
      </c>
      <c r="V301" s="4">
        <f t="shared" si="273"/>
        <v>0.60991243750369939</v>
      </c>
      <c r="W301" t="str">
        <f t="shared" si="260"/>
        <v>1-10.6198865435429i</v>
      </c>
      <c r="X301" s="4">
        <f t="shared" si="274"/>
        <v>10.666864122024034</v>
      </c>
      <c r="Y301" s="4">
        <f t="shared" si="275"/>
        <v>-1.4769101947795682</v>
      </c>
      <c r="Z301" t="str">
        <f t="shared" si="261"/>
        <v>0.999055602914019+0.1486784116096i</v>
      </c>
      <c r="AA301" s="4">
        <f t="shared" si="276"/>
        <v>1.0100581011964844</v>
      </c>
      <c r="AB301" s="4">
        <f t="shared" si="277"/>
        <v>0.14773469251131308</v>
      </c>
      <c r="AC301" s="47" t="str">
        <f t="shared" si="278"/>
        <v>-1.63479277545644-1.03672572836925i</v>
      </c>
      <c r="AD301" s="20">
        <f t="shared" si="279"/>
        <v>5.7372398598080521</v>
      </c>
      <c r="AE301" s="43">
        <f t="shared" si="280"/>
        <v>-147.61862564516727</v>
      </c>
      <c r="AF301" t="str">
        <f t="shared" si="262"/>
        <v>247.084651286898</v>
      </c>
      <c r="AG301" t="str">
        <f t="shared" si="263"/>
        <v>1+107.488336195584i</v>
      </c>
      <c r="AH301">
        <f t="shared" si="281"/>
        <v>107.4929877624345</v>
      </c>
      <c r="AI301">
        <f t="shared" si="282"/>
        <v>1.5614932601905542</v>
      </c>
      <c r="AJ301" t="str">
        <f t="shared" si="264"/>
        <v>1+0.698788534565123i</v>
      </c>
      <c r="AK301">
        <f t="shared" si="283"/>
        <v>1.2199612354659766</v>
      </c>
      <c r="AL301">
        <f t="shared" si="284"/>
        <v>0.60991243750369939</v>
      </c>
      <c r="AM301" t="str">
        <f t="shared" si="265"/>
        <v>1-0.694180585575737i</v>
      </c>
      <c r="AN301">
        <f t="shared" si="285"/>
        <v>1.2173276820109995</v>
      </c>
      <c r="AO301">
        <f t="shared" si="286"/>
        <v>-0.60680963001803556</v>
      </c>
      <c r="AP301" s="41" t="str">
        <f t="shared" si="287"/>
        <v>0.0423482425646279-3.41338866488859i</v>
      </c>
      <c r="AQ301">
        <f t="shared" si="288"/>
        <v>10.664383260311345</v>
      </c>
      <c r="AR301" s="43">
        <f t="shared" si="289"/>
        <v>-89.289195773471931</v>
      </c>
      <c r="AS301" t="str">
        <f t="shared" si="266"/>
        <v>-0.0000166666666666667</v>
      </c>
      <c r="AT301" t="str">
        <f t="shared" si="267"/>
        <v>0.000144430456992183i</v>
      </c>
      <c r="AU301">
        <f t="shared" si="290"/>
        <v>1.44430456992183E-4</v>
      </c>
      <c r="AV301">
        <f t="shared" si="291"/>
        <v>1.5707963267948966</v>
      </c>
      <c r="AW301" t="str">
        <f t="shared" si="268"/>
        <v>1+0.146779326015932i</v>
      </c>
      <c r="AX301">
        <f t="shared" si="292"/>
        <v>1.0107146830563467</v>
      </c>
      <c r="AY301">
        <f t="shared" si="293"/>
        <v>0.14573866574080305</v>
      </c>
      <c r="AZ301" t="str">
        <f t="shared" si="269"/>
        <v>1+4.99049708454168i</v>
      </c>
      <c r="BA301">
        <f t="shared" si="294"/>
        <v>5.089701479538757</v>
      </c>
      <c r="BB301">
        <f t="shared" si="295"/>
        <v>1.3730346010507353</v>
      </c>
      <c r="BC301" s="41" t="str">
        <f t="shared" si="296"/>
        <v>-0.547156601539438+0.195707067074449i</v>
      </c>
      <c r="BD301">
        <f t="shared" si="297"/>
        <v>-4.7149259959173753</v>
      </c>
      <c r="BE301" s="43">
        <f t="shared" si="298"/>
        <v>160.31887730682001</v>
      </c>
      <c r="BF301" s="41" t="str">
        <f t="shared" si="299"/>
        <v>1.09738221089974+0.247310826903939i</v>
      </c>
      <c r="BG301" s="20">
        <f t="shared" si="300"/>
        <v>1.0223138638906846</v>
      </c>
      <c r="BH301" s="43">
        <f t="shared" si="301"/>
        <v>12.700251661652727</v>
      </c>
      <c r="BI301" s="41" t="str">
        <f t="shared" si="255"/>
        <v>0.644853163907686+1.87594599196176i</v>
      </c>
      <c r="BJ301" s="20">
        <f t="shared" si="302"/>
        <v>5.9494572643939687</v>
      </c>
      <c r="BK301" s="43">
        <f t="shared" si="256"/>
        <v>71.029681533348054</v>
      </c>
      <c r="BL301">
        <f t="shared" si="303"/>
        <v>1.0223138638906846</v>
      </c>
      <c r="BM301" s="43">
        <f t="shared" si="304"/>
        <v>12.700251661652727</v>
      </c>
    </row>
    <row r="302" spans="14:65" x14ac:dyDescent="0.25">
      <c r="N302" s="9">
        <v>84</v>
      </c>
      <c r="O302" s="34">
        <f t="shared" si="305"/>
        <v>6918.3097091893687</v>
      </c>
      <c r="P302" s="33" t="str">
        <f t="shared" si="257"/>
        <v>16.5157725627975</v>
      </c>
      <c r="Q302" s="4" t="str">
        <f t="shared" si="258"/>
        <v>1+112.47483511858i</v>
      </c>
      <c r="R302" s="4">
        <f t="shared" si="270"/>
        <v>112.47928046956805</v>
      </c>
      <c r="S302" s="4">
        <f t="shared" si="271"/>
        <v>1.5619056833815488</v>
      </c>
      <c r="T302" s="4" t="str">
        <f t="shared" si="259"/>
        <v>1+0.715065410506628i</v>
      </c>
      <c r="U302" s="4">
        <f t="shared" si="272"/>
        <v>1.229356962522689</v>
      </c>
      <c r="V302" s="4">
        <f t="shared" si="273"/>
        <v>0.62076558094940815</v>
      </c>
      <c r="W302" t="str">
        <f t="shared" si="260"/>
        <v>1-10.8672554788241i</v>
      </c>
      <c r="X302" s="4">
        <f t="shared" si="274"/>
        <v>10.913168267832786</v>
      </c>
      <c r="Y302" s="4">
        <f t="shared" si="275"/>
        <v>-1.4790351895820621</v>
      </c>
      <c r="Z302" t="str">
        <f t="shared" si="261"/>
        <v>0.999011094850573+0.152141576703538i</v>
      </c>
      <c r="AA302" s="4">
        <f t="shared" si="276"/>
        <v>1.0105296764550653</v>
      </c>
      <c r="AB302" s="4">
        <f t="shared" si="277"/>
        <v>0.15113093037385686</v>
      </c>
      <c r="AC302" s="47" t="str">
        <f t="shared" si="278"/>
        <v>-1.64091997841782-1.05244133401484i</v>
      </c>
      <c r="AD302" s="20">
        <f t="shared" si="279"/>
        <v>5.7981229763227464</v>
      </c>
      <c r="AE302" s="43">
        <f t="shared" si="280"/>
        <v>-147.32499437856279</v>
      </c>
      <c r="AF302" t="str">
        <f t="shared" si="262"/>
        <v>247.084651286898</v>
      </c>
      <c r="AG302" t="str">
        <f t="shared" si="263"/>
        <v>1+109.992061180859i</v>
      </c>
      <c r="AH302">
        <f t="shared" si="281"/>
        <v>109.99660686954769</v>
      </c>
      <c r="AI302">
        <f t="shared" si="282"/>
        <v>1.561705012035953</v>
      </c>
      <c r="AJ302" t="str">
        <f t="shared" si="264"/>
        <v>1+0.715065410506628i</v>
      </c>
      <c r="AK302">
        <f t="shared" si="283"/>
        <v>1.229356962522689</v>
      </c>
      <c r="AL302">
        <f t="shared" si="284"/>
        <v>0.62076558094940815</v>
      </c>
      <c r="AM302" t="str">
        <f t="shared" si="265"/>
        <v>1-0.710350128597002i</v>
      </c>
      <c r="AN302">
        <f t="shared" si="285"/>
        <v>1.22662027750962</v>
      </c>
      <c r="AO302">
        <f t="shared" si="286"/>
        <v>-0.61763863607207381</v>
      </c>
      <c r="AP302" s="41" t="str">
        <f t="shared" si="287"/>
        <v>0.0413859728652884-3.38705467306882i</v>
      </c>
      <c r="AQ302">
        <f t="shared" si="288"/>
        <v>10.597092496107299</v>
      </c>
      <c r="AR302" s="43">
        <f t="shared" si="289"/>
        <v>-89.299945289846235</v>
      </c>
      <c r="AS302" t="str">
        <f t="shared" si="266"/>
        <v>-0.0000166666666666667</v>
      </c>
      <c r="AT302" t="str">
        <f t="shared" si="267"/>
        <v>0.000147794674512008i</v>
      </c>
      <c r="AU302">
        <f t="shared" si="290"/>
        <v>1.4779467451200799E-4</v>
      </c>
      <c r="AV302">
        <f t="shared" si="291"/>
        <v>1.5707963267948966</v>
      </c>
      <c r="AW302" t="str">
        <f t="shared" si="268"/>
        <v>1+0.150198255723795i</v>
      </c>
      <c r="AX302">
        <f t="shared" si="292"/>
        <v>1.0112168491587106</v>
      </c>
      <c r="AY302">
        <f t="shared" si="293"/>
        <v>0.14908383509645579</v>
      </c>
      <c r="AZ302" t="str">
        <f t="shared" si="269"/>
        <v>1+5.10674069460903i</v>
      </c>
      <c r="BA302">
        <f t="shared" si="294"/>
        <v>5.2037294820134461</v>
      </c>
      <c r="BB302">
        <f t="shared" si="295"/>
        <v>1.3774235796262979</v>
      </c>
      <c r="BC302" s="41" t="str">
        <f t="shared" si="296"/>
        <v>-0.546613305064504+0.194869425983867i</v>
      </c>
      <c r="BD302">
        <f t="shared" si="297"/>
        <v>-4.7267924321758201</v>
      </c>
      <c r="BE302" s="43">
        <f t="shared" si="298"/>
        <v>160.37868316973774</v>
      </c>
      <c r="BF302" s="41" t="str">
        <f t="shared" si="299"/>
        <v>1.10203733139051+0.255513301692607i</v>
      </c>
      <c r="BG302" s="20">
        <f t="shared" si="300"/>
        <v>1.0713305441469543</v>
      </c>
      <c r="BH302" s="43">
        <f t="shared" si="301"/>
        <v>13.053688791174876</v>
      </c>
      <c r="BI302" s="41" t="str">
        <f t="shared" si="255"/>
        <v>0.63741127650569+1.85947401005636i</v>
      </c>
      <c r="BJ302" s="20">
        <f t="shared" si="302"/>
        <v>5.870300063931464</v>
      </c>
      <c r="BK302" s="43">
        <f t="shared" si="256"/>
        <v>71.078737879891492</v>
      </c>
      <c r="BL302">
        <f t="shared" si="303"/>
        <v>1.0713305441469543</v>
      </c>
      <c r="BM302" s="43">
        <f t="shared" si="304"/>
        <v>13.053688791174876</v>
      </c>
    </row>
    <row r="303" spans="14:65" x14ac:dyDescent="0.25">
      <c r="N303" s="9">
        <v>85</v>
      </c>
      <c r="O303" s="34">
        <f t="shared" si="305"/>
        <v>7079.4578438413828</v>
      </c>
      <c r="P303" s="33" t="str">
        <f t="shared" si="257"/>
        <v>16.5157725627975</v>
      </c>
      <c r="Q303" s="4" t="str">
        <f t="shared" si="258"/>
        <v>1+115.094710584776i</v>
      </c>
      <c r="R303" s="4">
        <f t="shared" si="270"/>
        <v>115.09905475108536</v>
      </c>
      <c r="S303" s="4">
        <f t="shared" si="271"/>
        <v>1.5621080488302996</v>
      </c>
      <c r="T303" s="4" t="str">
        <f t="shared" si="259"/>
        <v>1+0.731721423593792i</v>
      </c>
      <c r="U303" s="4">
        <f t="shared" si="272"/>
        <v>1.2391191394479086</v>
      </c>
      <c r="V303" s="4">
        <f t="shared" si="273"/>
        <v>0.63169982182511863</v>
      </c>
      <c r="W303" t="str">
        <f t="shared" si="260"/>
        <v>1-11.1203863768054i</v>
      </c>
      <c r="X303" s="4">
        <f t="shared" si="274"/>
        <v>11.165258311809858</v>
      </c>
      <c r="Y303" s="4">
        <f t="shared" si="275"/>
        <v>-1.4811126169349775</v>
      </c>
      <c r="Z303" t="str">
        <f t="shared" si="261"/>
        <v>0.998964489186721+0.155685409275275i</v>
      </c>
      <c r="AA303" s="4">
        <f t="shared" si="276"/>
        <v>1.011023242718631</v>
      </c>
      <c r="AB303" s="4">
        <f t="shared" si="277"/>
        <v>0.15460311743066465</v>
      </c>
      <c r="AC303" s="47" t="str">
        <f t="shared" si="278"/>
        <v>-1.64731764706789-1.0686334445784i</v>
      </c>
      <c r="AD303" s="20">
        <f t="shared" si="279"/>
        <v>5.8609567396891427</v>
      </c>
      <c r="AE303" s="43">
        <f t="shared" si="280"/>
        <v>-147.02807269393995</v>
      </c>
      <c r="AF303" t="str">
        <f t="shared" si="262"/>
        <v>247.084651286898</v>
      </c>
      <c r="AG303" t="str">
        <f t="shared" si="263"/>
        <v>1+112.554105412889i</v>
      </c>
      <c r="AH303">
        <f t="shared" si="281"/>
        <v>112.55854763320167</v>
      </c>
      <c r="AI303">
        <f t="shared" si="282"/>
        <v>1.5619119446087086</v>
      </c>
      <c r="AJ303" t="str">
        <f t="shared" si="264"/>
        <v>1+0.731721423593792i</v>
      </c>
      <c r="AK303">
        <f t="shared" si="283"/>
        <v>1.2391191394479086</v>
      </c>
      <c r="AL303">
        <f t="shared" si="284"/>
        <v>0.63169982182511863</v>
      </c>
      <c r="AM303" t="str">
        <f t="shared" si="265"/>
        <v>1-0.726896308659044i</v>
      </c>
      <c r="AN303">
        <f t="shared" si="285"/>
        <v>1.2362759576818374</v>
      </c>
      <c r="AO303">
        <f t="shared" si="286"/>
        <v>-0.62855004420965843</v>
      </c>
      <c r="AP303" s="41" t="str">
        <f t="shared" si="287"/>
        <v>0.0404670054387445-3.36251575482496i</v>
      </c>
      <c r="AQ303">
        <f t="shared" si="288"/>
        <v>10.533915522216166</v>
      </c>
      <c r="AR303" s="43">
        <f t="shared" si="289"/>
        <v>-89.310493433379563</v>
      </c>
      <c r="AS303" t="str">
        <f t="shared" si="266"/>
        <v>-0.0000166666666666667</v>
      </c>
      <c r="AT303" t="str">
        <f t="shared" si="267"/>
        <v>0.000151237254724553i</v>
      </c>
      <c r="AU303">
        <f t="shared" si="290"/>
        <v>1.51237254724553E-4</v>
      </c>
      <c r="AV303">
        <f t="shared" si="291"/>
        <v>1.5707963267948966</v>
      </c>
      <c r="AW303" t="str">
        <f t="shared" si="268"/>
        <v>1+0.153696822534952i</v>
      </c>
      <c r="AX303">
        <f t="shared" si="292"/>
        <v>1.0117424144797631</v>
      </c>
      <c r="AY303">
        <f t="shared" si="293"/>
        <v>0.15250344655817291</v>
      </c>
      <c r="AZ303" t="str">
        <f t="shared" si="269"/>
        <v>1+5.22569196618837i</v>
      </c>
      <c r="BA303">
        <f t="shared" si="294"/>
        <v>5.3205128066273524</v>
      </c>
      <c r="BB303">
        <f t="shared" si="295"/>
        <v>1.3817199550205868</v>
      </c>
      <c r="BC303" s="41" t="str">
        <f t="shared" si="296"/>
        <v>-0.546045559012211+0.194127591168519i</v>
      </c>
      <c r="BD303">
        <f t="shared" si="297"/>
        <v>-4.7385299971340515</v>
      </c>
      <c r="BE303" s="43">
        <f t="shared" si="298"/>
        <v>160.42891804270326</v>
      </c>
      <c r="BF303" s="41" t="str">
        <f t="shared" si="299"/>
        <v>1.10696172190199+0.263732739909275i</v>
      </c>
      <c r="BG303" s="20">
        <f t="shared" si="300"/>
        <v>1.1224267425551053</v>
      </c>
      <c r="BH303" s="43">
        <f t="shared" si="301"/>
        <v>13.400845348763291</v>
      </c>
      <c r="BI303" s="41" t="str">
        <f t="shared" si="255"/>
        <v>0.630660255144014+1.84394255731839i</v>
      </c>
      <c r="BJ303" s="20">
        <f t="shared" si="302"/>
        <v>5.7953855250821196</v>
      </c>
      <c r="BK303" s="43">
        <f t="shared" si="256"/>
        <v>71.118424609323739</v>
      </c>
      <c r="BL303">
        <f t="shared" si="303"/>
        <v>1.1224267425551053</v>
      </c>
      <c r="BM303" s="43">
        <f t="shared" si="304"/>
        <v>13.400845348763291</v>
      </c>
    </row>
    <row r="304" spans="14:65" x14ac:dyDescent="0.25">
      <c r="N304" s="9">
        <v>86</v>
      </c>
      <c r="O304" s="34">
        <f t="shared" si="305"/>
        <v>7244.3596007499036</v>
      </c>
      <c r="P304" s="33" t="str">
        <f t="shared" si="257"/>
        <v>16.5157725627975</v>
      </c>
      <c r="Q304" s="4" t="str">
        <f t="shared" si="258"/>
        <v>1+117.775610789983i</v>
      </c>
      <c r="R304" s="4">
        <f t="shared" si="270"/>
        <v>117.77985607460032</v>
      </c>
      <c r="S304" s="4">
        <f t="shared" si="271"/>
        <v>1.5623058085666837</v>
      </c>
      <c r="T304" s="4" t="str">
        <f t="shared" si="259"/>
        <v>1+0.748765405065226i</v>
      </c>
      <c r="U304" s="4">
        <f t="shared" si="272"/>
        <v>1.2492596334719586</v>
      </c>
      <c r="V304" s="4">
        <f t="shared" si="273"/>
        <v>0.64271049968029526</v>
      </c>
      <c r="W304" t="str">
        <f t="shared" si="260"/>
        <v>1-11.3794134508393i</v>
      </c>
      <c r="X304" s="4">
        <f t="shared" si="274"/>
        <v>11.423267942455976</v>
      </c>
      <c r="Y304" s="4">
        <f t="shared" si="275"/>
        <v>-1.4831435065536376</v>
      </c>
      <c r="Z304" t="str">
        <f t="shared" si="261"/>
        <v>0.9989156870656+0.15931178831175i</v>
      </c>
      <c r="AA304" s="4">
        <f t="shared" si="276"/>
        <v>1.0115398142242484</v>
      </c>
      <c r="AB304" s="4">
        <f t="shared" si="277"/>
        <v>0.15815280340552612</v>
      </c>
      <c r="AC304" s="47" t="str">
        <f t="shared" si="278"/>
        <v>-1.65399767615924-1.08530507796773i</v>
      </c>
      <c r="AD304" s="20">
        <f t="shared" si="279"/>
        <v>5.925759276657681</v>
      </c>
      <c r="AE304" s="43">
        <f t="shared" si="280"/>
        <v>-146.72828155027531</v>
      </c>
      <c r="AF304" t="str">
        <f t="shared" si="262"/>
        <v>247.084651286898</v>
      </c>
      <c r="AG304" t="str">
        <f t="shared" si="263"/>
        <v>1+115.175827321439i</v>
      </c>
      <c r="AH304">
        <f t="shared" si="281"/>
        <v>115.1801684283277</v>
      </c>
      <c r="AI304">
        <f t="shared" si="282"/>
        <v>1.5621141675562809</v>
      </c>
      <c r="AJ304" t="str">
        <f t="shared" si="264"/>
        <v>1+0.748765405065226i</v>
      </c>
      <c r="AK304">
        <f t="shared" si="283"/>
        <v>1.2492596334719586</v>
      </c>
      <c r="AL304">
        <f t="shared" si="284"/>
        <v>0.64271049968029526</v>
      </c>
      <c r="AM304" t="str">
        <f t="shared" si="265"/>
        <v>1-0.743827898765549i</v>
      </c>
      <c r="AN304">
        <f t="shared" si="285"/>
        <v>1.2463065204763923</v>
      </c>
      <c r="AO304">
        <f t="shared" si="286"/>
        <v>-0.63953924722574951</v>
      </c>
      <c r="AP304" s="41" t="str">
        <f t="shared" si="287"/>
        <v>0.0395893919773496-3.33975895186143i</v>
      </c>
      <c r="AQ304">
        <f t="shared" si="288"/>
        <v>10.474912664741352</v>
      </c>
      <c r="AR304" s="43">
        <f t="shared" si="289"/>
        <v>-89.320849537150835</v>
      </c>
      <c r="AS304" t="str">
        <f t="shared" si="266"/>
        <v>-0.0000166666666666667</v>
      </c>
      <c r="AT304" t="str">
        <f t="shared" si="267"/>
        <v>0.000154760022931414i</v>
      </c>
      <c r="AU304">
        <f t="shared" si="290"/>
        <v>1.54760022931414E-4</v>
      </c>
      <c r="AV304">
        <f t="shared" si="291"/>
        <v>1.5707963267948966</v>
      </c>
      <c r="AW304" t="str">
        <f t="shared" si="268"/>
        <v>1+0.157276881435835i</v>
      </c>
      <c r="AX304">
        <f t="shared" si="292"/>
        <v>1.0122924564740081</v>
      </c>
      <c r="AY304">
        <f t="shared" si="293"/>
        <v>0.15599899317970153</v>
      </c>
      <c r="AZ304" t="str">
        <f t="shared" si="269"/>
        <v>1+5.3474139688184i</v>
      </c>
      <c r="BA304">
        <f t="shared" si="294"/>
        <v>5.4401136159012475</v>
      </c>
      <c r="BB304">
        <f t="shared" si="295"/>
        <v>1.3859253704739174</v>
      </c>
      <c r="BC304" s="41" t="str">
        <f t="shared" si="296"/>
        <v>-0.545452318615418+0.193480656838789i</v>
      </c>
      <c r="BD304">
        <f t="shared" si="297"/>
        <v>-4.7501613270348724</v>
      </c>
      <c r="BE304" s="43">
        <f t="shared" si="298"/>
        <v>160.46959053077344</v>
      </c>
      <c r="BF304" s="41" t="str">
        <f t="shared" si="299"/>
        <v>1.11216240680124+0.271965614389465i</v>
      </c>
      <c r="BG304" s="20">
        <f t="shared" si="300"/>
        <v>1.1755979496228075</v>
      </c>
      <c r="BH304" s="43">
        <f t="shared" si="301"/>
        <v>13.741308980498159</v>
      </c>
      <c r="BI304" s="41" t="str">
        <f t="shared" si="255"/>
        <v>0.624584630042755+1.82933904547304i</v>
      </c>
      <c r="BJ304" s="20">
        <f t="shared" si="302"/>
        <v>5.7247513377064756</v>
      </c>
      <c r="BK304" s="43">
        <f t="shared" si="256"/>
        <v>71.148740993622624</v>
      </c>
      <c r="BL304">
        <f t="shared" si="303"/>
        <v>1.1755979496228075</v>
      </c>
      <c r="BM304" s="43">
        <f t="shared" si="304"/>
        <v>13.741308980498159</v>
      </c>
    </row>
    <row r="305" spans="14:65" x14ac:dyDescent="0.25">
      <c r="N305" s="9">
        <v>87</v>
      </c>
      <c r="O305" s="34">
        <f t="shared" si="305"/>
        <v>7413.1024130091773</v>
      </c>
      <c r="P305" s="33" t="str">
        <f t="shared" si="257"/>
        <v>16.5157725627975</v>
      </c>
      <c r="Q305" s="4" t="str">
        <f t="shared" si="258"/>
        <v>1+120.518957182975i</v>
      </c>
      <c r="R305" s="4">
        <f t="shared" si="270"/>
        <v>120.52310583648166</v>
      </c>
      <c r="S305" s="4">
        <f t="shared" si="271"/>
        <v>1.5624990673836221</v>
      </c>
      <c r="T305" s="4" t="str">
        <f t="shared" si="259"/>
        <v>1+0.766206391865505i</v>
      </c>
      <c r="U305" s="4">
        <f t="shared" si="272"/>
        <v>1.2597905520107522</v>
      </c>
      <c r="V305" s="4">
        <f t="shared" si="273"/>
        <v>0.65379277382322476</v>
      </c>
      <c r="W305" t="str">
        <f t="shared" si="260"/>
        <v>1-11.6444740405092i</v>
      </c>
      <c r="X305" s="4">
        <f t="shared" si="274"/>
        <v>11.687333985135046</v>
      </c>
      <c r="Y305" s="4">
        <f t="shared" si="275"/>
        <v>-1.4851288681940467</v>
      </c>
      <c r="Z305" t="str">
        <f t="shared" si="261"/>
        <v>0.998864584971369+0.163022636567129i</v>
      </c>
      <c r="AA305" s="4">
        <f t="shared" si="276"/>
        <v>1.0120804509243932</v>
      </c>
      <c r="AB305" s="4">
        <f t="shared" si="277"/>
        <v>0.16178155921394016</v>
      </c>
      <c r="AC305" s="47" t="str">
        <f t="shared" si="278"/>
        <v>-1.66097240504371-1.1024591376441i</v>
      </c>
      <c r="AD305" s="20">
        <f t="shared" si="279"/>
        <v>5.9925468902702121</v>
      </c>
      <c r="AE305" s="43">
        <f t="shared" si="280"/>
        <v>-146.42605216455087</v>
      </c>
      <c r="AF305" t="str">
        <f t="shared" si="262"/>
        <v>247.084651286898</v>
      </c>
      <c r="AG305" t="str">
        <f t="shared" si="263"/>
        <v>1+117.858616978166i</v>
      </c>
      <c r="AH305">
        <f t="shared" si="281"/>
        <v>117.86285927299591</v>
      </c>
      <c r="AI305">
        <f t="shared" si="282"/>
        <v>1.5623117880337574</v>
      </c>
      <c r="AJ305" t="str">
        <f t="shared" si="264"/>
        <v>1+0.766206391865505i</v>
      </c>
      <c r="AK305">
        <f t="shared" si="283"/>
        <v>1.2597905520107522</v>
      </c>
      <c r="AL305">
        <f t="shared" si="284"/>
        <v>0.65379277382322476</v>
      </c>
      <c r="AM305" t="str">
        <f t="shared" si="265"/>
        <v>1-0.761153876269704i</v>
      </c>
      <c r="AN305">
        <f t="shared" si="285"/>
        <v>1.2567240044498218</v>
      </c>
      <c r="AO305">
        <f t="shared" si="286"/>
        <v>-0.65060145537761682</v>
      </c>
      <c r="AP305" s="41" t="str">
        <f t="shared" si="287"/>
        <v>0.0387512718075803-3.3187722472763i</v>
      </c>
      <c r="AQ305">
        <f t="shared" si="288"/>
        <v>10.420141062461321</v>
      </c>
      <c r="AR305" s="43">
        <f t="shared" si="289"/>
        <v>-89.331022659855989</v>
      </c>
      <c r="AS305" t="str">
        <f t="shared" si="266"/>
        <v>-0.0000166666666666667</v>
      </c>
      <c r="AT305" t="str">
        <f t="shared" si="267"/>
        <v>0.000158364846950925i</v>
      </c>
      <c r="AU305">
        <f t="shared" si="290"/>
        <v>1.5836484695092501E-4</v>
      </c>
      <c r="AV305">
        <f t="shared" si="291"/>
        <v>1.5707963267948966</v>
      </c>
      <c r="AW305" t="str">
        <f t="shared" si="268"/>
        <v>1+0.160940330621061i</v>
      </c>
      <c r="AX305">
        <f t="shared" si="292"/>
        <v>1.0128681009985536</v>
      </c>
      <c r="AY305">
        <f t="shared" si="293"/>
        <v>0.15957198647834814</v>
      </c>
      <c r="AZ305" t="str">
        <f t="shared" si="269"/>
        <v>1+5.47197124111608i</v>
      </c>
      <c r="BA305">
        <f t="shared" si="294"/>
        <v>5.562595550963727</v>
      </c>
      <c r="BB305">
        <f t="shared" si="295"/>
        <v>1.390041460464414</v>
      </c>
      <c r="BC305" s="41" t="str">
        <f t="shared" si="296"/>
        <v>-0.544832499675313+0.192927733813175i</v>
      </c>
      <c r="BD305">
        <f t="shared" si="297"/>
        <v>-4.7617089094145753</v>
      </c>
      <c r="BE305" s="43">
        <f t="shared" si="298"/>
        <v>160.50070767908394</v>
      </c>
      <c r="BF305" s="41" t="str">
        <f t="shared" si="299"/>
        <v>1.11764669037898+0.280207925721223i</v>
      </c>
      <c r="BG305" s="20">
        <f t="shared" si="300"/>
        <v>1.230837980855604</v>
      </c>
      <c r="BH305" s="43">
        <f t="shared" si="301"/>
        <v>14.074655514533157</v>
      </c>
      <c r="BI305" s="41" t="str">
        <f t="shared" si="255"/>
        <v>0.619170256424553+1.81565117438882i</v>
      </c>
      <c r="BJ305" s="20">
        <f t="shared" si="302"/>
        <v>5.6584321530467587</v>
      </c>
      <c r="BK305" s="43">
        <f t="shared" si="256"/>
        <v>71.169685019228012</v>
      </c>
      <c r="BL305">
        <f t="shared" si="303"/>
        <v>1.230837980855604</v>
      </c>
      <c r="BM305" s="43">
        <f t="shared" si="304"/>
        <v>14.074655514533157</v>
      </c>
    </row>
    <row r="306" spans="14:65" x14ac:dyDescent="0.25">
      <c r="N306" s="9">
        <v>88</v>
      </c>
      <c r="O306" s="34">
        <f t="shared" si="305"/>
        <v>7585.7757502918394</v>
      </c>
      <c r="P306" s="33" t="str">
        <f t="shared" si="257"/>
        <v>16.5157725627975</v>
      </c>
      <c r="Q306" s="4" t="str">
        <f t="shared" si="258"/>
        <v>1+123.326204322322i</v>
      </c>
      <c r="R306" s="4">
        <f t="shared" si="270"/>
        <v>123.33025854408606</v>
      </c>
      <c r="S306" s="4">
        <f t="shared" si="271"/>
        <v>1.5626879276917203</v>
      </c>
      <c r="T306" s="4" t="str">
        <f t="shared" si="259"/>
        <v>1+0.784053631436693i</v>
      </c>
      <c r="U306" s="4">
        <f t="shared" si="272"/>
        <v>1.2707242411196324</v>
      </c>
      <c r="V306" s="4">
        <f t="shared" si="273"/>
        <v>0.6649416319392546</v>
      </c>
      <c r="W306" t="str">
        <f t="shared" si="260"/>
        <v>1-11.9157086844482i</v>
      </c>
      <c r="X306" s="4">
        <f t="shared" si="274"/>
        <v>11.957596474736647</v>
      </c>
      <c r="Y306" s="4">
        <f t="shared" si="275"/>
        <v>-1.4870696918815161</v>
      </c>
      <c r="Z306" t="str">
        <f t="shared" si="261"/>
        <v>0.998811074509634+0.166819921582275i</v>
      </c>
      <c r="AA306" s="4">
        <f t="shared" si="276"/>
        <v>1.0126462604482407</v>
      </c>
      <c r="AB306" s="4">
        <f t="shared" si="277"/>
        <v>0.16549097648238492</v>
      </c>
      <c r="AC306" s="47" t="str">
        <f t="shared" si="278"/>
        <v>-1.66825462999739-1.1200983912908i</v>
      </c>
      <c r="AD306" s="20">
        <f t="shared" si="279"/>
        <v>6.0613339352410023</v>
      </c>
      <c r="AE306" s="43">
        <f t="shared" si="280"/>
        <v>-146.12182550668979</v>
      </c>
      <c r="AF306" t="str">
        <f t="shared" si="262"/>
        <v>247.084651286898</v>
      </c>
      <c r="AG306" t="str">
        <f t="shared" si="263"/>
        <v>1+120.603896833659i</v>
      </c>
      <c r="AH306">
        <f t="shared" si="281"/>
        <v>120.60804256542704</v>
      </c>
      <c r="AI306">
        <f t="shared" si="282"/>
        <v>1.5625049107603532</v>
      </c>
      <c r="AJ306" t="str">
        <f t="shared" si="264"/>
        <v>1+0.784053631436693i</v>
      </c>
      <c r="AK306">
        <f t="shared" si="283"/>
        <v>1.2707242411196324</v>
      </c>
      <c r="AL306">
        <f t="shared" si="284"/>
        <v>0.6649416319392546</v>
      </c>
      <c r="AM306" t="str">
        <f t="shared" si="265"/>
        <v>1-0.77888342763412i</v>
      </c>
      <c r="AN306">
        <f t="shared" si="285"/>
        <v>1.2675406872535002</v>
      </c>
      <c r="AO306">
        <f t="shared" si="286"/>
        <v>-0.66173170472451004</v>
      </c>
      <c r="AP306" s="41" t="str">
        <f t="shared" si="287"/>
        <v>0.0379508679506217-3.29954455942362i</v>
      </c>
      <c r="AQ306">
        <f t="shared" si="288"/>
        <v>10.369654456558079</v>
      </c>
      <c r="AR306" s="43">
        <f t="shared" si="289"/>
        <v>-89.341021573084518</v>
      </c>
      <c r="AS306" t="str">
        <f t="shared" si="266"/>
        <v>-0.0000166666666666667</v>
      </c>
      <c r="AT306" t="str">
        <f t="shared" si="267"/>
        <v>0.000162053638108496i</v>
      </c>
      <c r="AU306">
        <f t="shared" si="290"/>
        <v>1.62053638108496E-4</v>
      </c>
      <c r="AV306">
        <f t="shared" si="291"/>
        <v>1.5707963267948966</v>
      </c>
      <c r="AW306" t="str">
        <f t="shared" si="268"/>
        <v>1+0.16468911249988i</v>
      </c>
      <c r="AX306">
        <f t="shared" si="292"/>
        <v>1.0134705243745366</v>
      </c>
      <c r="AY306">
        <f t="shared" si="293"/>
        <v>0.16322395580543034</v>
      </c>
      <c r="AZ306" t="str">
        <f t="shared" si="269"/>
        <v>1+5.59942982499591i</v>
      </c>
      <c r="BA306">
        <f t="shared" si="294"/>
        <v>5.6880237662173769</v>
      </c>
      <c r="BB306">
        <f t="shared" si="295"/>
        <v>1.3940698492394126</v>
      </c>
      <c r="BC306" s="41" t="str">
        <f t="shared" si="296"/>
        <v>-0.544184977569238+0.19246794697471i</v>
      </c>
      <c r="BD306">
        <f t="shared" si="297"/>
        <v>-4.7731951141337241</v>
      </c>
      <c r="BE306" s="43">
        <f t="shared" si="298"/>
        <v>160.52227492477624</v>
      </c>
      <c r="BF306" s="41" t="str">
        <f t="shared" si="299"/>
        <v>1.12342214618632+0.288455174273271i</v>
      </c>
      <c r="BG306" s="20">
        <f t="shared" si="300"/>
        <v>1.2881388211072577</v>
      </c>
      <c r="BH306" s="43">
        <f t="shared" si="301"/>
        <v>14.400449418086493</v>
      </c>
      <c r="BI306" s="41" t="str">
        <f t="shared" ref="BI306:BI369" si="306">IMPRODUCT(AP306,BC306)</f>
        <v>0.614404275079396+1.80286690769901i</v>
      </c>
      <c r="BJ306" s="20">
        <f t="shared" si="302"/>
        <v>5.596459342424362</v>
      </c>
      <c r="BK306" s="43">
        <f t="shared" ref="BK306:BK369" si="307">(180/PI())*IMARGUMENT(BI306)</f>
        <v>71.181253351691765</v>
      </c>
      <c r="BL306">
        <f t="shared" si="303"/>
        <v>1.2881388211072577</v>
      </c>
      <c r="BM306" s="43">
        <f t="shared" si="304"/>
        <v>14.400449418086493</v>
      </c>
    </row>
    <row r="307" spans="14:65" x14ac:dyDescent="0.25">
      <c r="N307" s="9">
        <v>89</v>
      </c>
      <c r="O307" s="34">
        <f t="shared" si="305"/>
        <v>7762.4711662869322</v>
      </c>
      <c r="P307" s="33" t="str">
        <f t="shared" si="257"/>
        <v>16.5157725627975</v>
      </c>
      <c r="Q307" s="4" t="str">
        <f t="shared" si="258"/>
        <v>1+126.198840647617i</v>
      </c>
      <c r="R307" s="4">
        <f t="shared" si="270"/>
        <v>126.20280258695774</v>
      </c>
      <c r="S307" s="4">
        <f t="shared" si="271"/>
        <v>1.5628724895732919</v>
      </c>
      <c r="T307" s="4" t="str">
        <f t="shared" si="259"/>
        <v>1+0.802316586621446i</v>
      </c>
      <c r="U307" s="4">
        <f t="shared" si="272"/>
        <v>1.2820732838523266</v>
      </c>
      <c r="V307" s="4">
        <f t="shared" si="273"/>
        <v>0.67615189966261169</v>
      </c>
      <c r="W307" t="str">
        <f t="shared" si="260"/>
        <v>1-12.1932611948548i</v>
      </c>
      <c r="X307" s="4">
        <f t="shared" si="274"/>
        <v>12.234198730033443</v>
      </c>
      <c r="Y307" s="4">
        <f t="shared" si="275"/>
        <v>-1.4889669481484531</v>
      </c>
      <c r="Z307" t="str">
        <f t="shared" si="261"/>
        <v>0.998755042177532+0.170705656727967i</v>
      </c>
      <c r="AA307" s="4">
        <f t="shared" si="276"/>
        <v>1.0132384001378798</v>
      </c>
      <c r="AB307" s="4">
        <f t="shared" si="277"/>
        <v>0.16928266699726396</v>
      </c>
      <c r="AC307" s="47" t="str">
        <f t="shared" si="278"/>
        <v>-1.67585761632437-1.13822544816229i</v>
      </c>
      <c r="AD307" s="20">
        <f t="shared" si="279"/>
        <v>6.1321326975292596</v>
      </c>
      <c r="AE307" s="43">
        <f t="shared" si="280"/>
        <v>-145.81605173627523</v>
      </c>
      <c r="AF307" t="str">
        <f t="shared" si="262"/>
        <v>247.084651286898</v>
      </c>
      <c r="AG307" t="str">
        <f t="shared" si="263"/>
        <v>1+123.413122471635i</v>
      </c>
      <c r="AH307">
        <f t="shared" si="281"/>
        <v>123.41717383816072</v>
      </c>
      <c r="AI307">
        <f t="shared" si="282"/>
        <v>1.5626936380746388</v>
      </c>
      <c r="AJ307" t="str">
        <f t="shared" si="264"/>
        <v>1+0.802316586621446i</v>
      </c>
      <c r="AK307">
        <f t="shared" si="283"/>
        <v>1.2820732838523266</v>
      </c>
      <c r="AL307">
        <f t="shared" si="284"/>
        <v>0.67615189966261169</v>
      </c>
      <c r="AM307" t="str">
        <f t="shared" si="265"/>
        <v>1-0.79702595330161i</v>
      </c>
      <c r="AN307">
        <f t="shared" si="285"/>
        <v>1.2787690840164772</v>
      </c>
      <c r="AO307">
        <f t="shared" si="286"/>
        <v>-0.67292486642832783</v>
      </c>
      <c r="AP307" s="41" t="str">
        <f t="shared" si="287"/>
        <v>0.0371864833598205-3.28206573625643i</v>
      </c>
      <c r="AQ307">
        <f t="shared" si="288"/>
        <v>10.323502988750459</v>
      </c>
      <c r="AR307" s="43">
        <f t="shared" si="289"/>
        <v>-89.350854748948052</v>
      </c>
      <c r="AS307" t="str">
        <f t="shared" si="266"/>
        <v>-0.0000166666666666667</v>
      </c>
      <c r="AT307" t="str">
        <f t="shared" si="267"/>
        <v>0.000165828352250025i</v>
      </c>
      <c r="AU307">
        <f t="shared" si="290"/>
        <v>1.6582835225002499E-4</v>
      </c>
      <c r="AV307">
        <f t="shared" si="291"/>
        <v>1.5707963267948966</v>
      </c>
      <c r="AW307" t="str">
        <f t="shared" si="268"/>
        <v>1+0.168525214726064i</v>
      </c>
      <c r="AX307">
        <f t="shared" si="292"/>
        <v>1.0141009555258618</v>
      </c>
      <c r="AY307">
        <f t="shared" si="293"/>
        <v>0.16695644763856407</v>
      </c>
      <c r="AZ307" t="str">
        <f t="shared" si="269"/>
        <v>1+5.72985730068617i</v>
      </c>
      <c r="BA307">
        <f t="shared" si="294"/>
        <v>5.8164649647553626</v>
      </c>
      <c r="BB307">
        <f t="shared" si="295"/>
        <v>1.3980121494671396</v>
      </c>
      <c r="BC307" s="41" t="str">
        <f t="shared" si="296"/>
        <v>-0.543508586284144+0.192100432624622i</v>
      </c>
      <c r="BD307">
        <f t="shared" si="297"/>
        <v>-4.7846422245596223</v>
      </c>
      <c r="BE307" s="43">
        <f t="shared" si="298"/>
        <v>160.53429606029295</v>
      </c>
      <c r="BF307" s="41" t="str">
        <f t="shared" si="299"/>
        <v>1.1294966048783+0.296702331090143i</v>
      </c>
      <c r="BG307" s="20">
        <f t="shared" si="300"/>
        <v>1.3474904729696082</v>
      </c>
      <c r="BH307" s="43">
        <f t="shared" si="301"/>
        <v>14.718244324017759</v>
      </c>
      <c r="BI307" s="41" t="str">
        <f t="shared" si="306"/>
        <v>0.610275074837534+1.79097444794557i</v>
      </c>
      <c r="BJ307" s="20">
        <f t="shared" si="302"/>
        <v>5.5388607641908383</v>
      </c>
      <c r="BK307" s="43">
        <f t="shared" si="307"/>
        <v>71.183441311344879</v>
      </c>
      <c r="BL307">
        <f t="shared" si="303"/>
        <v>1.3474904729696082</v>
      </c>
      <c r="BM307" s="43">
        <f t="shared" si="304"/>
        <v>14.718244324017759</v>
      </c>
    </row>
    <row r="308" spans="14:65" x14ac:dyDescent="0.25">
      <c r="N308" s="9">
        <v>90</v>
      </c>
      <c r="O308" s="34">
        <f t="shared" si="305"/>
        <v>7943.2823472428154</v>
      </c>
      <c r="P308" s="33" t="str">
        <f t="shared" si="257"/>
        <v>16.5157725627975</v>
      </c>
      <c r="Q308" s="4" t="str">
        <f t="shared" si="258"/>
        <v>1+129.138389268662i</v>
      </c>
      <c r="R308" s="4">
        <f t="shared" si="270"/>
        <v>129.1422610259882</v>
      </c>
      <c r="S308" s="4">
        <f t="shared" si="271"/>
        <v>1.5630528508351667</v>
      </c>
      <c r="T308" s="4" t="str">
        <f t="shared" si="259"/>
        <v>1+0.821004940680339i</v>
      </c>
      <c r="U308" s="4">
        <f t="shared" si="272"/>
        <v>1.2938504985590595</v>
      </c>
      <c r="V308" s="4">
        <f t="shared" si="273"/>
        <v>0.68741825107004095</v>
      </c>
      <c r="W308" t="str">
        <f t="shared" si="260"/>
        <v>1-12.4772787337437i</v>
      </c>
      <c r="X308" s="4">
        <f t="shared" si="274"/>
        <v>12.517287429772189</v>
      </c>
      <c r="Y308" s="4">
        <f t="shared" si="275"/>
        <v>-1.4908215882802129</v>
      </c>
      <c r="Z308" t="str">
        <f t="shared" si="261"/>
        <v>0.998696369122975+0.174681902272412i</v>
      </c>
      <c r="AA308" s="4">
        <f t="shared" si="276"/>
        <v>1.0138580791614384</v>
      </c>
      <c r="AB308" s="4">
        <f t="shared" si="277"/>
        <v>0.17315826207883642</v>
      </c>
      <c r="AC308" s="47" t="str">
        <f t="shared" si="278"/>
        <v>-1.68379511017094-1.15684273505547i</v>
      </c>
      <c r="AD308" s="20">
        <f t="shared" si="279"/>
        <v>6.2049532788715611</v>
      </c>
      <c r="AE308" s="43">
        <f t="shared" si="280"/>
        <v>-145.50918958255241</v>
      </c>
      <c r="AF308" t="str">
        <f t="shared" si="262"/>
        <v>247.084651286898</v>
      </c>
      <c r="AG308" t="str">
        <f t="shared" si="263"/>
        <v>1+126.28778338071i</v>
      </c>
      <c r="AH308">
        <f t="shared" si="281"/>
        <v>126.29174252979935</v>
      </c>
      <c r="AI308">
        <f t="shared" si="282"/>
        <v>1.5628780699885265</v>
      </c>
      <c r="AJ308" t="str">
        <f t="shared" si="264"/>
        <v>1+0.821004940680339i</v>
      </c>
      <c r="AK308">
        <f t="shared" si="283"/>
        <v>1.2938504985590595</v>
      </c>
      <c r="AL308">
        <f t="shared" si="284"/>
        <v>0.68741825107004095</v>
      </c>
      <c r="AM308" t="str">
        <f t="shared" si="265"/>
        <v>1-0.815591072679423i</v>
      </c>
      <c r="AN308">
        <f t="shared" si="285"/>
        <v>1.290421945657455</v>
      </c>
      <c r="AO308">
        <f t="shared" si="286"/>
        <v>-0.68417565698618799</v>
      </c>
      <c r="AP308" s="41" t="str">
        <f t="shared" si="287"/>
        <v>0.0364564973271243-3.26632655014767i</v>
      </c>
      <c r="AQ308">
        <f t="shared" si="288"/>
        <v>10.281733009365308</v>
      </c>
      <c r="AR308" s="43">
        <f t="shared" si="289"/>
        <v>-89.360530348215391</v>
      </c>
      <c r="AS308" t="str">
        <f t="shared" si="266"/>
        <v>-0.0000166666666666667</v>
      </c>
      <c r="AT308" t="str">
        <f t="shared" si="267"/>
        <v>0.000169690990778915i</v>
      </c>
      <c r="AU308">
        <f t="shared" si="290"/>
        <v>1.69690990778915E-4</v>
      </c>
      <c r="AV308">
        <f t="shared" si="291"/>
        <v>1.5707963267948966</v>
      </c>
      <c r="AW308" t="str">
        <f t="shared" si="268"/>
        <v>1+0.17245067125179i</v>
      </c>
      <c r="AX308">
        <f t="shared" si="292"/>
        <v>1.0147606781971761</v>
      </c>
      <c r="AY308">
        <f t="shared" si="293"/>
        <v>0.17077102479079836</v>
      </c>
      <c r="AZ308" t="str">
        <f t="shared" si="269"/>
        <v>1+5.86332282256086i</v>
      </c>
      <c r="BA308">
        <f t="shared" si="294"/>
        <v>5.9479874345498613</v>
      </c>
      <c r="BB308">
        <f t="shared" si="295"/>
        <v>1.4018699610025214</v>
      </c>
      <c r="BC308" s="41" t="str">
        <f t="shared" si="296"/>
        <v>-0.542802117482449+0.191824335728037i</v>
      </c>
      <c r="BD308">
        <f t="shared" si="297"/>
        <v>-4.7960724688575205</v>
      </c>
      <c r="BE308" s="43">
        <f t="shared" si="298"/>
        <v>160.53677320797703</v>
      </c>
      <c r="BF308" s="41" t="str">
        <f t="shared" si="299"/>
        <v>1.1358781404012+0.304943807671639i</v>
      </c>
      <c r="BG308" s="20">
        <f t="shared" si="300"/>
        <v>1.4088808100140331</v>
      </c>
      <c r="BH308" s="43">
        <f t="shared" si="301"/>
        <v>15.027583625424592</v>
      </c>
      <c r="BI308" s="41" t="str">
        <f t="shared" si="306"/>
        <v>0.606772256807771+1.77996221119204i</v>
      </c>
      <c r="BJ308" s="20">
        <f t="shared" si="302"/>
        <v>5.4856605405077659</v>
      </c>
      <c r="BK308" s="43">
        <f t="shared" si="307"/>
        <v>71.176242859761601</v>
      </c>
      <c r="BL308">
        <f t="shared" si="303"/>
        <v>1.4088808100140331</v>
      </c>
      <c r="BM308" s="43">
        <f t="shared" si="304"/>
        <v>15.027583625424592</v>
      </c>
    </row>
    <row r="309" spans="14:65" x14ac:dyDescent="0.25">
      <c r="N309" s="9">
        <v>91</v>
      </c>
      <c r="O309" s="34">
        <f t="shared" si="305"/>
        <v>8128.3051616410066</v>
      </c>
      <c r="P309" s="33" t="str">
        <f t="shared" si="257"/>
        <v>16.5157725627975</v>
      </c>
      <c r="Q309" s="4" t="str">
        <f t="shared" si="258"/>
        <v>1+132.146408773046i</v>
      </c>
      <c r="R309" s="4">
        <f t="shared" si="270"/>
        <v>132.15019240096839</v>
      </c>
      <c r="S309" s="4">
        <f t="shared" si="271"/>
        <v>1.5632291070603088</v>
      </c>
      <c r="T309" s="4" t="str">
        <f t="shared" si="259"/>
        <v>1+0.84012860242607i</v>
      </c>
      <c r="U309" s="4">
        <f t="shared" si="272"/>
        <v>1.3060689371600496</v>
      </c>
      <c r="V309" s="4">
        <f t="shared" si="273"/>
        <v>0.69873522005516819</v>
      </c>
      <c r="W309" t="str">
        <f t="shared" si="260"/>
        <v>1-12.7679118909737i</v>
      </c>
      <c r="X309" s="4">
        <f t="shared" si="274"/>
        <v>12.807012690540585</v>
      </c>
      <c r="Y309" s="4">
        <f t="shared" si="275"/>
        <v>-1.4926345445680063</v>
      </c>
      <c r="Z309" t="str">
        <f t="shared" si="261"/>
        <v>0.998634930892546+0.178750766473632i</v>
      </c>
      <c r="AA309" s="4">
        <f t="shared" si="276"/>
        <v>1.01450656070509</v>
      </c>
      <c r="AB309" s="4">
        <f t="shared" si="277"/>
        <v>0.17711941187526276</v>
      </c>
      <c r="AC309" s="47" t="str">
        <f t="shared" si="278"/>
        <v>-1.69208134997347-1.17595247084456i</v>
      </c>
      <c r="AD309" s="20">
        <f t="shared" si="279"/>
        <v>6.2798034870205663</v>
      </c>
      <c r="AE309" s="43">
        <f t="shared" si="280"/>
        <v>-145.20170566972433</v>
      </c>
      <c r="AF309" t="str">
        <f t="shared" si="262"/>
        <v>247.084651286898</v>
      </c>
      <c r="AG309" t="str">
        <f t="shared" si="263"/>
        <v>1+129.229403744151i</v>
      </c>
      <c r="AH309">
        <f t="shared" si="281"/>
        <v>129.23327277473393</v>
      </c>
      <c r="AI309">
        <f t="shared" si="282"/>
        <v>1.5630583042400421</v>
      </c>
      <c r="AJ309" t="str">
        <f t="shared" si="264"/>
        <v>1+0.84012860242607i</v>
      </c>
      <c r="AK309">
        <f t="shared" si="283"/>
        <v>1.3060689371600496</v>
      </c>
      <c r="AL309">
        <f t="shared" si="284"/>
        <v>0.69873522005516819</v>
      </c>
      <c r="AM309" t="str">
        <f t="shared" si="265"/>
        <v>1-0.8345886292396i</v>
      </c>
      <c r="AN309">
        <f t="shared" si="285"/>
        <v>1.3025122571615342</v>
      </c>
      <c r="AO309">
        <f t="shared" si="286"/>
        <v>-0.69547864935648318</v>
      </c>
      <c r="AP309" s="41" t="str">
        <f t="shared" si="287"/>
        <v>0.0357593620508732-3.25231869318786i</v>
      </c>
      <c r="AQ309">
        <f t="shared" si="288"/>
        <v>10.244386896848566</v>
      </c>
      <c r="AR309" s="43">
        <f t="shared" si="289"/>
        <v>-89.37005620910918</v>
      </c>
      <c r="AS309" t="str">
        <f t="shared" si="266"/>
        <v>-0.0000166666666666667</v>
      </c>
      <c r="AT309" t="str">
        <f t="shared" si="267"/>
        <v>0.000173643601717242i</v>
      </c>
      <c r="AU309">
        <f t="shared" si="290"/>
        <v>1.73643601717242E-4</v>
      </c>
      <c r="AV309">
        <f t="shared" si="291"/>
        <v>1.5707963267948966</v>
      </c>
      <c r="AW309" t="str">
        <f t="shared" si="268"/>
        <v>1+0.176467563406069i</v>
      </c>
      <c r="AX309">
        <f t="shared" si="292"/>
        <v>1.0154510332529456</v>
      </c>
      <c r="AY309">
        <f t="shared" si="293"/>
        <v>0.17466926553139878</v>
      </c>
      <c r="AZ309" t="str">
        <f t="shared" si="269"/>
        <v>1+5.99989715580636i</v>
      </c>
      <c r="BA309">
        <f t="shared" si="294"/>
        <v>6.08266108543401</v>
      </c>
      <c r="BB309">
        <f t="shared" si="295"/>
        <v>1.4056448697611117</v>
      </c>
      <c r="BC309" s="41" t="str">
        <f t="shared" si="296"/>
        <v>-0.542064319607619+0.191638807046594i</v>
      </c>
      <c r="BD309">
        <f t="shared" si="297"/>
        <v>-4.8075080513506885</v>
      </c>
      <c r="BE309" s="43">
        <f t="shared" si="298"/>
        <v>160.52970680592892</v>
      </c>
      <c r="BF309" s="41" t="str">
        <f t="shared" si="299"/>
        <v>1.14257505435026+0.313173424664549i</v>
      </c>
      <c r="BG309" s="20">
        <f t="shared" si="300"/>
        <v>1.4722954356699047</v>
      </c>
      <c r="BH309" s="43">
        <f t="shared" si="301"/>
        <v>15.328001136204541</v>
      </c>
      <c r="BI309" s="41" t="str">
        <f t="shared" si="306"/>
        <v>0.60388660023815+1.76981880105419i</v>
      </c>
      <c r="BJ309" s="20">
        <f t="shared" si="302"/>
        <v>5.4368788454978576</v>
      </c>
      <c r="BK309" s="43">
        <f t="shared" si="307"/>
        <v>71.159650596819702</v>
      </c>
      <c r="BL309">
        <f t="shared" si="303"/>
        <v>1.4722954356699047</v>
      </c>
      <c r="BM309" s="43">
        <f t="shared" si="304"/>
        <v>15.328001136204541</v>
      </c>
    </row>
    <row r="310" spans="14:65" x14ac:dyDescent="0.25">
      <c r="N310" s="9">
        <v>92</v>
      </c>
      <c r="O310" s="34">
        <f t="shared" si="305"/>
        <v>8317.6377110267094</v>
      </c>
      <c r="P310" s="33" t="str">
        <f t="shared" si="257"/>
        <v>16.5157725627975</v>
      </c>
      <c r="Q310" s="4" t="str">
        <f t="shared" si="258"/>
        <v>1+135.224494052526i</v>
      </c>
      <c r="R310" s="4">
        <f t="shared" si="270"/>
        <v>135.22819155694441</v>
      </c>
      <c r="S310" s="4">
        <f t="shared" si="271"/>
        <v>1.5634013516582717</v>
      </c>
      <c r="T310" s="4" t="str">
        <f t="shared" si="259"/>
        <v>1+0.859697711477219i</v>
      </c>
      <c r="U310" s="4">
        <f t="shared" si="272"/>
        <v>1.3187418834325266</v>
      </c>
      <c r="V310" s="4">
        <f t="shared" si="273"/>
        <v>0.71009721253331393</v>
      </c>
      <c r="W310" t="str">
        <f t="shared" si="260"/>
        <v>1-13.0653147640915i</v>
      </c>
      <c r="X310" s="4">
        <f t="shared" si="274"/>
        <v>13.103528146449234</v>
      </c>
      <c r="Y310" s="4">
        <f t="shared" si="275"/>
        <v>-1.494406730567899</v>
      </c>
      <c r="Z310" t="str">
        <f t="shared" si="261"/>
        <v>0.998570597167523+0.18291440669728i</v>
      </c>
      <c r="AA310" s="4">
        <f t="shared" si="276"/>
        <v>1.0151851642458738</v>
      </c>
      <c r="AB310" s="4">
        <f t="shared" si="277"/>
        <v>0.18116778457165617</v>
      </c>
      <c r="AC310" s="47" t="str">
        <f t="shared" si="278"/>
        <v>-1.70073107745601-1.19555663952152i</v>
      </c>
      <c r="AD310" s="20">
        <f t="shared" si="279"/>
        <v>6.3566887324110883</v>
      </c>
      <c r="AE310" s="43">
        <f t="shared" si="280"/>
        <v>-144.89407379007989</v>
      </c>
      <c r="AF310" t="str">
        <f t="shared" si="262"/>
        <v>247.084651286898</v>
      </c>
      <c r="AG310" t="str">
        <f t="shared" si="263"/>
        <v>1+132.239543248009i</v>
      </c>
      <c r="AH310">
        <f t="shared" si="281"/>
        <v>132.24332421125098</v>
      </c>
      <c r="AI310">
        <f t="shared" si="282"/>
        <v>1.5632344363449058</v>
      </c>
      <c r="AJ310" t="str">
        <f t="shared" si="264"/>
        <v>1+0.859697711477219i</v>
      </c>
      <c r="AK310">
        <f t="shared" si="283"/>
        <v>1.3187418834325266</v>
      </c>
      <c r="AL310">
        <f t="shared" si="284"/>
        <v>0.71009721253331393</v>
      </c>
      <c r="AM310" t="str">
        <f t="shared" si="265"/>
        <v>1-0.854028695738081i</v>
      </c>
      <c r="AN310">
        <f t="shared" si="285"/>
        <v>1.3150532358593274</v>
      </c>
      <c r="AO310">
        <f t="shared" si="286"/>
        <v>-0.70682828493074079</v>
      </c>
      <c r="AP310" s="41" t="str">
        <f t="shared" si="287"/>
        <v>0.0350935993577884-3.24003477295773i</v>
      </c>
      <c r="AQ310">
        <f t="shared" si="288"/>
        <v>10.211502890161935</v>
      </c>
      <c r="AR310" s="43">
        <f t="shared" si="289"/>
        <v>-89.379439836913974</v>
      </c>
      <c r="AS310" t="str">
        <f t="shared" si="266"/>
        <v>-0.0000166666666666667</v>
      </c>
      <c r="AT310" t="str">
        <f t="shared" si="267"/>
        <v>0.000177688280791644i</v>
      </c>
      <c r="AU310">
        <f t="shared" si="290"/>
        <v>1.7768828079164399E-4</v>
      </c>
      <c r="AV310">
        <f t="shared" si="291"/>
        <v>1.5707963267948966</v>
      </c>
      <c r="AW310" t="str">
        <f t="shared" si="268"/>
        <v>1+0.18057802099829i</v>
      </c>
      <c r="AX310">
        <f t="shared" si="292"/>
        <v>1.0161734210594464</v>
      </c>
      <c r="AY310">
        <f t="shared" si="293"/>
        <v>0.17865276261289148</v>
      </c>
      <c r="AZ310" t="str">
        <f t="shared" si="269"/>
        <v>1+6.13965271394186i</v>
      </c>
      <c r="BA310">
        <f t="shared" si="294"/>
        <v>6.2205574868988744</v>
      </c>
      <c r="BB310">
        <f t="shared" si="295"/>
        <v>1.4093384466952876</v>
      </c>
      <c r="BC310" s="41" t="str">
        <f t="shared" si="296"/>
        <v>-0.541293897037473+0.191543000153i</v>
      </c>
      <c r="BD310">
        <f t="shared" si="297"/>
        <v>-4.8189711839101923</v>
      </c>
      <c r="BE310" s="43">
        <f t="shared" si="298"/>
        <v>160.51309560509191</v>
      </c>
      <c r="BF310" s="41" t="str">
        <f t="shared" si="299"/>
        <v>1.14959585831569+0.32138437950626i</v>
      </c>
      <c r="BG310" s="20">
        <f t="shared" si="300"/>
        <v>1.5377175485008643</v>
      </c>
      <c r="BH310" s="43">
        <f t="shared" si="301"/>
        <v>15.619021815012085</v>
      </c>
      <c r="BI310" s="41" t="str">
        <f t="shared" si="306"/>
        <v>0.601610029854919+1.76053298209837i</v>
      </c>
      <c r="BJ310" s="20">
        <f t="shared" si="302"/>
        <v>5.3925317062517317</v>
      </c>
      <c r="BK310" s="43">
        <f t="shared" si="307"/>
        <v>71.133655768177931</v>
      </c>
      <c r="BL310">
        <f t="shared" si="303"/>
        <v>1.5377175485008643</v>
      </c>
      <c r="BM310" s="43">
        <f t="shared" si="304"/>
        <v>15.619021815012085</v>
      </c>
    </row>
    <row r="311" spans="14:65" x14ac:dyDescent="0.25">
      <c r="N311" s="9">
        <v>93</v>
      </c>
      <c r="O311" s="34">
        <f t="shared" si="305"/>
        <v>8511.3803820237772</v>
      </c>
      <c r="P311" s="33" t="str">
        <f t="shared" si="257"/>
        <v>16.5157725627975</v>
      </c>
      <c r="Q311" s="4" t="str">
        <f t="shared" si="258"/>
        <v>1+138.374277148661i</v>
      </c>
      <c r="R311" s="4">
        <f t="shared" si="270"/>
        <v>138.37789048982663</v>
      </c>
      <c r="S311" s="4">
        <f t="shared" si="271"/>
        <v>1.5635696759145159</v>
      </c>
      <c r="T311" s="4" t="str">
        <f t="shared" si="259"/>
        <v>1+0.879722643634441i</v>
      </c>
      <c r="U311" s="4">
        <f t="shared" si="272"/>
        <v>1.3318828513511125</v>
      </c>
      <c r="V311" s="4">
        <f t="shared" si="273"/>
        <v>0.72149851941769239</v>
      </c>
      <c r="W311" t="str">
        <f t="shared" si="260"/>
        <v>1-13.3696450400371i</v>
      </c>
      <c r="X311" s="4">
        <f t="shared" si="274"/>
        <v>13.406991030674579</v>
      </c>
      <c r="Y311" s="4">
        <f t="shared" si="275"/>
        <v>-1.4961390413650546</v>
      </c>
      <c r="Z311" t="str">
        <f t="shared" si="261"/>
        <v>0.998503231487448+0.187175030560519i</v>
      </c>
      <c r="AA311" s="4">
        <f t="shared" si="276"/>
        <v>1.0158952679071833</v>
      </c>
      <c r="AB311" s="4">
        <f t="shared" si="277"/>
        <v>0.18530506550890594</v>
      </c>
      <c r="AC311" s="47" t="str">
        <f t="shared" si="278"/>
        <v>-1.70975954808661-1.21565696168595i</v>
      </c>
      <c r="AD311" s="20">
        <f t="shared" si="279"/>
        <v>6.4356119319449503</v>
      </c>
      <c r="AE311" s="43">
        <f t="shared" si="280"/>
        <v>-144.58677412799037</v>
      </c>
      <c r="AF311" t="str">
        <f t="shared" si="262"/>
        <v>247.084651286898</v>
      </c>
      <c r="AG311" t="str">
        <f t="shared" si="263"/>
        <v>1+135.319797908096i</v>
      </c>
      <c r="AH311">
        <f t="shared" si="281"/>
        <v>135.32349280848445</v>
      </c>
      <c r="AI311">
        <f t="shared" si="282"/>
        <v>1.5634065596469533</v>
      </c>
      <c r="AJ311" t="str">
        <f t="shared" si="264"/>
        <v>1+0.879722643634441i</v>
      </c>
      <c r="AK311">
        <f t="shared" si="283"/>
        <v>1.3318828513511125</v>
      </c>
      <c r="AL311">
        <f t="shared" si="284"/>
        <v>0.72149851941769239</v>
      </c>
      <c r="AM311" t="str">
        <f t="shared" si="265"/>
        <v>1-0.873921579555452i</v>
      </c>
      <c r="AN311">
        <f t="shared" si="285"/>
        <v>1.3280583297478676</v>
      </c>
      <c r="AO311">
        <f t="shared" si="286"/>
        <v>-0.71821888629474784</v>
      </c>
      <c r="AP311" s="41" t="str">
        <f t="shared" si="287"/>
        <v>0.0344577975721704-3.22946830877423i</v>
      </c>
      <c r="AQ311">
        <f t="shared" si="288"/>
        <v>10.18311493543758</v>
      </c>
      <c r="AR311" s="43">
        <f t="shared" si="289"/>
        <v>-89.388688394542385</v>
      </c>
      <c r="AS311" t="str">
        <f t="shared" si="266"/>
        <v>-0.0000166666666666667</v>
      </c>
      <c r="AT311" t="str">
        <f t="shared" si="267"/>
        <v>0.000181827172544504i</v>
      </c>
      <c r="AU311">
        <f t="shared" si="290"/>
        <v>1.8182717254450401E-4</v>
      </c>
      <c r="AV311">
        <f t="shared" si="291"/>
        <v>1.5707963267948966</v>
      </c>
      <c r="AW311" t="str">
        <f t="shared" si="268"/>
        <v>1+0.184784223447477i</v>
      </c>
      <c r="AX311">
        <f t="shared" si="292"/>
        <v>1.016929303951404</v>
      </c>
      <c r="AY311">
        <f t="shared" si="293"/>
        <v>0.18272312219880518</v>
      </c>
      <c r="AZ311" t="str">
        <f t="shared" si="269"/>
        <v>1+6.28266359721423i</v>
      </c>
      <c r="BA311">
        <f t="shared" si="294"/>
        <v>6.3617499067285603</v>
      </c>
      <c r="BB311">
        <f t="shared" si="295"/>
        <v>1.4129522468670619</v>
      </c>
      <c r="BC311" s="41" t="str">
        <f t="shared" si="296"/>
        <v>-0.540489509293991+0.191536068322677i</v>
      </c>
      <c r="BD311">
        <f t="shared" si="297"/>
        <v>-4.8304841173352333</v>
      </c>
      <c r="BE311" s="43">
        <f t="shared" si="298"/>
        <v>160.48693667756467</v>
      </c>
      <c r="BF311" s="41" t="str">
        <f t="shared" si="299"/>
        <v>1.15694925402647+0.329569213073797i</v>
      </c>
      <c r="BG311" s="20">
        <f t="shared" si="300"/>
        <v>1.6051278146097467</v>
      </c>
      <c r="BH311" s="43">
        <f t="shared" si="301"/>
        <v>15.900162549574269</v>
      </c>
      <c r="BI311" s="41" t="str">
        <f t="shared" si="306"/>
        <v>0.599935584534167+1.75209365255991i</v>
      </c>
      <c r="BJ311" s="20">
        <f t="shared" si="302"/>
        <v>5.3526308181023454</v>
      </c>
      <c r="BK311" s="43">
        <f t="shared" si="307"/>
        <v>71.098248283022286</v>
      </c>
      <c r="BL311">
        <f t="shared" si="303"/>
        <v>1.6051278146097467</v>
      </c>
      <c r="BM311" s="43">
        <f t="shared" si="304"/>
        <v>15.900162549574269</v>
      </c>
    </row>
    <row r="312" spans="14:65" x14ac:dyDescent="0.25">
      <c r="N312" s="9">
        <v>94</v>
      </c>
      <c r="O312" s="34">
        <f t="shared" si="305"/>
        <v>8709.6358995608189</v>
      </c>
      <c r="P312" s="33" t="str">
        <f t="shared" si="257"/>
        <v>16.5157725627975</v>
      </c>
      <c r="Q312" s="4" t="str">
        <f t="shared" si="258"/>
        <v>1+141.597428118139i</v>
      </c>
      <c r="R312" s="4">
        <f t="shared" si="270"/>
        <v>141.60095921169298</v>
      </c>
      <c r="S312" s="4">
        <f t="shared" si="271"/>
        <v>1.5637341690386153</v>
      </c>
      <c r="T312" s="4" t="str">
        <f t="shared" si="259"/>
        <v>1+0.900214016381823i</v>
      </c>
      <c r="U312" s="4">
        <f t="shared" si="272"/>
        <v>1.3455055835225258</v>
      </c>
      <c r="V312" s="4">
        <f t="shared" si="273"/>
        <v>0.73293333029936358</v>
      </c>
      <c r="W312" t="str">
        <f t="shared" si="260"/>
        <v>1-13.6810640787511i</v>
      </c>
      <c r="X312" s="4">
        <f t="shared" si="274"/>
        <v>13.7175622589035</v>
      </c>
      <c r="Y312" s="4">
        <f t="shared" si="275"/>
        <v>-1.4978323538423781</v>
      </c>
      <c r="Z312" t="str">
        <f t="shared" si="261"/>
        <v>0.998432690960684+0.191534897102515i</v>
      </c>
      <c r="AA312" s="4">
        <f t="shared" si="276"/>
        <v>1.0166383108987502</v>
      </c>
      <c r="AB312" s="4">
        <f t="shared" si="277"/>
        <v>0.18953295620674529</v>
      </c>
      <c r="AC312" s="47" t="str">
        <f t="shared" si="278"/>
        <v>-1.71918254089135-1.23625486442908i</v>
      </c>
      <c r="AD312" s="20">
        <f t="shared" si="279"/>
        <v>6.5165734205336641</v>
      </c>
      <c r="AE312" s="43">
        <f t="shared" si="280"/>
        <v>-144.28029243828621</v>
      </c>
      <c r="AF312" t="str">
        <f t="shared" si="262"/>
        <v>247.084651286898</v>
      </c>
      <c r="AG312" t="str">
        <f t="shared" si="263"/>
        <v>1+138.471800916202i</v>
      </c>
      <c r="AH312">
        <f t="shared" si="281"/>
        <v>138.47541171260795</v>
      </c>
      <c r="AI312">
        <f t="shared" si="282"/>
        <v>1.5635747653674195</v>
      </c>
      <c r="AJ312" t="str">
        <f t="shared" si="264"/>
        <v>1+0.900214016381823i</v>
      </c>
      <c r="AK312">
        <f t="shared" si="283"/>
        <v>1.3455055835225258</v>
      </c>
      <c r="AL312">
        <f t="shared" si="284"/>
        <v>0.73293333029936358</v>
      </c>
      <c r="AM312" t="str">
        <f t="shared" si="265"/>
        <v>1-0.894277828162022i</v>
      </c>
      <c r="AN312">
        <f t="shared" si="285"/>
        <v>1.341541215893937</v>
      </c>
      <c r="AO312">
        <f t="shared" si="286"/>
        <v>-0.72964467071367023</v>
      </c>
      <c r="AP312" s="41" t="str">
        <f t="shared" si="287"/>
        <v>0.0338506085257662-3.22061372840925i</v>
      </c>
      <c r="AQ312">
        <f t="shared" si="288"/>
        <v>10.159252548173397</v>
      </c>
      <c r="AR312" s="43">
        <f t="shared" si="289"/>
        <v>-89.397808694195618</v>
      </c>
      <c r="AS312" t="str">
        <f t="shared" si="266"/>
        <v>-0.0000166666666666667</v>
      </c>
      <c r="AT312" t="str">
        <f t="shared" si="267"/>
        <v>0.000186062471471015i</v>
      </c>
      <c r="AU312">
        <f t="shared" si="290"/>
        <v>1.86062471471015E-4</v>
      </c>
      <c r="AV312">
        <f t="shared" si="291"/>
        <v>1.5707963267948966</v>
      </c>
      <c r="AW312" t="str">
        <f t="shared" si="268"/>
        <v>1+0.189088400937845i</v>
      </c>
      <c r="AX312">
        <f t="shared" si="292"/>
        <v>1.0177202087849251</v>
      </c>
      <c r="AY312">
        <f t="shared" si="293"/>
        <v>0.18688196268634555</v>
      </c>
      <c r="AZ312" t="str">
        <f t="shared" si="269"/>
        <v>1+6.42900563188672i</v>
      </c>
      <c r="BA312">
        <f t="shared" si="294"/>
        <v>6.5063133504951303</v>
      </c>
      <c r="BB312">
        <f t="shared" si="295"/>
        <v>1.4164878086120058</v>
      </c>
      <c r="BC312" s="41" t="str">
        <f t="shared" si="296"/>
        <v>-0.539649770319104+0.191617161297924i</v>
      </c>
      <c r="BD312">
        <f t="shared" si="297"/>
        <v>-4.8420691726853518</v>
      </c>
      <c r="BE312" s="43">
        <f t="shared" si="298"/>
        <v>160.45122543615366</v>
      </c>
      <c r="BF312" s="41" t="str">
        <f t="shared" si="299"/>
        <v>1.16464411109128+0.337719775406475i</v>
      </c>
      <c r="BG312" s="20">
        <f t="shared" si="300"/>
        <v>1.6745042478483061</v>
      </c>
      <c r="BH312" s="43">
        <f t="shared" si="301"/>
        <v>16.170932997867446</v>
      </c>
      <c r="BI312" s="41" t="str">
        <f t="shared" si="306"/>
        <v>0.598857387158812+1.74448981633652i</v>
      </c>
      <c r="BJ312" s="20">
        <f t="shared" si="302"/>
        <v>5.3171833754880469</v>
      </c>
      <c r="BK312" s="43">
        <f t="shared" si="307"/>
        <v>71.053416741958046</v>
      </c>
      <c r="BL312">
        <f t="shared" si="303"/>
        <v>1.6745042478483061</v>
      </c>
      <c r="BM312" s="43">
        <f t="shared" si="304"/>
        <v>16.170932997867446</v>
      </c>
    </row>
    <row r="313" spans="14:65" x14ac:dyDescent="0.25">
      <c r="N313" s="9">
        <v>95</v>
      </c>
      <c r="O313" s="34">
        <f t="shared" si="305"/>
        <v>8912.5093813374679</v>
      </c>
      <c r="P313" s="33" t="str">
        <f t="shared" si="257"/>
        <v>16.5157725627975</v>
      </c>
      <c r="Q313" s="4" t="str">
        <f t="shared" si="258"/>
        <v>1+144.89565591827i</v>
      </c>
      <c r="R313" s="4">
        <f t="shared" si="270"/>
        <v>144.89910663625807</v>
      </c>
      <c r="S313" s="4">
        <f t="shared" si="271"/>
        <v>1.5638949182113744</v>
      </c>
      <c r="T313" s="4" t="str">
        <f t="shared" si="259"/>
        <v>1+0.921182694516431i</v>
      </c>
      <c r="U313" s="4">
        <f t="shared" si="272"/>
        <v>1.3596240497566054</v>
      </c>
      <c r="V313" s="4">
        <f t="shared" si="273"/>
        <v>0.74439574775557904</v>
      </c>
      <c r="W313" t="str">
        <f t="shared" si="260"/>
        <v>1-13.99973699873i</v>
      </c>
      <c r="X313" s="4">
        <f t="shared" si="274"/>
        <v>14.035406514725882</v>
      </c>
      <c r="Y313" s="4">
        <f t="shared" si="275"/>
        <v>-1.4994875269528261</v>
      </c>
      <c r="Z313" t="str">
        <f t="shared" si="261"/>
        <v>0.998358825961313+0.195996317982219i</v>
      </c>
      <c r="AA313" s="4">
        <f t="shared" si="276"/>
        <v>1.0174157960428167</v>
      </c>
      <c r="AB313" s="4">
        <f t="shared" si="277"/>
        <v>0.19385317328547058</v>
      </c>
      <c r="AC313" s="47" t="str">
        <f t="shared" si="278"/>
        <v>-1.72901636751731-1.25735144955951i</v>
      </c>
      <c r="AD313" s="20">
        <f t="shared" si="279"/>
        <v>6.5995708709908616</v>
      </c>
      <c r="AE313" s="43">
        <f t="shared" si="280"/>
        <v>-143.97511918297107</v>
      </c>
      <c r="AF313" t="str">
        <f t="shared" si="262"/>
        <v>247.084651286898</v>
      </c>
      <c r="AG313" t="str">
        <f t="shared" si="263"/>
        <v>1+141.697223506046i</v>
      </c>
      <c r="AH313">
        <f t="shared" si="281"/>
        <v>141.70075211276173</v>
      </c>
      <c r="AI313">
        <f t="shared" si="282"/>
        <v>1.5637391426531089</v>
      </c>
      <c r="AJ313" t="str">
        <f t="shared" si="264"/>
        <v>1+0.921182694516431i</v>
      </c>
      <c r="AK313">
        <f t="shared" si="283"/>
        <v>1.3596240497566054</v>
      </c>
      <c r="AL313">
        <f t="shared" si="284"/>
        <v>0.74439574775557904</v>
      </c>
      <c r="AM313" t="str">
        <f t="shared" si="265"/>
        <v>1-0.915108234710249i</v>
      </c>
      <c r="AN313">
        <f t="shared" si="285"/>
        <v>1.3555157989616013</v>
      </c>
      <c r="AO313">
        <f t="shared" si="286"/>
        <v>-0.74109976426800583</v>
      </c>
      <c r="AP313" s="41" t="str">
        <f t="shared" si="287"/>
        <v>0.0332707447019587-3.21346636527929i</v>
      </c>
      <c r="AQ313">
        <f t="shared" si="288"/>
        <v>10.139940692137868</v>
      </c>
      <c r="AR313" s="43">
        <f t="shared" si="289"/>
        <v>-89.406807190246155</v>
      </c>
      <c r="AS313" t="str">
        <f t="shared" si="266"/>
        <v>-0.0000166666666666667</v>
      </c>
      <c r="AT313" t="str">
        <f t="shared" si="267"/>
        <v>0.000190396423182727i</v>
      </c>
      <c r="AU313">
        <f t="shared" si="290"/>
        <v>1.9039642318272699E-4</v>
      </c>
      <c r="AV313">
        <f t="shared" si="291"/>
        <v>1.5707963267948966</v>
      </c>
      <c r="AW313" t="str">
        <f t="shared" si="268"/>
        <v>1+0.19349283560127i</v>
      </c>
      <c r="AX313">
        <f t="shared" si="292"/>
        <v>1.0185477295782559</v>
      </c>
      <c r="AY313">
        <f t="shared" si="293"/>
        <v>0.19113091341807906</v>
      </c>
      <c r="AZ313" t="str">
        <f t="shared" si="269"/>
        <v>1+6.57875641044318i</v>
      </c>
      <c r="BA313">
        <f t="shared" si="294"/>
        <v>6.6543246019372422</v>
      </c>
      <c r="BB313">
        <f t="shared" si="295"/>
        <v>1.4199466527890083</v>
      </c>
      <c r="BC313" s="41" t="str">
        <f t="shared" si="296"/>
        <v>-0.538773247826831+0.191785421920319i</v>
      </c>
      <c r="BD313">
        <f t="shared" si="297"/>
        <v>-4.8537487725238702</v>
      </c>
      <c r="BE313" s="43">
        <f t="shared" si="298"/>
        <v>160.40595566520193</v>
      </c>
      <c r="BF313" s="41" t="str">
        <f t="shared" si="299"/>
        <v>1.17268944212895+0.345827190587506i</v>
      </c>
      <c r="BG313" s="20">
        <f t="shared" si="300"/>
        <v>1.7458220984670183</v>
      </c>
      <c r="BH313" s="43">
        <f t="shared" si="301"/>
        <v>16.430836482230799</v>
      </c>
      <c r="BI313" s="41" t="str">
        <f t="shared" si="306"/>
        <v>0.598370615511151+1.73771055421407i</v>
      </c>
      <c r="BJ313" s="20">
        <f t="shared" si="302"/>
        <v>5.2861919196139864</v>
      </c>
      <c r="BK313" s="43">
        <f t="shared" si="307"/>
        <v>70.999148474955746</v>
      </c>
      <c r="BL313">
        <f t="shared" si="303"/>
        <v>1.7458220984670183</v>
      </c>
      <c r="BM313" s="43">
        <f t="shared" si="304"/>
        <v>16.430836482230799</v>
      </c>
    </row>
    <row r="314" spans="14:65" x14ac:dyDescent="0.25">
      <c r="N314" s="9">
        <v>96</v>
      </c>
      <c r="O314" s="34">
        <f t="shared" si="305"/>
        <v>9120.1083935591087</v>
      </c>
      <c r="P314" s="33" t="str">
        <f t="shared" si="257"/>
        <v>16.5157725627975</v>
      </c>
      <c r="Q314" s="4" t="str">
        <f t="shared" si="258"/>
        <v>1+148.270709313089i</v>
      </c>
      <c r="R314" s="4">
        <f t="shared" si="270"/>
        <v>148.27408148495317</v>
      </c>
      <c r="S314" s="4">
        <f t="shared" si="271"/>
        <v>1.5640520086308825</v>
      </c>
      <c r="T314" s="4" t="str">
        <f t="shared" si="259"/>
        <v>1+0.942639795908966i</v>
      </c>
      <c r="U314" s="4">
        <f t="shared" si="272"/>
        <v>1.3742524458160141</v>
      </c>
      <c r="V314" s="4">
        <f t="shared" si="273"/>
        <v>0.75587980220391304</v>
      </c>
      <c r="W314" t="str">
        <f t="shared" si="260"/>
        <v>1-14.3258327645739i</v>
      </c>
      <c r="X314" s="4">
        <f t="shared" si="274"/>
        <v>14.360692337019794</v>
      </c>
      <c r="Y314" s="4">
        <f t="shared" si="275"/>
        <v>-1.5011054019946739</v>
      </c>
      <c r="Z314" t="str">
        <f t="shared" si="261"/>
        <v>0.998281479811771+0.200561658704035i</v>
      </c>
      <c r="AA314" s="4">
        <f t="shared" si="276"/>
        <v>1.01822929238816</v>
      </c>
      <c r="AB314" s="4">
        <f t="shared" si="277"/>
        <v>0.19826744728044232</v>
      </c>
      <c r="AC314" s="47" t="str">
        <f t="shared" si="278"/>
        <v>-1.73927788042587-1.27894746012141i</v>
      </c>
      <c r="AD314" s="20">
        <f t="shared" si="279"/>
        <v>6.6845992228036142</v>
      </c>
      <c r="AE314" s="43">
        <f t="shared" si="280"/>
        <v>-143.67174863062661</v>
      </c>
      <c r="AF314" t="str">
        <f t="shared" si="262"/>
        <v>247.084651286898</v>
      </c>
      <c r="AG314" t="str">
        <f t="shared" si="263"/>
        <v>1+144.997775839376i</v>
      </c>
      <c r="AH314">
        <f t="shared" si="281"/>
        <v>145.00122412712912</v>
      </c>
      <c r="AI314">
        <f t="shared" si="282"/>
        <v>1.5638997786234825</v>
      </c>
      <c r="AJ314" t="str">
        <f t="shared" si="264"/>
        <v>1+0.942639795908966i</v>
      </c>
      <c r="AK314">
        <f t="shared" si="283"/>
        <v>1.3742524458160141</v>
      </c>
      <c r="AL314">
        <f t="shared" si="284"/>
        <v>0.75587980220391304</v>
      </c>
      <c r="AM314" t="str">
        <f t="shared" si="265"/>
        <v>1-0.936423843757409i</v>
      </c>
      <c r="AN314">
        <f t="shared" si="285"/>
        <v>1.3699962099062173</v>
      </c>
      <c r="AO314">
        <f t="shared" si="286"/>
        <v>-0.75257821655972945</v>
      </c>
      <c r="AP314" s="41" t="str">
        <f t="shared" si="287"/>
        <v>0.032716976508279-3.20802245610604i</v>
      </c>
      <c r="AQ314">
        <f t="shared" si="288"/>
        <v>10.125199676031167</v>
      </c>
      <c r="AR314" s="43">
        <f t="shared" si="289"/>
        <v>-89.415689973456608</v>
      </c>
      <c r="AS314" t="str">
        <f t="shared" si="266"/>
        <v>-0.0000166666666666667</v>
      </c>
      <c r="AT314" t="str">
        <f t="shared" si="267"/>
        <v>0.000194831325598206i</v>
      </c>
      <c r="AU314">
        <f t="shared" si="290"/>
        <v>1.94831325598206E-4</v>
      </c>
      <c r="AV314">
        <f t="shared" si="291"/>
        <v>1.5707963267948966</v>
      </c>
      <c r="AW314" t="str">
        <f t="shared" si="268"/>
        <v>1+0.197999862727311i</v>
      </c>
      <c r="AX314">
        <f t="shared" si="292"/>
        <v>1.0194135302417924</v>
      </c>
      <c r="AY314">
        <f t="shared" si="293"/>
        <v>0.19547161327655788</v>
      </c>
      <c r="AZ314" t="str">
        <f t="shared" si="269"/>
        <v>1+6.73199533272859i</v>
      </c>
      <c r="BA314">
        <f t="shared" si="294"/>
        <v>6.8058622642453992</v>
      </c>
      <c r="BB314">
        <f t="shared" si="295"/>
        <v>1.4233302821107607</v>
      </c>
      <c r="BC314" s="41" t="str">
        <f t="shared" si="296"/>
        <v>-0.537858462742799+0.192039982627382i</v>
      </c>
      <c r="BD314">
        <f t="shared" si="297"/>
        <v>-4.8655454720333227</v>
      </c>
      <c r="BE314" s="43">
        <f t="shared" si="298"/>
        <v>160.35111956275117</v>
      </c>
      <c r="BF314" s="41" t="str">
        <f t="shared" si="299"/>
        <v>1.18109437507146+0.353881820888535i</v>
      </c>
      <c r="BG314" s="20">
        <f t="shared" si="300"/>
        <v>1.8190537507702784</v>
      </c>
      <c r="BH314" s="43">
        <f t="shared" si="301"/>
        <v>16.679370932124606</v>
      </c>
      <c r="BI314" s="41" t="str">
        <f t="shared" si="306"/>
        <v>0.59847147404852+1.73174499428584i</v>
      </c>
      <c r="BJ314" s="20">
        <f t="shared" si="302"/>
        <v>5.259654203997826</v>
      </c>
      <c r="BK314" s="43">
        <f t="shared" si="307"/>
        <v>70.935429589294543</v>
      </c>
      <c r="BL314">
        <f t="shared" si="303"/>
        <v>1.8190537507702784</v>
      </c>
      <c r="BM314" s="43">
        <f t="shared" si="304"/>
        <v>16.679370932124606</v>
      </c>
    </row>
    <row r="315" spans="14:65" x14ac:dyDescent="0.25">
      <c r="N315" s="9">
        <v>97</v>
      </c>
      <c r="O315" s="34">
        <f t="shared" si="305"/>
        <v>9332.5430079699217</v>
      </c>
      <c r="P315" s="33" t="str">
        <f t="shared" si="257"/>
        <v>16.5157725627975</v>
      </c>
      <c r="Q315" s="4" t="str">
        <f t="shared" si="258"/>
        <v>1+151.72437780058i</v>
      </c>
      <c r="R315" s="4">
        <f t="shared" si="270"/>
        <v>151.72767321412772</v>
      </c>
      <c r="S315" s="4">
        <f t="shared" si="271"/>
        <v>1.5642055235575292</v>
      </c>
      <c r="T315" s="4" t="str">
        <f t="shared" si="259"/>
        <v>1+0.964596697398605i</v>
      </c>
      <c r="U315" s="4">
        <f t="shared" si="272"/>
        <v>1.389405192387122</v>
      </c>
      <c r="V315" s="4">
        <f t="shared" si="273"/>
        <v>0.76737946721331662</v>
      </c>
      <c r="W315" t="str">
        <f t="shared" si="260"/>
        <v>1-14.6595242765745i</v>
      </c>
      <c r="X315" s="4">
        <f t="shared" si="274"/>
        <v>14.693592209377432</v>
      </c>
      <c r="Y315" s="4">
        <f t="shared" si="275"/>
        <v>-1.5026868028891081</v>
      </c>
      <c r="Z315" t="str">
        <f t="shared" si="261"/>
        <v>0.998200488450504+0.205233339872044i</v>
      </c>
      <c r="AA315" s="4">
        <f t="shared" si="276"/>
        <v>1.0190804379134448</v>
      </c>
      <c r="AB315" s="4">
        <f t="shared" si="277"/>
        <v>0.20277752134340715</v>
      </c>
      <c r="AC315" s="47" t="str">
        <f t="shared" si="278"/>
        <v>-1.74998448008818-1.30104324515922i</v>
      </c>
      <c r="AD315" s="20">
        <f t="shared" si="279"/>
        <v>6.7716506202432321</v>
      </c>
      <c r="AE315" s="43">
        <f t="shared" si="280"/>
        <v>-143.37067792323109</v>
      </c>
      <c r="AF315" t="str">
        <f t="shared" si="262"/>
        <v>247.084651286898</v>
      </c>
      <c r="AG315" t="str">
        <f t="shared" si="263"/>
        <v>1+148.375207912729i</v>
      </c>
      <c r="AH315">
        <f t="shared" si="281"/>
        <v>148.37857770967329</v>
      </c>
      <c r="AI315">
        <f t="shared" si="282"/>
        <v>1.5640567584166785</v>
      </c>
      <c r="AJ315" t="str">
        <f t="shared" si="264"/>
        <v>1+0.964596697398605i</v>
      </c>
      <c r="AK315">
        <f t="shared" si="283"/>
        <v>1.389405192387122</v>
      </c>
      <c r="AL315">
        <f t="shared" si="284"/>
        <v>0.76737946721331662</v>
      </c>
      <c r="AM315" t="str">
        <f t="shared" si="265"/>
        <v>1-0.958235957121565i</v>
      </c>
      <c r="AN315">
        <f t="shared" si="285"/>
        <v>1.384996804877427</v>
      </c>
      <c r="AO315">
        <f t="shared" si="286"/>
        <v>-0.76407401590149182</v>
      </c>
      <c r="AP315" s="41" t="str">
        <f t="shared" si="287"/>
        <v>0.0321881296714654-3.2042791390466i</v>
      </c>
      <c r="AQ315">
        <f t="shared" si="288"/>
        <v>10.115045068803202</v>
      </c>
      <c r="AR315" s="43">
        <f t="shared" si="289"/>
        <v>-89.424462766634733</v>
      </c>
      <c r="AS315" t="str">
        <f t="shared" si="266"/>
        <v>-0.0000166666666666667</v>
      </c>
      <c r="AT315" t="str">
        <f t="shared" si="267"/>
        <v>0.000199369530161414i</v>
      </c>
      <c r="AU315">
        <f t="shared" si="290"/>
        <v>1.99369530161414E-4</v>
      </c>
      <c r="AV315">
        <f t="shared" si="291"/>
        <v>1.5707963267948966</v>
      </c>
      <c r="AW315" t="str">
        <f t="shared" si="268"/>
        <v>1+0.202611872001409i</v>
      </c>
      <c r="AX315">
        <f t="shared" si="292"/>
        <v>1.020319347398605</v>
      </c>
      <c r="AY315">
        <f t="shared" si="293"/>
        <v>0.19990570915564773</v>
      </c>
      <c r="AZ315" t="str">
        <f t="shared" si="269"/>
        <v>1+6.88880364804791i</v>
      </c>
      <c r="BA315">
        <f t="shared" si="294"/>
        <v>6.9610068022778284</v>
      </c>
      <c r="BB315">
        <f t="shared" si="295"/>
        <v>1.4266401805500757</v>
      </c>
      <c r="BC315" s="41" t="str">
        <f t="shared" si="296"/>
        <v>-0.536903888743283+0.192379961810054i</v>
      </c>
      <c r="BD315">
        <f t="shared" si="297"/>
        <v>-4.8774819899580812</v>
      </c>
      <c r="BE315" s="43">
        <f t="shared" si="298"/>
        <v>160.28670779411266</v>
      </c>
      <c r="BF315" s="41" t="str">
        <f t="shared" si="299"/>
        <v>1.1898681224167+0.361873230301614i</v>
      </c>
      <c r="BG315" s="20">
        <f t="shared" si="300"/>
        <v>1.8941686302851803</v>
      </c>
      <c r="BH315" s="43">
        <f t="shared" si="301"/>
        <v>16.916029870881509</v>
      </c>
      <c r="BI315" s="41" t="str">
        <f t="shared" si="306"/>
        <v>0.599157166406555+1.72658228153003i</v>
      </c>
      <c r="BJ315" s="20">
        <f t="shared" si="302"/>
        <v>5.2375630788451097</v>
      </c>
      <c r="BK315" s="43">
        <f t="shared" si="307"/>
        <v>70.862245027477925</v>
      </c>
      <c r="BL315">
        <f t="shared" si="303"/>
        <v>1.8941686302851803</v>
      </c>
      <c r="BM315" s="43">
        <f t="shared" si="304"/>
        <v>16.916029870881509</v>
      </c>
    </row>
    <row r="316" spans="14:65" x14ac:dyDescent="0.25">
      <c r="N316" s="9">
        <v>98</v>
      </c>
      <c r="O316" s="34">
        <f t="shared" si="305"/>
        <v>9549.9258602143691</v>
      </c>
      <c r="P316" s="33" t="str">
        <f t="shared" si="257"/>
        <v>16.5157725627975</v>
      </c>
      <c r="Q316" s="4" t="str">
        <f t="shared" si="258"/>
        <v>1+155.258492561491i</v>
      </c>
      <c r="R316" s="4">
        <f t="shared" si="270"/>
        <v>155.26171296384231</v>
      </c>
      <c r="S316" s="4">
        <f t="shared" si="271"/>
        <v>1.5643555443580008</v>
      </c>
      <c r="T316" s="4" t="str">
        <f t="shared" si="259"/>
        <v>1+0.987065040825152i</v>
      </c>
      <c r="U316" s="4">
        <f t="shared" si="272"/>
        <v>1.4050969343141986</v>
      </c>
      <c r="V316" s="4">
        <f t="shared" si="273"/>
        <v>0.77888867517787708</v>
      </c>
      <c r="W316" t="str">
        <f t="shared" si="260"/>
        <v>1-15.0009884623883i</v>
      </c>
      <c r="X316" s="4">
        <f t="shared" si="274"/>
        <v>15.034282651616833</v>
      </c>
      <c r="Y316" s="4">
        <f t="shared" si="275"/>
        <v>-1.504232536459531</v>
      </c>
      <c r="Z316" t="str">
        <f t="shared" si="261"/>
        <v>0.998115680083975+0.210013838473436i</v>
      </c>
      <c r="AA316" s="4">
        <f t="shared" si="276"/>
        <v>1.0199709423213204</v>
      </c>
      <c r="AB316" s="4">
        <f t="shared" si="277"/>
        <v>0.20738514982448836</v>
      </c>
      <c r="AC316" s="47" t="str">
        <f t="shared" si="278"/>
        <v>-1.76115412104431-1.32363872268836i</v>
      </c>
      <c r="AD316" s="20">
        <f t="shared" si="279"/>
        <v>6.860714360202806</v>
      </c>
      <c r="AE316" s="43">
        <f t="shared" si="280"/>
        <v>-143.07240611539675</v>
      </c>
      <c r="AF316" t="str">
        <f t="shared" si="262"/>
        <v>247.084651286898</v>
      </c>
      <c r="AG316" t="str">
        <f t="shared" si="263"/>
        <v>1+151.831310485296i</v>
      </c>
      <c r="AH316">
        <f t="shared" si="281"/>
        <v>151.83460357798006</v>
      </c>
      <c r="AI316">
        <f t="shared" si="282"/>
        <v>1.5642101652344962</v>
      </c>
      <c r="AJ316" t="str">
        <f t="shared" si="264"/>
        <v>1+0.987065040825152i</v>
      </c>
      <c r="AK316">
        <f t="shared" si="283"/>
        <v>1.4050969343141986</v>
      </c>
      <c r="AL316">
        <f t="shared" si="284"/>
        <v>0.77888867517787708</v>
      </c>
      <c r="AM316" t="str">
        <f t="shared" si="265"/>
        <v>1-0.980556139873938i</v>
      </c>
      <c r="AN316">
        <f t="shared" si="285"/>
        <v>1.4005321643734134</v>
      </c>
      <c r="AO316">
        <f t="shared" si="286"/>
        <v>-0.7755811048960779</v>
      </c>
      <c r="AP316" s="41" t="str">
        <f t="shared" si="287"/>
        <v>0.0316830827495956-3.20223445229352i</v>
      </c>
      <c r="AQ316">
        <f t="shared" si="288"/>
        <v>10.109487634377514</v>
      </c>
      <c r="AR316" s="43">
        <f t="shared" si="289"/>
        <v>-89.433130921807759</v>
      </c>
      <c r="AS316" t="str">
        <f t="shared" si="266"/>
        <v>-0.0000166666666666667</v>
      </c>
      <c r="AT316" t="str">
        <f t="shared" si="267"/>
        <v>0.000204013443088481i</v>
      </c>
      <c r="AU316">
        <f t="shared" si="290"/>
        <v>2.0401344308848101E-4</v>
      </c>
      <c r="AV316">
        <f t="shared" si="291"/>
        <v>1.5707963267948966</v>
      </c>
      <c r="AW316" t="str">
        <f t="shared" si="268"/>
        <v>1+0.207331308771927i</v>
      </c>
      <c r="AX316">
        <f t="shared" si="292"/>
        <v>1.0212669932966012</v>
      </c>
      <c r="AY316">
        <f t="shared" si="293"/>
        <v>0.20443485430222513</v>
      </c>
      <c r="AZ316" t="str">
        <f t="shared" si="269"/>
        <v>1+7.04926449824552i</v>
      </c>
      <c r="BA316">
        <f t="shared" si="294"/>
        <v>7.1198405857311631</v>
      </c>
      <c r="BB316">
        <f t="shared" si="295"/>
        <v>1.4298778128173402</v>
      </c>
      <c r="BC316" s="41" t="str">
        <f t="shared" si="296"/>
        <v>-0.535907951906514+0.192804460027972i</v>
      </c>
      <c r="BD316">
        <f t="shared" si="297"/>
        <v>-4.8895812393315268</v>
      </c>
      <c r="BE316" s="43">
        <f t="shared" si="298"/>
        <v>160.21270955694135</v>
      </c>
      <c r="BF316" s="41" t="str">
        <f t="shared" si="299"/>
        <v>1.19901994720062+0.369790147606087i</v>
      </c>
      <c r="BG316" s="20">
        <f t="shared" si="300"/>
        <v>1.9711331208712997</v>
      </c>
      <c r="BH316" s="43">
        <f t="shared" si="301"/>
        <v>17.140303441544553</v>
      </c>
      <c r="BI316" s="41" t="str">
        <f t="shared" si="306"/>
        <v>0.600425868471+1.72221154651466i</v>
      </c>
      <c r="BJ316" s="20">
        <f t="shared" si="302"/>
        <v>5.2199063950460083</v>
      </c>
      <c r="BK316" s="43">
        <f t="shared" si="307"/>
        <v>70.779578635133632</v>
      </c>
      <c r="BL316">
        <f t="shared" si="303"/>
        <v>1.9711331208712997</v>
      </c>
      <c r="BM316" s="43">
        <f t="shared" si="304"/>
        <v>17.140303441544553</v>
      </c>
    </row>
    <row r="317" spans="14:65" x14ac:dyDescent="0.25">
      <c r="N317" s="9">
        <v>99</v>
      </c>
      <c r="O317" s="34">
        <f t="shared" si="305"/>
        <v>9772.3722095581161</v>
      </c>
      <c r="P317" s="33" t="str">
        <f t="shared" si="257"/>
        <v>16.5157725627975</v>
      </c>
      <c r="Q317" s="4" t="str">
        <f t="shared" si="258"/>
        <v>1+158.874927430248i</v>
      </c>
      <c r="R317" s="4">
        <f t="shared" si="270"/>
        <v>158.87807452876112</v>
      </c>
      <c r="S317" s="4">
        <f t="shared" si="271"/>
        <v>1.5645021505482852</v>
      </c>
      <c r="T317" s="4" t="str">
        <f t="shared" si="259"/>
        <v>1+1.01005673920169i</v>
      </c>
      <c r="U317" s="4">
        <f t="shared" si="272"/>
        <v>1.4213425401382844</v>
      </c>
      <c r="V317" s="4">
        <f t="shared" si="273"/>
        <v>0.79040133325477724</v>
      </c>
      <c r="W317" t="str">
        <f t="shared" si="260"/>
        <v>1-15.3504063708464i</v>
      </c>
      <c r="X317" s="4">
        <f t="shared" si="274"/>
        <v>15.382944313431086</v>
      </c>
      <c r="Y317" s="4">
        <f t="shared" si="275"/>
        <v>-1.5057433927120472</v>
      </c>
      <c r="Z317" t="str">
        <f t="shared" si="261"/>
        <v>0.99802687482227+0.21490568919185i</v>
      </c>
      <c r="AA317" s="4">
        <f t="shared" si="276"/>
        <v>1.0209025899244899</v>
      </c>
      <c r="AB317" s="4">
        <f t="shared" si="277"/>
        <v>0.21209209672860077</v>
      </c>
      <c r="AC317" s="47" t="str">
        <f t="shared" si="278"/>
        <v>-1.77280531667714-1.34673334083663i</v>
      </c>
      <c r="AD317" s="20">
        <f t="shared" si="279"/>
        <v>6.9517768500683053</v>
      </c>
      <c r="AE317" s="43">
        <f t="shared" si="280"/>
        <v>-142.7774331912847</v>
      </c>
      <c r="AF317" t="str">
        <f t="shared" si="262"/>
        <v>247.084651286898</v>
      </c>
      <c r="AG317" t="str">
        <f t="shared" si="263"/>
        <v>1+155.367916028407i</v>
      </c>
      <c r="AH317">
        <f t="shared" si="281"/>
        <v>155.37113416272061</v>
      </c>
      <c r="AI317">
        <f t="shared" si="282"/>
        <v>1.5643600803863627</v>
      </c>
      <c r="AJ317" t="str">
        <f t="shared" si="264"/>
        <v>1+1.01005673920169i</v>
      </c>
      <c r="AK317">
        <f t="shared" si="283"/>
        <v>1.4213425401382844</v>
      </c>
      <c r="AL317">
        <f t="shared" si="284"/>
        <v>0.79040133325477724</v>
      </c>
      <c r="AM317" t="str">
        <f t="shared" si="265"/>
        <v>1-1.00339622647087i</v>
      </c>
      <c r="AN317">
        <f t="shared" si="285"/>
        <v>1.4166170926880635</v>
      </c>
      <c r="AO317">
        <f t="shared" si="286"/>
        <v>-0.78709339630875164</v>
      </c>
      <c r="AP317" s="41" t="str">
        <f t="shared" si="287"/>
        <v>0.0312007647559901-3.20188733314415i</v>
      </c>
      <c r="AQ317">
        <f t="shared" si="288"/>
        <v>10.10853328636089</v>
      </c>
      <c r="AR317" s="43">
        <f t="shared" si="289"/>
        <v>-89.441699418982097</v>
      </c>
      <c r="AS317" t="str">
        <f t="shared" si="266"/>
        <v>-0.0000166666666666667</v>
      </c>
      <c r="AT317" t="str">
        <f t="shared" si="267"/>
        <v>0.000208765526643511i</v>
      </c>
      <c r="AU317">
        <f t="shared" si="290"/>
        <v>2.08765526643511E-4</v>
      </c>
      <c r="AV317">
        <f t="shared" si="291"/>
        <v>1.5707963267948966</v>
      </c>
      <c r="AW317" t="str">
        <f t="shared" si="268"/>
        <v>1+0.21216067534671i</v>
      </c>
      <c r="AX317">
        <f t="shared" si="292"/>
        <v>1.0222583588132561</v>
      </c>
      <c r="AY317">
        <f t="shared" si="293"/>
        <v>0.20906070652181166</v>
      </c>
      <c r="AZ317" t="str">
        <f t="shared" si="269"/>
        <v>1+7.21346296178815i</v>
      </c>
      <c r="BA317">
        <f t="shared" si="294"/>
        <v>7.2824479332906638</v>
      </c>
      <c r="BB317">
        <f t="shared" si="295"/>
        <v>1.4330446239046055</v>
      </c>
      <c r="BC317" s="41" t="str">
        <f t="shared" si="296"/>
        <v>-0.534869030490196+0.193312556080242i</v>
      </c>
      <c r="BD317">
        <f t="shared" si="297"/>
        <v>-4.9018663579379655</v>
      </c>
      <c r="BE317" s="43">
        <f t="shared" si="298"/>
        <v>160.12911265792326</v>
      </c>
      <c r="BF317" s="41" t="str">
        <f t="shared" si="299"/>
        <v>1.20855912545458+0.37762042914261i</v>
      </c>
      <c r="BG317" s="20">
        <f t="shared" si="300"/>
        <v>2.0499104921303419</v>
      </c>
      <c r="BH317" s="43">
        <f t="shared" si="301"/>
        <v>17.351679466638558</v>
      </c>
      <c r="BI317" s="41" t="str">
        <f t="shared" si="306"/>
        <v>0.602276701855456+1.71862187320429i</v>
      </c>
      <c r="BJ317" s="20">
        <f t="shared" si="302"/>
        <v>5.2066669284229272</v>
      </c>
      <c r="BK317" s="43">
        <f t="shared" si="307"/>
        <v>70.68741323894119</v>
      </c>
      <c r="BL317">
        <f t="shared" si="303"/>
        <v>2.0499104921303419</v>
      </c>
      <c r="BM317" s="43">
        <f t="shared" si="304"/>
        <v>17.351679466638558</v>
      </c>
    </row>
    <row r="318" spans="14:65" x14ac:dyDescent="0.25">
      <c r="N318" s="9">
        <v>100</v>
      </c>
      <c r="O318" s="34">
        <f t="shared" si="305"/>
        <v>10000</v>
      </c>
      <c r="P318" s="33" t="str">
        <f t="shared" si="257"/>
        <v>16.5157725627975</v>
      </c>
      <c r="Q318" s="4" t="str">
        <f t="shared" si="258"/>
        <v>1+162.575599888486i</v>
      </c>
      <c r="R318" s="4">
        <f t="shared" si="270"/>
        <v>162.57867535166196</v>
      </c>
      <c r="S318" s="4">
        <f t="shared" si="271"/>
        <v>1.5646454198357016</v>
      </c>
      <c r="T318" s="4" t="str">
        <f t="shared" si="259"/>
        <v>1+1.03358398303104i</v>
      </c>
      <c r="U318" s="4">
        <f t="shared" si="272"/>
        <v>1.4381571019809725</v>
      </c>
      <c r="V318" s="4">
        <f t="shared" si="273"/>
        <v>0.80191133946482485</v>
      </c>
      <c r="W318" t="str">
        <f t="shared" si="260"/>
        <v>1-15.707963267949i</v>
      </c>
      <c r="X318" s="4">
        <f t="shared" si="274"/>
        <v>15.73976207022314</v>
      </c>
      <c r="Y318" s="4">
        <f t="shared" si="275"/>
        <v>-1.5072201451166136</v>
      </c>
      <c r="Z318" t="str">
        <f t="shared" si="261"/>
        <v>0.997933884297521+0.219911485751285i</v>
      </c>
      <c r="AA318" s="4">
        <f t="shared" si="276"/>
        <v>1.0218772426248055</v>
      </c>
      <c r="AB318" s="4">
        <f t="shared" si="277"/>
        <v>0.21690013403989042</v>
      </c>
      <c r="AC318" s="47" t="str">
        <f t="shared" si="278"/>
        <v>-1.78495714254132-1.37032603712808i</v>
      </c>
      <c r="AD318" s="20">
        <f t="shared" si="279"/>
        <v>7.0448215758475428</v>
      </c>
      <c r="AE318" s="43">
        <f t="shared" si="280"/>
        <v>-142.48625906462826</v>
      </c>
      <c r="AF318" t="str">
        <f t="shared" si="262"/>
        <v>247.084651286898</v>
      </c>
      <c r="AG318" t="str">
        <f t="shared" si="263"/>
        <v>1+158.986899697133i</v>
      </c>
      <c r="AH318">
        <f t="shared" si="281"/>
        <v>158.99004457923218</v>
      </c>
      <c r="AI318">
        <f t="shared" si="282"/>
        <v>1.564506583332306</v>
      </c>
      <c r="AJ318" t="str">
        <f t="shared" si="264"/>
        <v>1+1.03358398303104i</v>
      </c>
      <c r="AK318">
        <f t="shared" si="283"/>
        <v>1.4381571019809725</v>
      </c>
      <c r="AL318">
        <f t="shared" si="284"/>
        <v>0.80191133946482485</v>
      </c>
      <c r="AM318" t="str">
        <f t="shared" si="265"/>
        <v>1-1.02676832702859i</v>
      </c>
      <c r="AN318">
        <f t="shared" si="285"/>
        <v>1.4332666176915898</v>
      </c>
      <c r="AO318">
        <f t="shared" si="286"/>
        <v>-0.79860478913160138</v>
      </c>
      <c r="AP318" s="41" t="str">
        <f t="shared" si="287"/>
        <v>0.0307401528899949-3.20323761753934i</v>
      </c>
      <c r="AQ318">
        <f t="shared" si="288"/>
        <v>10.112183063144203</v>
      </c>
      <c r="AR318" s="43">
        <f t="shared" si="289"/>
        <v>-89.45017286653227</v>
      </c>
      <c r="AS318" t="str">
        <f t="shared" si="266"/>
        <v>-0.0000166666666666667</v>
      </c>
      <c r="AT318" t="str">
        <f t="shared" si="267"/>
        <v>0.000213628300444106i</v>
      </c>
      <c r="AU318">
        <f t="shared" si="290"/>
        <v>2.13628300444106E-4</v>
      </c>
      <c r="AV318">
        <f t="shared" si="291"/>
        <v>1.5707963267948966</v>
      </c>
      <c r="AW318" t="str">
        <f t="shared" si="268"/>
        <v>1+0.217102532319841i</v>
      </c>
      <c r="AX318">
        <f t="shared" si="292"/>
        <v>1.0232954165536401</v>
      </c>
      <c r="AY318">
        <f t="shared" si="293"/>
        <v>0.21378492624162446</v>
      </c>
      <c r="AZ318" t="str">
        <f t="shared" si="269"/>
        <v>1+7.38148609887458i</v>
      </c>
      <c r="BA318">
        <f t="shared" si="294"/>
        <v>7.4489151577849695</v>
      </c>
      <c r="BB318">
        <f t="shared" si="295"/>
        <v>1.4361420386920183</v>
      </c>
      <c r="BC318" s="41" t="str">
        <f t="shared" si="296"/>
        <v>-0.533785454849888+0.193903302930024i</v>
      </c>
      <c r="BD318">
        <f t="shared" si="297"/>
        <v>-4.914360738459763</v>
      </c>
      <c r="BE318" s="43">
        <f t="shared" si="298"/>
        <v>160.03590360120577</v>
      </c>
      <c r="BF318" s="41" t="str">
        <f t="shared" si="299"/>
        <v>1.21849490490912+0.385351021493757i</v>
      </c>
      <c r="BG318" s="20">
        <f t="shared" si="300"/>
        <v>2.1304608373877763</v>
      </c>
      <c r="BH318" s="43">
        <f t="shared" si="301"/>
        <v>17.54964453657751</v>
      </c>
      <c r="BI318" s="41" t="str">
        <f t="shared" si="306"/>
        <v>0.604709707618038+1.71580226584845i</v>
      </c>
      <c r="BJ318" s="20">
        <f t="shared" si="302"/>
        <v>5.1978223246844291</v>
      </c>
      <c r="BK318" s="43">
        <f t="shared" si="307"/>
        <v>70.58573073467349</v>
      </c>
      <c r="BL318">
        <f t="shared" si="303"/>
        <v>2.1304608373877763</v>
      </c>
      <c r="BM318" s="43">
        <f t="shared" si="304"/>
        <v>17.54964453657751</v>
      </c>
    </row>
    <row r="319" spans="14:65" x14ac:dyDescent="0.25">
      <c r="N319" s="9">
        <v>1</v>
      </c>
      <c r="O319" s="34">
        <f>10^(4+(N319/100))</f>
        <v>10232.929922807549</v>
      </c>
      <c r="P319" s="33" t="str">
        <f t="shared" si="257"/>
        <v>16.5157725627975</v>
      </c>
      <c r="Q319" s="4" t="str">
        <f t="shared" si="258"/>
        <v>1+166.362472081727i</v>
      </c>
      <c r="R319" s="4">
        <f t="shared" si="270"/>
        <v>166.36547754009362</v>
      </c>
      <c r="S319" s="4">
        <f t="shared" si="271"/>
        <v>1.5647854281599833</v>
      </c>
      <c r="T319" s="4" t="str">
        <f t="shared" si="259"/>
        <v>1+1.0576592467693i</v>
      </c>
      <c r="U319" s="4">
        <f t="shared" si="272"/>
        <v>1.4555559358116759</v>
      </c>
      <c r="V319" s="4">
        <f t="shared" si="273"/>
        <v>0.81341259885192252</v>
      </c>
      <c r="W319" t="str">
        <f t="shared" si="260"/>
        <v>1-16.0738487350957i</v>
      </c>
      <c r="X319" s="4">
        <f t="shared" si="274"/>
        <v>16.104925121177612</v>
      </c>
      <c r="Y319" s="4">
        <f t="shared" si="275"/>
        <v>-1.5086635508883965</v>
      </c>
      <c r="Z319" t="str">
        <f t="shared" si="261"/>
        <v>0.997836511264358+0.225033882291339i</v>
      </c>
      <c r="AA319" s="4">
        <f t="shared" si="276"/>
        <v>1.022896842986299</v>
      </c>
      <c r="AB319" s="4">
        <f t="shared" si="277"/>
        <v>0.22181103990778273</v>
      </c>
      <c r="AC319" s="47" t="str">
        <f t="shared" si="278"/>
        <v>-1.79762923807635-1.39441519588889i</v>
      </c>
      <c r="AD319" s="20">
        <f t="shared" si="279"/>
        <v>7.1398290806943434</v>
      </c>
      <c r="AE319" s="43">
        <f t="shared" si="280"/>
        <v>-142.19938256740457</v>
      </c>
      <c r="AF319" t="str">
        <f t="shared" si="262"/>
        <v>247.084651286898</v>
      </c>
      <c r="AG319" t="str">
        <f t="shared" si="263"/>
        <v>1+162.690180324519i</v>
      </c>
      <c r="AH319">
        <f t="shared" si="281"/>
        <v>162.69325362172984</v>
      </c>
      <c r="AI319">
        <f t="shared" si="282"/>
        <v>1.5646497517249576</v>
      </c>
      <c r="AJ319" t="str">
        <f t="shared" si="264"/>
        <v>1+1.0576592467693i</v>
      </c>
      <c r="AK319">
        <f t="shared" si="283"/>
        <v>1.4555559358116759</v>
      </c>
      <c r="AL319">
        <f t="shared" si="284"/>
        <v>0.81341259885192252</v>
      </c>
      <c r="AM319" t="str">
        <f t="shared" si="265"/>
        <v>1-1.05068483374419i</v>
      </c>
      <c r="AN319">
        <f t="shared" si="285"/>
        <v>1.4504959909837933</v>
      </c>
      <c r="AO319">
        <f t="shared" si="286"/>
        <v>-0.81010918473676763</v>
      </c>
      <c r="AP319" s="41" t="str">
        <f t="shared" si="287"/>
        <v>0.0303002703696-3.2062860400718i</v>
      </c>
      <c r="AQ319">
        <f t="shared" si="288"/>
        <v>10.120433123618538</v>
      </c>
      <c r="AR319" s="43">
        <f t="shared" si="289"/>
        <v>-89.458555503249855</v>
      </c>
      <c r="AS319" t="str">
        <f t="shared" si="266"/>
        <v>-0.0000166666666666667</v>
      </c>
      <c r="AT319" t="str">
        <f t="shared" si="267"/>
        <v>0.000218604342797301i</v>
      </c>
      <c r="AU319">
        <f t="shared" si="290"/>
        <v>2.18604342797301E-4</v>
      </c>
      <c r="AV319">
        <f t="shared" si="291"/>
        <v>1.5707963267948966</v>
      </c>
      <c r="AW319" t="str">
        <f t="shared" si="268"/>
        <v>1+0.222159499929299i</v>
      </c>
      <c r="AX319">
        <f t="shared" si="292"/>
        <v>1.024380224042243</v>
      </c>
      <c r="AY319">
        <f t="shared" si="293"/>
        <v>0.21860917442449759</v>
      </c>
      <c r="AZ319" t="str">
        <f t="shared" si="269"/>
        <v>1+7.55342299759616i</v>
      </c>
      <c r="BA319">
        <f t="shared" si="294"/>
        <v>7.6193306123710469</v>
      </c>
      <c r="BB319">
        <f t="shared" si="295"/>
        <v>1.4391714616124911</v>
      </c>
      <c r="BC319" s="41" t="str">
        <f t="shared" si="296"/>
        <v>-0.532655507513994+0.194575723482182i</v>
      </c>
      <c r="BD319">
        <f t="shared" si="297"/>
        <v>-4.927088058253835</v>
      </c>
      <c r="BE319" s="43">
        <f t="shared" si="298"/>
        <v>159.93306768870676</v>
      </c>
      <c r="BF319" s="41" t="str">
        <f t="shared" si="299"/>
        <v>1.22883645970418+0.392967924299993i</v>
      </c>
      <c r="BG319" s="20">
        <f t="shared" si="300"/>
        <v>2.212741022440496</v>
      </c>
      <c r="BH319" s="43">
        <f t="shared" si="301"/>
        <v>17.733685121302209</v>
      </c>
      <c r="BI319" s="41" t="str">
        <f t="shared" si="306"/>
        <v>0.60772582004626+1.71374161493835i</v>
      </c>
      <c r="BJ319" s="20">
        <f t="shared" si="302"/>
        <v>5.1933450653647037</v>
      </c>
      <c r="BK319" s="43">
        <f t="shared" si="307"/>
        <v>70.474512185456931</v>
      </c>
      <c r="BL319">
        <f t="shared" si="303"/>
        <v>2.212741022440496</v>
      </c>
      <c r="BM319" s="43">
        <f t="shared" si="304"/>
        <v>17.733685121302209</v>
      </c>
    </row>
    <row r="320" spans="14:65" x14ac:dyDescent="0.25">
      <c r="N320" s="9">
        <v>2</v>
      </c>
      <c r="O320" s="34">
        <f t="shared" ref="O320:O383" si="308">10^(4+(N320/100))</f>
        <v>10471.285480509003</v>
      </c>
      <c r="P320" s="33" t="str">
        <f t="shared" si="257"/>
        <v>16.5157725627975</v>
      </c>
      <c r="Q320" s="4" t="str">
        <f t="shared" si="258"/>
        <v>1+170.237551859734i</v>
      </c>
      <c r="R320" s="4">
        <f t="shared" si="270"/>
        <v>170.24048890670991</v>
      </c>
      <c r="S320" s="4">
        <f t="shared" si="271"/>
        <v>1.5649222497334283</v>
      </c>
      <c r="T320" s="4" t="str">
        <f t="shared" si="259"/>
        <v>1+1.08229529543996i</v>
      </c>
      <c r="U320" s="4">
        <f t="shared" si="272"/>
        <v>1.4735545821351412</v>
      </c>
      <c r="V320" s="4">
        <f t="shared" si="273"/>
        <v>0.82489903959721733</v>
      </c>
      <c r="W320" t="str">
        <f t="shared" si="260"/>
        <v>1-16.4482567696043i</v>
      </c>
      <c r="X320" s="4">
        <f t="shared" si="274"/>
        <v>16.478627089622293</v>
      </c>
      <c r="Y320" s="4">
        <f t="shared" si="275"/>
        <v>-1.5100743512689052</v>
      </c>
      <c r="Z320" t="str">
        <f t="shared" si="261"/>
        <v>0.997734549181522+0.23027559477446i</v>
      </c>
      <c r="AA320" s="4">
        <f t="shared" si="276"/>
        <v>1.0239634174027832</v>
      </c>
      <c r="AB320" s="4">
        <f t="shared" si="277"/>
        <v>0.22682659668809624</v>
      </c>
      <c r="AC320" s="47" t="str">
        <f t="shared" si="278"/>
        <v>-1.81084180652174-1.41899860376419i</v>
      </c>
      <c r="AD320" s="20">
        <f t="shared" si="279"/>
        <v>7.2367769538789108</v>
      </c>
      <c r="AE320" s="43">
        <f t="shared" si="280"/>
        <v>-141.91730043273577</v>
      </c>
      <c r="AF320" t="str">
        <f t="shared" si="262"/>
        <v>247.084651286898</v>
      </c>
      <c r="AG320" t="str">
        <f t="shared" si="263"/>
        <v>1+166.479721438973i</v>
      </c>
      <c r="AH320">
        <f t="shared" si="281"/>
        <v>166.4827247806752</v>
      </c>
      <c r="AI320">
        <f t="shared" si="282"/>
        <v>1.5647896614506045</v>
      </c>
      <c r="AJ320" t="str">
        <f t="shared" si="264"/>
        <v>1+1.08229529543996i</v>
      </c>
      <c r="AK320">
        <f t="shared" si="283"/>
        <v>1.4735545821351412</v>
      </c>
      <c r="AL320">
        <f t="shared" si="284"/>
        <v>0.82489903959721733</v>
      </c>
      <c r="AM320" t="str">
        <f t="shared" si="265"/>
        <v>1-1.0751584274661i</v>
      </c>
      <c r="AN320">
        <f t="shared" si="285"/>
        <v>1.4683206884571833</v>
      </c>
      <c r="AO320">
        <f t="shared" si="286"/>
        <v>-0.82160050301427501</v>
      </c>
      <c r="AP320" s="41" t="str">
        <f t="shared" si="287"/>
        <v>0.0298801843616129-3.21103423446461i</v>
      </c>
      <c r="AQ320">
        <f t="shared" si="288"/>
        <v>10.133274763545671</v>
      </c>
      <c r="AR320" s="43">
        <f t="shared" si="289"/>
        <v>-89.466851202052467</v>
      </c>
      <c r="AS320" t="str">
        <f t="shared" si="266"/>
        <v>-0.0000166666666666667</v>
      </c>
      <c r="AT320" t="str">
        <f t="shared" si="267"/>
        <v>0.000223696292066618i</v>
      </c>
      <c r="AU320">
        <f t="shared" si="290"/>
        <v>2.23696292066618E-4</v>
      </c>
      <c r="AV320">
        <f t="shared" si="291"/>
        <v>1.5707963267948966</v>
      </c>
      <c r="AW320" t="str">
        <f t="shared" si="268"/>
        <v>1+0.227334259446248i</v>
      </c>
      <c r="AX320">
        <f t="shared" si="292"/>
        <v>1.0255149270088535</v>
      </c>
      <c r="AY320">
        <f t="shared" si="293"/>
        <v>0.22353511032713269</v>
      </c>
      <c r="AZ320" t="str">
        <f t="shared" si="269"/>
        <v>1+7.72936482117244i</v>
      </c>
      <c r="BA320">
        <f t="shared" si="294"/>
        <v>7.7937847377752272</v>
      </c>
      <c r="BB320">
        <f t="shared" si="295"/>
        <v>1.4421342763707052</v>
      </c>
      <c r="BC320" s="41" t="str">
        <f t="shared" si="296"/>
        <v>-0.531477423431974+0.195328806214104i</v>
      </c>
      <c r="BD320">
        <f t="shared" si="297"/>
        <v>-4.940072308699003</v>
      </c>
      <c r="BE320" s="43">
        <f t="shared" si="298"/>
        <v>159.82058913245851</v>
      </c>
      <c r="BF320" s="41" t="str">
        <f t="shared" si="299"/>
        <v>1.23959284086582+0.400456153471677i</v>
      </c>
      <c r="BG320" s="20">
        <f t="shared" si="300"/>
        <v>2.2967046451799367</v>
      </c>
      <c r="BH320" s="43">
        <f t="shared" si="301"/>
        <v>17.903288699722623</v>
      </c>
      <c r="BI320" s="41" t="str">
        <f t="shared" si="306"/>
        <v>0.611326840334409+1.71242866222592i</v>
      </c>
      <c r="BJ320" s="20">
        <f t="shared" si="302"/>
        <v>5.193202454846654</v>
      </c>
      <c r="BK320" s="43">
        <f t="shared" si="307"/>
        <v>70.353737930405998</v>
      </c>
      <c r="BL320">
        <f t="shared" si="303"/>
        <v>2.2967046451799367</v>
      </c>
      <c r="BM320" s="43">
        <f t="shared" si="304"/>
        <v>17.903288699722623</v>
      </c>
    </row>
    <row r="321" spans="14:65" x14ac:dyDescent="0.25">
      <c r="N321" s="9">
        <v>3</v>
      </c>
      <c r="O321" s="34">
        <f t="shared" si="308"/>
        <v>10715.193052376071</v>
      </c>
      <c r="P321" s="33" t="str">
        <f t="shared" si="257"/>
        <v>16.5157725627975</v>
      </c>
      <c r="Q321" s="4" t="str">
        <f t="shared" si="258"/>
        <v>1+174.202893841097i</v>
      </c>
      <c r="R321" s="4">
        <f t="shared" si="270"/>
        <v>174.20576403383589</v>
      </c>
      <c r="S321" s="4">
        <f t="shared" si="271"/>
        <v>1.5650559570801439</v>
      </c>
      <c r="T321" s="4" t="str">
        <f t="shared" si="259"/>
        <v>1+1.10750519140214i</v>
      </c>
      <c r="U321" s="4">
        <f t="shared" si="272"/>
        <v>1.4921688071336603</v>
      </c>
      <c r="V321" s="4">
        <f t="shared" si="273"/>
        <v>0.83636462898419128</v>
      </c>
      <c r="W321" t="str">
        <f t="shared" si="260"/>
        <v>1-16.8313858875705i</v>
      </c>
      <c r="X321" s="4">
        <f t="shared" si="274"/>
        <v>16.861066125732009</v>
      </c>
      <c r="Y321" s="4">
        <f t="shared" si="275"/>
        <v>-1.5114532718065141</v>
      </c>
      <c r="Z321" t="str">
        <f t="shared" si="261"/>
        <v>0.997627781773767+0.235639402425987i</v>
      </c>
      <c r="AA321" s="4">
        <f t="shared" si="276"/>
        <v>1.0250790793604769</v>
      </c>
      <c r="AB321" s="4">
        <f t="shared" si="277"/>
        <v>0.23194858883272496</v>
      </c>
      <c r="AC321" s="47" t="str">
        <f t="shared" si="278"/>
        <v>-1.82461561284071-1.44407340334554i</v>
      </c>
      <c r="AD321" s="20">
        <f t="shared" si="279"/>
        <v>7.3356398301684553</v>
      </c>
      <c r="AE321" s="43">
        <f t="shared" si="280"/>
        <v>-141.64050627756413</v>
      </c>
      <c r="AF321" t="str">
        <f t="shared" si="262"/>
        <v>247.084651286898</v>
      </c>
      <c r="AG321" t="str">
        <f t="shared" si="263"/>
        <v>1+170.357532305353i</v>
      </c>
      <c r="AH321">
        <f t="shared" si="281"/>
        <v>170.36046728384315</v>
      </c>
      <c r="AI321">
        <f t="shared" si="282"/>
        <v>1.5649263866693131</v>
      </c>
      <c r="AJ321" t="str">
        <f t="shared" si="264"/>
        <v>1+1.10750519140214i</v>
      </c>
      <c r="AK321">
        <f t="shared" si="283"/>
        <v>1.4921688071336603</v>
      </c>
      <c r="AL321">
        <f t="shared" si="284"/>
        <v>0.83636462898419128</v>
      </c>
      <c r="AM321" t="str">
        <f t="shared" si="265"/>
        <v>1-1.10020208441766i</v>
      </c>
      <c r="AN321">
        <f t="shared" si="285"/>
        <v>1.4867564113051486</v>
      </c>
      <c r="AO321">
        <f t="shared" si="286"/>
        <v>-0.8330726983904857</v>
      </c>
      <c r="AP321" s="41" t="str">
        <f t="shared" si="287"/>
        <v>0.0294790040048847-3.21748473452063i</v>
      </c>
      <c r="AQ321">
        <f t="shared" si="288"/>
        <v>10.150694452436365</v>
      </c>
      <c r="AR321" s="43">
        <f t="shared" si="289"/>
        <v>-89.475063475340249</v>
      </c>
      <c r="AS321" t="str">
        <f t="shared" si="266"/>
        <v>-0.0000166666666666667</v>
      </c>
      <c r="AT321" t="str">
        <f t="shared" si="267"/>
        <v>0.000228906848070959i</v>
      </c>
      <c r="AU321">
        <f t="shared" si="290"/>
        <v>2.2890684807095899E-4</v>
      </c>
      <c r="AV321">
        <f t="shared" si="291"/>
        <v>1.5707963267948966</v>
      </c>
      <c r="AW321" t="str">
        <f t="shared" si="268"/>
        <v>1+0.232629554596681i</v>
      </c>
      <c r="AX321">
        <f t="shared" si="292"/>
        <v>1.0267017627684536</v>
      </c>
      <c r="AY321">
        <f t="shared" si="293"/>
        <v>0.22856438909615573</v>
      </c>
      <c r="AZ321" t="str">
        <f t="shared" si="269"/>
        <v>1+7.90940485628714i</v>
      </c>
      <c r="BA321">
        <f t="shared" si="294"/>
        <v>7.9723701106169544</v>
      </c>
      <c r="BB321">
        <f t="shared" si="295"/>
        <v>1.4450318457127342</v>
      </c>
      <c r="BC321" s="41" t="str">
        <f t="shared" si="296"/>
        <v>-0.530249390413403+0.196161500660959i</v>
      </c>
      <c r="BD321">
        <f t="shared" si="297"/>
        <v>-4.9533378240494903</v>
      </c>
      <c r="BE321" s="43">
        <f t="shared" si="298"/>
        <v>159.69845117914352</v>
      </c>
      <c r="BF321" s="41" t="str">
        <f t="shared" si="299"/>
        <v>1.2507729223124+0.407799705091932i</v>
      </c>
      <c r="BG321" s="20">
        <f t="shared" si="300"/>
        <v>2.3823020061189446</v>
      </c>
      <c r="BH321" s="43">
        <f t="shared" si="301"/>
        <v>18.057944901579432</v>
      </c>
      <c r="BI321" s="41" t="str">
        <f t="shared" si="306"/>
        <v>0.61551540997371+1.71185196480758i</v>
      </c>
      <c r="BJ321" s="20">
        <f t="shared" si="302"/>
        <v>5.197356628386868</v>
      </c>
      <c r="BK321" s="43">
        <f t="shared" si="307"/>
        <v>70.22338770380324</v>
      </c>
      <c r="BL321">
        <f t="shared" si="303"/>
        <v>2.3823020061189446</v>
      </c>
      <c r="BM321" s="43">
        <f t="shared" si="304"/>
        <v>18.057944901579432</v>
      </c>
    </row>
    <row r="322" spans="14:65" x14ac:dyDescent="0.25">
      <c r="N322" s="9">
        <v>4</v>
      </c>
      <c r="O322" s="34">
        <f t="shared" si="308"/>
        <v>10964.781961431856</v>
      </c>
      <c r="P322" s="33" t="str">
        <f t="shared" si="257"/>
        <v>16.5157725627975</v>
      </c>
      <c r="Q322" s="4" t="str">
        <f t="shared" si="258"/>
        <v>1+178.260600502623i</v>
      </c>
      <c r="R322" s="4">
        <f t="shared" si="270"/>
        <v>178.26340536283868</v>
      </c>
      <c r="S322" s="4">
        <f t="shared" si="271"/>
        <v>1.565186621074401</v>
      </c>
      <c r="T322" s="4" t="str">
        <f t="shared" si="259"/>
        <v>1+1.13330230127637i</v>
      </c>
      <c r="U322" s="4">
        <f t="shared" si="272"/>
        <v>1.5114146042956964</v>
      </c>
      <c r="V322" s="4">
        <f t="shared" si="273"/>
        <v>0.84780338911264475</v>
      </c>
      <c r="W322" t="str">
        <f t="shared" si="260"/>
        <v>1-17.2234392291241i</v>
      </c>
      <c r="X322" s="4">
        <f t="shared" si="274"/>
        <v>17.25244501163041</v>
      </c>
      <c r="Y322" s="4">
        <f t="shared" si="275"/>
        <v>-1.5128010226360173</v>
      </c>
      <c r="Z322" t="str">
        <f t="shared" si="261"/>
        <v>0.997515982573104+0.241128149207737i</v>
      </c>
      <c r="AA322" s="4">
        <f t="shared" si="276"/>
        <v>1.0262460327958078</v>
      </c>
      <c r="AB322" s="4">
        <f t="shared" si="277"/>
        <v>0.23717880062138469</v>
      </c>
      <c r="AC322" s="47" t="str">
        <f t="shared" si="278"/>
        <v>-1.83897197944775-1.46963604492039i</v>
      </c>
      <c r="AD322" s="20">
        <f t="shared" si="279"/>
        <v>7.4363893994963206</v>
      </c>
      <c r="AE322" s="43">
        <f t="shared" si="280"/>
        <v>-141.36948959056201</v>
      </c>
      <c r="AF322" t="str">
        <f t="shared" si="262"/>
        <v>247.084651286898</v>
      </c>
      <c r="AG322" t="str">
        <f t="shared" si="263"/>
        <v>1+174.32566899031i</v>
      </c>
      <c r="AH322">
        <f t="shared" si="281"/>
        <v>174.32853716164522</v>
      </c>
      <c r="AI322">
        <f t="shared" si="282"/>
        <v>1.565059999854145</v>
      </c>
      <c r="AJ322" t="str">
        <f t="shared" si="264"/>
        <v>1+1.13330230127637i</v>
      </c>
      <c r="AK322">
        <f t="shared" si="283"/>
        <v>1.5114146042956964</v>
      </c>
      <c r="AL322">
        <f t="shared" si="284"/>
        <v>0.84780338911264475</v>
      </c>
      <c r="AM322" t="str">
        <f t="shared" si="265"/>
        <v>1-1.12582908307727i</v>
      </c>
      <c r="AN322">
        <f t="shared" si="285"/>
        <v>1.505819087507728</v>
      </c>
      <c r="AO322">
        <f t="shared" si="286"/>
        <v>-0.84451977562452518</v>
      </c>
      <c r="AP322" s="41" t="str">
        <f t="shared" si="287"/>
        <v>0.0290958785222896-3.22564097554335i</v>
      </c>
      <c r="AQ322">
        <f t="shared" si="288"/>
        <v>10.172673890605616</v>
      </c>
      <c r="AR322" s="43">
        <f t="shared" si="289"/>
        <v>-89.483195481966249</v>
      </c>
      <c r="AS322" t="str">
        <f t="shared" si="266"/>
        <v>-0.0000166666666666667</v>
      </c>
      <c r="AT322" t="str">
        <f t="shared" si="267"/>
        <v>0.000234238773516088i</v>
      </c>
      <c r="AU322">
        <f t="shared" si="290"/>
        <v>2.3423877351608799E-4</v>
      </c>
      <c r="AV322">
        <f t="shared" si="291"/>
        <v>1.5707963267948966</v>
      </c>
      <c r="AW322" t="str">
        <f t="shared" si="268"/>
        <v>1+0.238048193016176i</v>
      </c>
      <c r="AX322">
        <f t="shared" si="292"/>
        <v>1.0279430636948073</v>
      </c>
      <c r="AY322">
        <f t="shared" si="293"/>
        <v>0.23369865919555835</v>
      </c>
      <c r="AZ322" t="str">
        <f t="shared" si="269"/>
        <v>1+8.09363856254999i</v>
      </c>
      <c r="BA322">
        <f t="shared" si="294"/>
        <v>8.1551814928422193</v>
      </c>
      <c r="BB322">
        <f t="shared" si="295"/>
        <v>1.4478655112427572</v>
      </c>
      <c r="BC322" s="41" t="str">
        <f t="shared" si="296"/>
        <v>-0.528969549776379+0.197072712757829i</v>
      </c>
      <c r="BD322">
        <f t="shared" si="297"/>
        <v>-4.9669093097256658</v>
      </c>
      <c r="BE322" s="43">
        <f t="shared" si="298"/>
        <v>159.56663624698948</v>
      </c>
      <c r="BF322" s="41" t="str">
        <f t="shared" si="299"/>
        <v>1.262385342159+0.414981520341274i</v>
      </c>
      <c r="BG322" s="20">
        <f t="shared" si="300"/>
        <v>2.4694800897706495</v>
      </c>
      <c r="BH322" s="43">
        <f t="shared" si="301"/>
        <v>18.197146656427467</v>
      </c>
      <c r="BI322" s="41" t="str">
        <f t="shared" si="306"/>
        <v>0.620294983670854+1.71199985828387i</v>
      </c>
      <c r="BJ322" s="20">
        <f t="shared" si="302"/>
        <v>5.2057645808799684</v>
      </c>
      <c r="BK322" s="43">
        <f t="shared" si="307"/>
        <v>70.083440765023283</v>
      </c>
      <c r="BL322">
        <f t="shared" si="303"/>
        <v>2.4694800897706495</v>
      </c>
      <c r="BM322" s="43">
        <f t="shared" si="304"/>
        <v>18.197146656427467</v>
      </c>
    </row>
    <row r="323" spans="14:65" x14ac:dyDescent="0.25">
      <c r="N323" s="9">
        <v>5</v>
      </c>
      <c r="O323" s="34">
        <f t="shared" si="308"/>
        <v>11220.184543019639</v>
      </c>
      <c r="P323" s="33" t="str">
        <f t="shared" si="257"/>
        <v>16.5157725627975</v>
      </c>
      <c r="Q323" s="4" t="str">
        <f t="shared" si="258"/>
        <v>1+182.412823294093i</v>
      </c>
      <c r="R323" s="4">
        <f t="shared" si="270"/>
        <v>182.4155643088659</v>
      </c>
      <c r="S323" s="4">
        <f t="shared" si="271"/>
        <v>1.5653143109781216</v>
      </c>
      <c r="T323" s="4" t="str">
        <f t="shared" si="259"/>
        <v>1+1.15970030303176i</v>
      </c>
      <c r="U323" s="4">
        <f t="shared" si="272"/>
        <v>1.5313081965600381</v>
      </c>
      <c r="V323" s="4">
        <f t="shared" si="273"/>
        <v>0.85920941226267522</v>
      </c>
      <c r="W323" t="str">
        <f t="shared" si="260"/>
        <v>1-17.6246246661361i</v>
      </c>
      <c r="X323" s="4">
        <f t="shared" si="274"/>
        <v>17.652971268944302</v>
      </c>
      <c r="Y323" s="4">
        <f t="shared" si="275"/>
        <v>-1.5141182987568851</v>
      </c>
      <c r="Z323" t="str">
        <f t="shared" si="261"/>
        <v>0.997398914438442+0.246744745325906i</v>
      </c>
      <c r="AA323" s="4">
        <f t="shared" si="276"/>
        <v>1.0274665755482892</v>
      </c>
      <c r="AB323" s="4">
        <f t="shared" si="277"/>
        <v>0.24251901372896961</v>
      </c>
      <c r="AC323" s="47" t="str">
        <f t="shared" si="278"/>
        <v>-1.85393277952356-1.49568223636917i</v>
      </c>
      <c r="AD323" s="20">
        <f t="shared" si="279"/>
        <v>7.5389944267154094</v>
      </c>
      <c r="AE323" s="43">
        <f t="shared" si="280"/>
        <v>-141.10473473055058</v>
      </c>
      <c r="AF323" t="str">
        <f t="shared" si="262"/>
        <v>247.084651286898</v>
      </c>
      <c r="AG323" t="str">
        <f t="shared" si="263"/>
        <v>1+178.386235452438i</v>
      </c>
      <c r="AH323">
        <f t="shared" si="281"/>
        <v>178.38903833726067</v>
      </c>
      <c r="AI323">
        <f t="shared" si="282"/>
        <v>1.5651905718294856</v>
      </c>
      <c r="AJ323" t="str">
        <f t="shared" si="264"/>
        <v>1+1.15970030303176i</v>
      </c>
      <c r="AK323">
        <f t="shared" si="283"/>
        <v>1.5313081965600381</v>
      </c>
      <c r="AL323">
        <f t="shared" si="284"/>
        <v>0.85920941226267522</v>
      </c>
      <c r="AM323" t="str">
        <f t="shared" si="265"/>
        <v>1-1.15205301121883i</v>
      </c>
      <c r="AN323">
        <f t="shared" si="285"/>
        <v>1.5255248738248661</v>
      </c>
      <c r="AO323">
        <f t="shared" si="286"/>
        <v>-0.8559358052827527</v>
      </c>
      <c r="AP323" s="41" t="str">
        <f t="shared" si="287"/>
        <v>0.028729995417635-3.23550729623074i</v>
      </c>
      <c r="AQ323">
        <f t="shared" si="288"/>
        <v>10.199190085897724</v>
      </c>
      <c r="AR323" s="43">
        <f t="shared" si="289"/>
        <v>-89.491250035763329</v>
      </c>
      <c r="AS323" t="str">
        <f t="shared" si="266"/>
        <v>-0.0000166666666666667</v>
      </c>
      <c r="AT323" t="str">
        <f t="shared" si="267"/>
        <v>0.000239694895459451i</v>
      </c>
      <c r="AU323">
        <f t="shared" si="290"/>
        <v>2.3969489545945099E-4</v>
      </c>
      <c r="AV323">
        <f t="shared" si="291"/>
        <v>1.5707963267948966</v>
      </c>
      <c r="AW323" t="str">
        <f t="shared" si="268"/>
        <v>1+0.24359304773855i</v>
      </c>
      <c r="AX323">
        <f t="shared" si="292"/>
        <v>1.0292412607870691</v>
      </c>
      <c r="AY323">
        <f t="shared" si="293"/>
        <v>0.2389395596592534</v>
      </c>
      <c r="AZ323" t="str">
        <f t="shared" si="269"/>
        <v>1+8.28216362311069i</v>
      </c>
      <c r="BA323">
        <f t="shared" si="294"/>
        <v>8.3423158822941961</v>
      </c>
      <c r="BB323">
        <f t="shared" si="295"/>
        <v>1.4506365932835119</v>
      </c>
      <c r="BC323" s="41" t="str">
        <f t="shared" si="296"/>
        <v>-0.527635997224756+0.198061300042545i</v>
      </c>
      <c r="BD323">
        <f t="shared" si="297"/>
        <v>-4.9808118699662387</v>
      </c>
      <c r="BE323" s="43">
        <f t="shared" si="298"/>
        <v>159.4251260751914</v>
      </c>
      <c r="BF323" s="41" t="str">
        <f t="shared" si="299"/>
        <v>1.2744384390974+0.421983451814075i</v>
      </c>
      <c r="BG323" s="20">
        <f t="shared" si="300"/>
        <v>2.5581825567491916</v>
      </c>
      <c r="BH323" s="43">
        <f t="shared" si="301"/>
        <v>18.3203913446408</v>
      </c>
      <c r="BI323" s="41" t="str">
        <f t="shared" si="306"/>
        <v>0.625669801606154+1.71286041901731i</v>
      </c>
      <c r="BJ323" s="20">
        <f t="shared" si="302"/>
        <v>5.2183782159314696</v>
      </c>
      <c r="BK323" s="43">
        <f t="shared" si="307"/>
        <v>69.933876039428043</v>
      </c>
      <c r="BL323">
        <f t="shared" si="303"/>
        <v>2.5581825567491916</v>
      </c>
      <c r="BM323" s="43">
        <f t="shared" si="304"/>
        <v>18.3203913446408</v>
      </c>
    </row>
    <row r="324" spans="14:65" x14ac:dyDescent="0.25">
      <c r="N324" s="9">
        <v>6</v>
      </c>
      <c r="O324" s="34">
        <f t="shared" si="308"/>
        <v>11481.536214968832</v>
      </c>
      <c r="P324" s="33" t="str">
        <f t="shared" si="257"/>
        <v>16.5157725627975</v>
      </c>
      <c r="Q324" s="4" t="str">
        <f t="shared" si="258"/>
        <v>1+186.661763778993i</v>
      </c>
      <c r="R324" s="4">
        <f t="shared" si="270"/>
        <v>186.66444240155806</v>
      </c>
      <c r="S324" s="4">
        <f t="shared" si="271"/>
        <v>1.5654390944775183</v>
      </c>
      <c r="T324" s="4" t="str">
        <f t="shared" si="259"/>
        <v>1+1.18671319323826i</v>
      </c>
      <c r="U324" s="4">
        <f t="shared" si="272"/>
        <v>1.5518660390013526</v>
      </c>
      <c r="V324" s="4">
        <f t="shared" si="273"/>
        <v>0.87057687581378351</v>
      </c>
      <c r="W324" t="str">
        <f t="shared" si="260"/>
        <v>1-18.0351549124356i</v>
      </c>
      <c r="X324" s="4">
        <f t="shared" si="274"/>
        <v>18.062857268869454</v>
      </c>
      <c r="Y324" s="4">
        <f t="shared" si="275"/>
        <v>-1.5154057803099334</v>
      </c>
      <c r="Z324" t="str">
        <f t="shared" si="261"/>
        <v>0.997276329052569+0.252492168774099i</v>
      </c>
      <c r="AA324" s="4">
        <f t="shared" si="276"/>
        <v>1.0287431029080176</v>
      </c>
      <c r="AB324" s="4">
        <f t="shared" si="277"/>
        <v>0.24797100462222266</v>
      </c>
      <c r="AC324" s="47" t="str">
        <f t="shared" si="278"/>
        <v>-1.86952042769074-1.52220689125096i</v>
      </c>
      <c r="AD324" s="20">
        <f t="shared" si="279"/>
        <v>7.6434207811560402</v>
      </c>
      <c r="AE324" s="43">
        <f t="shared" si="280"/>
        <v>-140.84671994048938</v>
      </c>
      <c r="AF324" t="str">
        <f t="shared" si="262"/>
        <v>247.084651286898</v>
      </c>
      <c r="AG324" t="str">
        <f t="shared" si="263"/>
        <v>1+182.541384657825i</v>
      </c>
      <c r="AH324">
        <f t="shared" si="281"/>
        <v>182.54412374216821</v>
      </c>
      <c r="AI324">
        <f t="shared" si="282"/>
        <v>1.5653181718085056</v>
      </c>
      <c r="AJ324" t="str">
        <f t="shared" si="264"/>
        <v>1+1.18671319323826i</v>
      </c>
      <c r="AK324">
        <f t="shared" si="283"/>
        <v>1.5518660390013526</v>
      </c>
      <c r="AL324">
        <f t="shared" si="284"/>
        <v>0.87057687581378351</v>
      </c>
      <c r="AM324" t="str">
        <f t="shared" si="265"/>
        <v>1-1.17888777311617i</v>
      </c>
      <c r="AN324">
        <f t="shared" si="285"/>
        <v>1.5458901583239355</v>
      </c>
      <c r="AO324">
        <f t="shared" si="286"/>
        <v>-0.86731493879511423</v>
      </c>
      <c r="AP324" s="41" t="str">
        <f t="shared" si="287"/>
        <v>0.0283805787536587-3.24708894104323i</v>
      </c>
      <c r="AQ324">
        <f t="shared" si="288"/>
        <v>10.230215449401962</v>
      </c>
      <c r="AR324" s="43">
        <f t="shared" si="289"/>
        <v>-89.499229615554015</v>
      </c>
      <c r="AS324" t="str">
        <f t="shared" si="266"/>
        <v>-0.0000166666666666667</v>
      </c>
      <c r="AT324" t="str">
        <f t="shared" si="267"/>
        <v>0.000245278106809124i</v>
      </c>
      <c r="AU324">
        <f t="shared" si="290"/>
        <v>2.4527810680912402E-4</v>
      </c>
      <c r="AV324">
        <f t="shared" si="291"/>
        <v>1.5707963267948966</v>
      </c>
      <c r="AW324" t="str">
        <f t="shared" si="268"/>
        <v>1+0.249267058719169i</v>
      </c>
      <c r="AX324">
        <f t="shared" si="292"/>
        <v>1.0305988873283851</v>
      </c>
      <c r="AY324">
        <f t="shared" si="293"/>
        <v>0.24428871716262779</v>
      </c>
      <c r="AZ324" t="str">
        <f t="shared" si="269"/>
        <v>1+8.47507999645175i</v>
      </c>
      <c r="BA324">
        <f t="shared" si="294"/>
        <v>8.5338725644490729</v>
      </c>
      <c r="BB324">
        <f t="shared" si="295"/>
        <v>1.4533463907773205</v>
      </c>
      <c r="BC324" s="41" t="str">
        <f t="shared" si="296"/>
        <v>-0.526246783974431+0.199126066724559i</v>
      </c>
      <c r="BD324">
        <f t="shared" si="297"/>
        <v>-4.9950710347615743</v>
      </c>
      <c r="BE324" s="43">
        <f t="shared" si="298"/>
        <v>159.27390188602763</v>
      </c>
      <c r="BF324" s="41" t="str">
        <f t="shared" si="299"/>
        <v>1.28694018364258+0.428786231637262i</v>
      </c>
      <c r="BG324" s="20">
        <f t="shared" si="300"/>
        <v>2.6483497463944845</v>
      </c>
      <c r="BH324" s="43">
        <f t="shared" si="301"/>
        <v>18.427181945538223</v>
      </c>
      <c r="BI324" s="41" t="str">
        <f t="shared" si="306"/>
        <v>0.631644860838306+1.71442142552152i</v>
      </c>
      <c r="BJ324" s="20">
        <f t="shared" si="302"/>
        <v>5.2351444146403727</v>
      </c>
      <c r="BK324" s="43">
        <f t="shared" si="307"/>
        <v>69.774672270473587</v>
      </c>
      <c r="BL324">
        <f t="shared" si="303"/>
        <v>2.6483497463944845</v>
      </c>
      <c r="BM324" s="43">
        <f t="shared" si="304"/>
        <v>18.427181945538223</v>
      </c>
    </row>
    <row r="325" spans="14:65" x14ac:dyDescent="0.25">
      <c r="N325" s="9">
        <v>7</v>
      </c>
      <c r="O325" s="34">
        <f t="shared" si="308"/>
        <v>11748.975549395318</v>
      </c>
      <c r="P325" s="33" t="str">
        <f t="shared" si="257"/>
        <v>16.5157725627975</v>
      </c>
      <c r="Q325" s="4" t="str">
        <f t="shared" si="258"/>
        <v>1+191.00967480181i</v>
      </c>
      <c r="R325" s="4">
        <f t="shared" si="270"/>
        <v>191.01229245232679</v>
      </c>
      <c r="S325" s="4">
        <f t="shared" si="271"/>
        <v>1.5655610377189009</v>
      </c>
      <c r="T325" s="4" t="str">
        <f t="shared" si="259"/>
        <v>1+1.21435529448783i</v>
      </c>
      <c r="U325" s="4">
        <f t="shared" si="272"/>
        <v>1.5731048220797701</v>
      </c>
      <c r="V325" s="4">
        <f t="shared" si="273"/>
        <v>0.88190005662946558</v>
      </c>
      <c r="W325" t="str">
        <f t="shared" si="260"/>
        <v>1-18.4552476365932i</v>
      </c>
      <c r="X325" s="4">
        <f t="shared" si="274"/>
        <v>18.482320344804624</v>
      </c>
      <c r="Y325" s="4">
        <f t="shared" si="275"/>
        <v>-1.5166641328521318</v>
      </c>
      <c r="Z325" t="str">
        <f t="shared" si="261"/>
        <v>0.997147966395449+0.258373466912305i</v>
      </c>
      <c r="AA325" s="4">
        <f t="shared" si="276"/>
        <v>1.0300781112570365</v>
      </c>
      <c r="AB325" s="4">
        <f t="shared" si="277"/>
        <v>0.25353654177956331</v>
      </c>
      <c r="AC325" s="47" t="str">
        <f t="shared" si="278"/>
        <v>-1.88575786781223-1.54920407513564i</v>
      </c>
      <c r="AD325" s="20">
        <f t="shared" si="279"/>
        <v>7.7496314756330928</v>
      </c>
      <c r="AE325" s="43">
        <f t="shared" si="280"/>
        <v>-140.59591638180498</v>
      </c>
      <c r="AF325" t="str">
        <f t="shared" si="262"/>
        <v>247.084651286898</v>
      </c>
      <c r="AG325" t="str">
        <f t="shared" si="263"/>
        <v>1+186.793319721578i</v>
      </c>
      <c r="AH325">
        <f t="shared" si="281"/>
        <v>186.79599645765342</v>
      </c>
      <c r="AI325">
        <f t="shared" si="282"/>
        <v>1.5654428674297729</v>
      </c>
      <c r="AJ325" t="str">
        <f t="shared" si="264"/>
        <v>1+1.21435529448783i</v>
      </c>
      <c r="AK325">
        <f t="shared" si="283"/>
        <v>1.5731048220797701</v>
      </c>
      <c r="AL325">
        <f t="shared" si="284"/>
        <v>0.88190005662946558</v>
      </c>
      <c r="AM325" t="str">
        <f t="shared" si="265"/>
        <v>1-1.20634759691524i</v>
      </c>
      <c r="AN325">
        <f t="shared" si="285"/>
        <v>1.5669315634650973</v>
      </c>
      <c r="AO325">
        <f t="shared" si="286"/>
        <v>-0.87865142300212928</v>
      </c>
      <c r="AP325" s="41" t="str">
        <f t="shared" si="287"/>
        <v>0.0280468875074906-3.26039206304745i</v>
      </c>
      <c r="AQ325">
        <f t="shared" si="288"/>
        <v>10.265717909319834</v>
      </c>
      <c r="AR325" s="43">
        <f t="shared" si="289"/>
        <v>-89.507136376552978</v>
      </c>
      <c r="AS325" t="str">
        <f t="shared" si="266"/>
        <v>-0.0000166666666666667</v>
      </c>
      <c r="AT325" t="str">
        <f t="shared" si="267"/>
        <v>0.000250991367857668i</v>
      </c>
      <c r="AU325">
        <f t="shared" si="290"/>
        <v>2.5099136785766799E-4</v>
      </c>
      <c r="AV325">
        <f t="shared" si="291"/>
        <v>1.5707963267948966</v>
      </c>
      <c r="AW325" t="str">
        <f t="shared" si="268"/>
        <v>1+0.255073234393761i</v>
      </c>
      <c r="AX325">
        <f t="shared" si="292"/>
        <v>1.0320185826350678</v>
      </c>
      <c r="AY325">
        <f t="shared" si="293"/>
        <v>0.24974774290730956</v>
      </c>
      <c r="AZ325" t="str">
        <f t="shared" si="269"/>
        <v>1+8.67248996938788i</v>
      </c>
      <c r="BA325">
        <f t="shared" si="294"/>
        <v>8.729953165345929</v>
      </c>
      <c r="BB325">
        <f t="shared" si="295"/>
        <v>1.4559961812246833</v>
      </c>
      <c r="BC325" s="41" t="str">
        <f t="shared" si="296"/>
        <v>-0.524799918149893+0.2002657586269i</v>
      </c>
      <c r="BD325">
        <f t="shared" si="297"/>
        <v>-5.0097127859786204</v>
      </c>
      <c r="BE325" s="43">
        <f t="shared" si="298"/>
        <v>159.11294455983221</v>
      </c>
      <c r="BF325" s="41" t="str">
        <f t="shared" si="299"/>
        <v>1.2998981040533+0.435369441844603i</v>
      </c>
      <c r="BG325" s="20">
        <f t="shared" si="300"/>
        <v>2.7399186896544787</v>
      </c>
      <c r="BH325" s="43">
        <f t="shared" si="301"/>
        <v>18.517028178027239</v>
      </c>
      <c r="BI325" s="41" t="str">
        <f t="shared" si="306"/>
        <v>0.638225885659031+1.71667031902767i</v>
      </c>
      <c r="BJ325" s="20">
        <f t="shared" si="302"/>
        <v>5.2560051233411977</v>
      </c>
      <c r="BK325" s="43">
        <f t="shared" si="307"/>
        <v>69.605808183279194</v>
      </c>
      <c r="BL325">
        <f t="shared" si="303"/>
        <v>2.7399186896544787</v>
      </c>
      <c r="BM325" s="43">
        <f t="shared" si="304"/>
        <v>18.517028178027239</v>
      </c>
    </row>
    <row r="326" spans="14:65" x14ac:dyDescent="0.25">
      <c r="N326" s="9">
        <v>8</v>
      </c>
      <c r="O326" s="34">
        <f t="shared" si="308"/>
        <v>12022.644346174151</v>
      </c>
      <c r="P326" s="33" t="str">
        <f t="shared" si="257"/>
        <v>16.5157725627975</v>
      </c>
      <c r="Q326" s="4" t="str">
        <f t="shared" si="258"/>
        <v>1+195.458861682517i</v>
      </c>
      <c r="R326" s="4">
        <f t="shared" si="270"/>
        <v>195.46141974882235</v>
      </c>
      <c r="S326" s="4">
        <f t="shared" si="271"/>
        <v>1.5656802053436754</v>
      </c>
      <c r="T326" s="4" t="str">
        <f t="shared" si="259"/>
        <v>1+1.24264126298843i</v>
      </c>
      <c r="U326" s="4">
        <f t="shared" si="272"/>
        <v>1.5950414754737507</v>
      </c>
      <c r="V326" s="4">
        <f t="shared" si="273"/>
        <v>0.89317334482383492</v>
      </c>
      <c r="W326" t="str">
        <f t="shared" si="260"/>
        <v>1-18.8851255773318i</v>
      </c>
      <c r="X326" s="4">
        <f t="shared" si="274"/>
        <v>18.911582907614889</v>
      </c>
      <c r="Y326" s="4">
        <f t="shared" si="275"/>
        <v>-1.5178940076293044</v>
      </c>
      <c r="Z326" t="str">
        <f t="shared" si="261"/>
        <v>0.997013554192674+0.264391758082645i</v>
      </c>
      <c r="AA326" s="4">
        <f t="shared" si="276"/>
        <v>1.0314742018033898</v>
      </c>
      <c r="AB326" s="4">
        <f t="shared" si="277"/>
        <v>0.2592173827281643</v>
      </c>
      <c r="AC326" s="47" t="str">
        <f t="shared" si="278"/>
        <v>-1.90266855766506-1.57666695026i</v>
      </c>
      <c r="AD326" s="20">
        <f t="shared" si="279"/>
        <v>7.857586714484305</v>
      </c>
      <c r="AE326" s="43">
        <f t="shared" si="280"/>
        <v>-140.35278719348878</v>
      </c>
      <c r="AF326" t="str">
        <f t="shared" si="262"/>
        <v>247.084651286898</v>
      </c>
      <c r="AG326" t="str">
        <f t="shared" si="263"/>
        <v>1+191.144295075949i</v>
      </c>
      <c r="AH326">
        <f t="shared" si="281"/>
        <v>191.14691088291607</v>
      </c>
      <c r="AI326">
        <f t="shared" si="282"/>
        <v>1.5655647247930362</v>
      </c>
      <c r="AJ326" t="str">
        <f t="shared" si="264"/>
        <v>1+1.24264126298843i</v>
      </c>
      <c r="AK326">
        <f t="shared" si="283"/>
        <v>1.5950414754737507</v>
      </c>
      <c r="AL326">
        <f t="shared" si="284"/>
        <v>0.89317334482383492</v>
      </c>
      <c r="AM326" t="str">
        <f t="shared" si="265"/>
        <v>1-1.2344470421781i</v>
      </c>
      <c r="AN326">
        <f t="shared" si="285"/>
        <v>1.5886659497648521</v>
      </c>
      <c r="AO326">
        <f t="shared" si="286"/>
        <v>-0.88993961410724975</v>
      </c>
      <c r="AP326" s="41" t="str">
        <f t="shared" si="287"/>
        <v>0.0277282139998988-3.27542372723745i</v>
      </c>
      <c r="AQ326">
        <f t="shared" si="288"/>
        <v>10.305661041997066</v>
      </c>
      <c r="AR326" s="43">
        <f t="shared" si="289"/>
        <v>-89.51497216305907</v>
      </c>
      <c r="AS326" t="str">
        <f t="shared" si="266"/>
        <v>-0.0000166666666666667</v>
      </c>
      <c r="AT326" t="str">
        <f t="shared" si="267"/>
        <v>0.000256837707851712i</v>
      </c>
      <c r="AU326">
        <f t="shared" si="290"/>
        <v>2.5683770785171203E-4</v>
      </c>
      <c r="AV326">
        <f t="shared" si="291"/>
        <v>1.5707963267948966</v>
      </c>
      <c r="AW326" t="str">
        <f t="shared" si="268"/>
        <v>1+0.261014653273522i</v>
      </c>
      <c r="AX326">
        <f t="shared" si="292"/>
        <v>1.0335030958944909</v>
      </c>
      <c r="AY326">
        <f t="shared" si="293"/>
        <v>0.2553182293136293</v>
      </c>
      <c r="AZ326" t="str">
        <f t="shared" si="269"/>
        <v>1+8.87449821129974i</v>
      </c>
      <c r="BA326">
        <f t="shared" si="294"/>
        <v>8.9306617057395172</v>
      </c>
      <c r="BB326">
        <f t="shared" si="295"/>
        <v>1.4585872206576047</v>
      </c>
      <c r="BC326" s="41" t="str">
        <f t="shared" si="296"/>
        <v>-0.523293366472794+0.201479058010105i</v>
      </c>
      <c r="BD326">
        <f t="shared" si="297"/>
        <v>-5.0247635825835504</v>
      </c>
      <c r="BE326" s="43">
        <f t="shared" si="298"/>
        <v>158.94223482297349</v>
      </c>
      <c r="BF326" s="41" t="str">
        <f t="shared" si="299"/>
        <v>1.31331920675653+0.441711487504147i</v>
      </c>
      <c r="BG326" s="20">
        <f t="shared" si="300"/>
        <v>2.8328231319007271</v>
      </c>
      <c r="BH326" s="43">
        <f t="shared" si="301"/>
        <v>18.589447629484734</v>
      </c>
      <c r="BI326" s="41" t="str">
        <f t="shared" si="306"/>
        <v>0.645419296697463+1.71959416328795i</v>
      </c>
      <c r="BJ326" s="20">
        <f t="shared" si="302"/>
        <v>5.280897459413497</v>
      </c>
      <c r="BK326" s="43">
        <f t="shared" si="307"/>
        <v>69.427262659914362</v>
      </c>
      <c r="BL326">
        <f t="shared" si="303"/>
        <v>2.8328231319007271</v>
      </c>
      <c r="BM326" s="43">
        <f t="shared" si="304"/>
        <v>18.589447629484734</v>
      </c>
    </row>
    <row r="327" spans="14:65" x14ac:dyDescent="0.25">
      <c r="N327" s="9">
        <v>9</v>
      </c>
      <c r="O327" s="34">
        <f t="shared" si="308"/>
        <v>12302.687708123816</v>
      </c>
      <c r="P327" s="33" t="str">
        <f t="shared" si="257"/>
        <v>16.5157725627975</v>
      </c>
      <c r="Q327" s="4" t="str">
        <f t="shared" si="258"/>
        <v>1+200.011683438893i</v>
      </c>
      <c r="R327" s="4">
        <f t="shared" si="270"/>
        <v>200.01418327723647</v>
      </c>
      <c r="S327" s="4">
        <f t="shared" si="271"/>
        <v>1.5657966605225477</v>
      </c>
      <c r="T327" s="4" t="str">
        <f t="shared" si="259"/>
        <v>1+1.27158609633497i</v>
      </c>
      <c r="U327" s="4">
        <f t="shared" si="272"/>
        <v>1.6176931725121448</v>
      </c>
      <c r="V327" s="4">
        <f t="shared" si="273"/>
        <v>0.90439125683392196</v>
      </c>
      <c r="W327" t="str">
        <f t="shared" si="260"/>
        <v>1-19.3250166616256i</v>
      </c>
      <c r="X327" s="4">
        <f t="shared" si="274"/>
        <v>19.350872563585007</v>
      </c>
      <c r="Y327" s="4">
        <f t="shared" si="275"/>
        <v>-1.5190960418465103</v>
      </c>
      <c r="Z327" t="str">
        <f t="shared" si="261"/>
        <v>0.996872807337942+0.270550233262759i</v>
      </c>
      <c r="AA327" s="4">
        <f t="shared" si="276"/>
        <v>1.0329340844063395</v>
      </c>
      <c r="AB327" s="4">
        <f t="shared" si="277"/>
        <v>0.26501527089267346</v>
      </c>
      <c r="AC327" s="47" t="str">
        <f t="shared" si="278"/>
        <v>-1.92027645023239-1.60458771860639i</v>
      </c>
      <c r="AD327" s="20">
        <f t="shared" si="279"/>
        <v>7.967243950162417</v>
      </c>
      <c r="AE327" s="43">
        <f t="shared" si="280"/>
        <v>-140.11778658000483</v>
      </c>
      <c r="AF327" t="str">
        <f t="shared" si="262"/>
        <v>247.084651286898</v>
      </c>
      <c r="AG327" t="str">
        <f t="shared" si="263"/>
        <v>1+195.596617665663i</v>
      </c>
      <c r="AH327">
        <f t="shared" si="281"/>
        <v>195.59917393038128</v>
      </c>
      <c r="AI327">
        <f t="shared" si="282"/>
        <v>1.5656838084941984</v>
      </c>
      <c r="AJ327" t="str">
        <f t="shared" si="264"/>
        <v>1+1.27158609633497i</v>
      </c>
      <c r="AK327">
        <f t="shared" si="283"/>
        <v>1.6176931725121448</v>
      </c>
      <c r="AL327">
        <f t="shared" si="284"/>
        <v>0.90439125683392196</v>
      </c>
      <c r="AM327" t="str">
        <f t="shared" si="265"/>
        <v>1-1.26320100760255i</v>
      </c>
      <c r="AN327">
        <f t="shared" si="285"/>
        <v>1.6111104200544719</v>
      </c>
      <c r="AO327">
        <f t="shared" si="286"/>
        <v>-0.90117399095601625</v>
      </c>
      <c r="AP327" s="41" t="str">
        <f t="shared" si="287"/>
        <v>0.0274238823953692-3.29219191433544i</v>
      </c>
      <c r="AQ327">
        <f t="shared" si="288"/>
        <v>10.350004219000276</v>
      </c>
      <c r="AR327" s="43">
        <f t="shared" si="289"/>
        <v>-89.522738522311158</v>
      </c>
      <c r="AS327" t="str">
        <f t="shared" si="266"/>
        <v>-0.0000166666666666667</v>
      </c>
      <c r="AT327" t="str">
        <f t="shared" si="267"/>
        <v>0.000262820226598108i</v>
      </c>
      <c r="AU327">
        <f t="shared" si="290"/>
        <v>2.6282022659810799E-4</v>
      </c>
      <c r="AV327">
        <f t="shared" si="291"/>
        <v>1.5707963267948966</v>
      </c>
      <c r="AW327" t="str">
        <f t="shared" si="268"/>
        <v>1+0.267094465577386i</v>
      </c>
      <c r="AX327">
        <f t="shared" si="292"/>
        <v>1.0350552900894086</v>
      </c>
      <c r="AY327">
        <f t="shared" si="293"/>
        <v>0.26100174651573399</v>
      </c>
      <c r="AZ327" t="str">
        <f t="shared" si="269"/>
        <v>1+9.08121182963111i</v>
      </c>
      <c r="BA327">
        <f t="shared" si="294"/>
        <v>9.1361046565060757</v>
      </c>
      <c r="BB327">
        <f t="shared" si="295"/>
        <v>1.4611207436449747</v>
      </c>
      <c r="BC327" s="41" t="str">
        <f t="shared" si="296"/>
        <v>-0.521725056265049+0.20276457828902i</v>
      </c>
      <c r="BD327">
        <f t="shared" si="297"/>
        <v>-5.0402503848594549</v>
      </c>
      <c r="BE327" s="43">
        <f t="shared" si="298"/>
        <v>158.76175344897848</v>
      </c>
      <c r="BF327" s="41" t="str">
        <f t="shared" si="299"/>
        <v>1.32720989113291+0.447789573142418i</v>
      </c>
      <c r="BG327" s="20">
        <f t="shared" si="300"/>
        <v>2.9269935653029759</v>
      </c>
      <c r="BH327" s="43">
        <f t="shared" si="301"/>
        <v>18.643966868973575</v>
      </c>
      <c r="BI327" s="41" t="str">
        <f t="shared" si="306"/>
        <v>0.653232178571017+1.72317960369094i</v>
      </c>
      <c r="BJ327" s="20">
        <f t="shared" si="302"/>
        <v>5.3097538341408121</v>
      </c>
      <c r="BK327" s="43">
        <f t="shared" si="307"/>
        <v>69.239014926667309</v>
      </c>
      <c r="BL327">
        <f t="shared" si="303"/>
        <v>2.9269935653029759</v>
      </c>
      <c r="BM327" s="43">
        <f t="shared" si="304"/>
        <v>18.643966868973575</v>
      </c>
    </row>
    <row r="328" spans="14:65" x14ac:dyDescent="0.25">
      <c r="N328" s="9">
        <v>10</v>
      </c>
      <c r="O328" s="34">
        <f t="shared" si="308"/>
        <v>12589.254117941671</v>
      </c>
      <c r="P328" s="33" t="str">
        <f t="shared" si="257"/>
        <v>16.5157725627975</v>
      </c>
      <c r="Q328" s="4" t="str">
        <f t="shared" si="258"/>
        <v>1+204.670554037296i</v>
      </c>
      <c r="R328" s="4">
        <f t="shared" si="270"/>
        <v>204.67299697305873</v>
      </c>
      <c r="S328" s="4">
        <f t="shared" si="271"/>
        <v>1.565910464988953</v>
      </c>
      <c r="T328" s="4" t="str">
        <f t="shared" si="259"/>
        <v>1+1.30120514146121i</v>
      </c>
      <c r="U328" s="4">
        <f t="shared" si="272"/>
        <v>1.6410773352176575</v>
      </c>
      <c r="V328" s="4">
        <f t="shared" si="273"/>
        <v>0.91554844772896793</v>
      </c>
      <c r="W328" t="str">
        <f t="shared" si="260"/>
        <v>1-19.7751541255503i</v>
      </c>
      <c r="X328" s="4">
        <f t="shared" si="274"/>
        <v>19.800422235125922</v>
      </c>
      <c r="Y328" s="4">
        <f t="shared" si="275"/>
        <v>-1.5202708589358989</v>
      </c>
      <c r="Z328" t="str">
        <f t="shared" si="261"/>
        <v>0.996725427288303+0.276852157757704i</v>
      </c>
      <c r="AA328" s="4">
        <f t="shared" si="276"/>
        <v>1.0344605814907337</v>
      </c>
      <c r="AB328" s="4">
        <f t="shared" si="277"/>
        <v>0.27093193225036311</v>
      </c>
      <c r="AC328" s="47" t="str">
        <f t="shared" si="278"/>
        <v>-1.93860597134927-1.63295756352564i</v>
      </c>
      <c r="AD328" s="20">
        <f t="shared" si="279"/>
        <v>8.0785579478559217</v>
      </c>
      <c r="AE328" s="43">
        <f t="shared" si="280"/>
        <v>-139.89135893163731</v>
      </c>
      <c r="AF328" t="str">
        <f t="shared" si="262"/>
        <v>247.084651286898</v>
      </c>
      <c r="AG328" t="str">
        <f t="shared" si="263"/>
        <v>1+200.152648171091i</v>
      </c>
      <c r="AH328">
        <f t="shared" si="281"/>
        <v>200.155146248855</v>
      </c>
      <c r="AI328">
        <f t="shared" si="282"/>
        <v>1.5658001816594966</v>
      </c>
      <c r="AJ328" t="str">
        <f t="shared" si="264"/>
        <v>1+1.30120514146121i</v>
      </c>
      <c r="AK328">
        <f t="shared" si="283"/>
        <v>1.6410773352176575</v>
      </c>
      <c r="AL328">
        <f t="shared" si="284"/>
        <v>0.91554844772896793</v>
      </c>
      <c r="AM328" t="str">
        <f t="shared" si="265"/>
        <v>1-1.29262473892168i</v>
      </c>
      <c r="AN328">
        <f t="shared" si="285"/>
        <v>1.6342823243467886</v>
      </c>
      <c r="AO328">
        <f t="shared" si="286"/>
        <v>-0.91234916757116158</v>
      </c>
      <c r="AP328" s="41" t="str">
        <f t="shared" si="287"/>
        <v>0.0271332472694213-3.31070552507472i</v>
      </c>
      <c r="AQ328">
        <f t="shared" si="288"/>
        <v>10.398702769002337</v>
      </c>
      <c r="AR328" s="43">
        <f t="shared" si="289"/>
        <v>-89.530436719384511</v>
      </c>
      <c r="AS328" t="str">
        <f t="shared" si="266"/>
        <v>-0.0000166666666666667</v>
      </c>
      <c r="AT328" t="str">
        <f t="shared" si="267"/>
        <v>0.000268942096107484i</v>
      </c>
      <c r="AU328">
        <f t="shared" si="290"/>
        <v>2.6894209610748399E-4</v>
      </c>
      <c r="AV328">
        <f t="shared" si="291"/>
        <v>1.5707963267948966</v>
      </c>
      <c r="AW328" t="str">
        <f t="shared" si="268"/>
        <v>1+0.273315894902312i</v>
      </c>
      <c r="AX328">
        <f t="shared" si="292"/>
        <v>1.0366781460059105</v>
      </c>
      <c r="AY328">
        <f t="shared" si="293"/>
        <v>0.26679983865477963</v>
      </c>
      <c r="AZ328" t="str">
        <f t="shared" si="269"/>
        <v>1+9.29274042667859i</v>
      </c>
      <c r="BA328">
        <f t="shared" si="294"/>
        <v>9.346390995332186</v>
      </c>
      <c r="BB328">
        <f t="shared" si="295"/>
        <v>1.4635979633274778</v>
      </c>
      <c r="BC328" s="41" t="str">
        <f t="shared" si="296"/>
        <v>-0.520092877789478+0.204120858655659i</v>
      </c>
      <c r="BD328">
        <f t="shared" si="297"/>
        <v>-5.0562006775085777</v>
      </c>
      <c r="BE328" s="43">
        <f t="shared" si="298"/>
        <v>158.57148147291727</v>
      </c>
      <c r="BF328" s="41" t="str">
        <f t="shared" si="299"/>
        <v>1.34157585855401+0.453579683055344i</v>
      </c>
      <c r="BG328" s="20">
        <f t="shared" si="300"/>
        <v>3.0223572703473192</v>
      </c>
      <c r="BH328" s="43">
        <f t="shared" si="301"/>
        <v>18.680122541280031</v>
      </c>
      <c r="BI328" s="41" t="str">
        <f t="shared" si="306"/>
        <v>0.661672245878159+1.72741282578039i</v>
      </c>
      <c r="BJ328" s="20">
        <f t="shared" si="302"/>
        <v>5.342502091493774</v>
      </c>
      <c r="BK328" s="43">
        <f t="shared" si="307"/>
        <v>69.041044753532802</v>
      </c>
      <c r="BL328">
        <f t="shared" si="303"/>
        <v>3.0223572703473192</v>
      </c>
      <c r="BM328" s="43">
        <f t="shared" si="304"/>
        <v>18.680122541280031</v>
      </c>
    </row>
    <row r="329" spans="14:65" x14ac:dyDescent="0.25">
      <c r="N329" s="9">
        <v>11</v>
      </c>
      <c r="O329" s="34">
        <f t="shared" si="308"/>
        <v>12882.49551693136</v>
      </c>
      <c r="P329" s="33" t="str">
        <f t="shared" si="257"/>
        <v>16.5157725627975</v>
      </c>
      <c r="Q329" s="4" t="str">
        <f t="shared" si="258"/>
        <v>1+209.437943672584i</v>
      </c>
      <c r="R329" s="4">
        <f t="shared" si="270"/>
        <v>209.44033100098096</v>
      </c>
      <c r="S329" s="4">
        <f t="shared" si="271"/>
        <v>1.5660216790717276</v>
      </c>
      <c r="T329" s="4" t="str">
        <f t="shared" si="259"/>
        <v>1+1.33151410277695i</v>
      </c>
      <c r="U329" s="4">
        <f t="shared" si="272"/>
        <v>1.6652116399706995</v>
      </c>
      <c r="V329" s="4">
        <f t="shared" si="273"/>
        <v>0.92663972269651285</v>
      </c>
      <c r="W329" t="str">
        <f t="shared" si="260"/>
        <v>1-20.2357766379475i</v>
      </c>
      <c r="X329" s="4">
        <f t="shared" si="274"/>
        <v>20.260470284297497</v>
      </c>
      <c r="Y329" s="4">
        <f t="shared" si="275"/>
        <v>-1.5214190688218636</v>
      </c>
      <c r="Z329" t="str">
        <f t="shared" si="261"/>
        <v>0.996571101430914+0.283300872931265i</v>
      </c>
      <c r="AA329" s="4">
        <f t="shared" si="276"/>
        <v>1.0360566320480951</v>
      </c>
      <c r="AB329" s="4">
        <f t="shared" si="277"/>
        <v>0.27696907178795394</v>
      </c>
      <c r="AC329" s="47" t="str">
        <f t="shared" si="278"/>
        <v>-1.95768199342981-1.66176659005152i</v>
      </c>
      <c r="AD329" s="20">
        <f t="shared" si="279"/>
        <v>8.191480857570685</v>
      </c>
      <c r="AE329" s="43">
        <f t="shared" si="280"/>
        <v>-139.67393798043972</v>
      </c>
      <c r="AF329" t="str">
        <f t="shared" si="262"/>
        <v>247.084651286898</v>
      </c>
      <c r="AG329" t="str">
        <f t="shared" si="263"/>
        <v>1+204.814802259913i</v>
      </c>
      <c r="AH329">
        <f t="shared" si="281"/>
        <v>204.81724347517044</v>
      </c>
      <c r="AI329">
        <f t="shared" si="282"/>
        <v>1.5659139059789082</v>
      </c>
      <c r="AJ329" t="str">
        <f t="shared" si="264"/>
        <v>1+1.33151410277695i</v>
      </c>
      <c r="AK329">
        <f t="shared" si="283"/>
        <v>1.6652116399706995</v>
      </c>
      <c r="AL329">
        <f t="shared" si="284"/>
        <v>0.92663972269651285</v>
      </c>
      <c r="AM329" t="str">
        <f t="shared" si="265"/>
        <v>1-1.32273383698729i</v>
      </c>
      <c r="AN329">
        <f t="shared" si="285"/>
        <v>1.6581992653210045</v>
      </c>
      <c r="AO329">
        <f t="shared" si="286"/>
        <v>-0.92345990488085472</v>
      </c>
      <c r="AP329" s="41" t="str">
        <f t="shared" si="287"/>
        <v>0.0268556922405973-3.33097438496663i</v>
      </c>
      <c r="AQ329">
        <f t="shared" si="288"/>
        <v>10.451708153138068</v>
      </c>
      <c r="AR329" s="43">
        <f t="shared" si="289"/>
        <v>-89.538067752979316</v>
      </c>
      <c r="AS329" t="str">
        <f t="shared" si="266"/>
        <v>-0.0000166666666666667</v>
      </c>
      <c r="AT329" t="str">
        <f t="shared" si="267"/>
        <v>0.000275206562276086i</v>
      </c>
      <c r="AU329">
        <f t="shared" si="290"/>
        <v>2.75206562276086E-4</v>
      </c>
      <c r="AV329">
        <f t="shared" si="291"/>
        <v>1.5707963267948966</v>
      </c>
      <c r="AW329" t="str">
        <f t="shared" si="268"/>
        <v>1+0.279682239932479i</v>
      </c>
      <c r="AX329">
        <f t="shared" si="292"/>
        <v>1.0383747663217018</v>
      </c>
      <c r="AY329">
        <f t="shared" si="293"/>
        <v>0.27271401996624411</v>
      </c>
      <c r="AZ329" t="str">
        <f t="shared" si="269"/>
        <v>1+9.50919615770429i</v>
      </c>
      <c r="BA329">
        <f t="shared" si="294"/>
        <v>9.5616322647180922</v>
      </c>
      <c r="BB329">
        <f t="shared" si="295"/>
        <v>1.4660200714796532</v>
      </c>
      <c r="BC329" s="41" t="str">
        <f t="shared" si="296"/>
        <v>-0.518394686951354+0.205546358623635i</v>
      </c>
      <c r="BD329">
        <f t="shared" si="297"/>
        <v>-5.0726424915214521</v>
      </c>
      <c r="BE329" s="43">
        <f t="shared" si="298"/>
        <v>158.37140041913912</v>
      </c>
      <c r="BF329" s="41" t="str">
        <f t="shared" si="299"/>
        <v>1.35642201560185+0.45905656614342i</v>
      </c>
      <c r="BG329" s="20">
        <f t="shared" si="300"/>
        <v>3.1188383660492125</v>
      </c>
      <c r="BH329" s="43">
        <f t="shared" si="301"/>
        <v>18.697462438699425</v>
      </c>
      <c r="BI329" s="41" t="str">
        <f t="shared" si="306"/>
        <v>0.670747807326567+1.73227951328613i</v>
      </c>
      <c r="BJ329" s="20">
        <f t="shared" si="302"/>
        <v>5.3790656616166279</v>
      </c>
      <c r="BK329" s="43">
        <f t="shared" si="307"/>
        <v>68.833332666159819</v>
      </c>
      <c r="BL329">
        <f t="shared" si="303"/>
        <v>3.1188383660492125</v>
      </c>
      <c r="BM329" s="43">
        <f t="shared" si="304"/>
        <v>18.697462438699425</v>
      </c>
    </row>
    <row r="330" spans="14:65" x14ac:dyDescent="0.25">
      <c r="N330" s="9">
        <v>12</v>
      </c>
      <c r="O330" s="34">
        <f t="shared" si="308"/>
        <v>13182.567385564091</v>
      </c>
      <c r="P330" s="33" t="str">
        <f t="shared" si="257"/>
        <v>16.5157725627975</v>
      </c>
      <c r="Q330" s="4" t="str">
        <f t="shared" si="258"/>
        <v>1+214.316380077847i</v>
      </c>
      <c r="R330" s="4">
        <f t="shared" si="270"/>
        <v>214.31871306461358</v>
      </c>
      <c r="S330" s="4">
        <f t="shared" si="271"/>
        <v>1.5661303617270397</v>
      </c>
      <c r="T330" s="4" t="str">
        <f t="shared" si="259"/>
        <v>1+1.36252905049464i</v>
      </c>
      <c r="U330" s="4">
        <f t="shared" si="272"/>
        <v>1.6901140237989343</v>
      </c>
      <c r="V330" s="4">
        <f t="shared" si="273"/>
        <v>0.93766004765377675</v>
      </c>
      <c r="W330" t="str">
        <f t="shared" si="260"/>
        <v>1-20.7071284269703i</v>
      </c>
      <c r="X330" s="4">
        <f t="shared" si="274"/>
        <v>20.73126063921443</v>
      </c>
      <c r="Y330" s="4">
        <f t="shared" si="275"/>
        <v>-1.5225412681833366</v>
      </c>
      <c r="Z330" t="str">
        <f t="shared" si="261"/>
        <v>0.996409502419939+0.289899797977584i</v>
      </c>
      <c r="AA330" s="4">
        <f t="shared" si="276"/>
        <v>1.0377252957214613</v>
      </c>
      <c r="AB330" s="4">
        <f t="shared" si="277"/>
        <v>0.28312836975590933</v>
      </c>
      <c r="AC330" s="47" t="str">
        <f t="shared" si="278"/>
        <v>-1.97752980499913-1.69100376408142i</v>
      </c>
      <c r="AD330" s="20">
        <f t="shared" si="279"/>
        <v>8.3059622930761332</v>
      </c>
      <c r="AE330" s="43">
        <f t="shared" si="280"/>
        <v>-139.46594599449355</v>
      </c>
      <c r="AF330" t="str">
        <f t="shared" si="262"/>
        <v>247.084651286898</v>
      </c>
      <c r="AG330" t="str">
        <f t="shared" si="263"/>
        <v>1+209.585551867937i</v>
      </c>
      <c r="AH330">
        <f t="shared" si="281"/>
        <v>209.58793751499084</v>
      </c>
      <c r="AI330">
        <f t="shared" si="282"/>
        <v>1.5660250417387991</v>
      </c>
      <c r="AJ330" t="str">
        <f t="shared" si="264"/>
        <v>1+1.36252905049464i</v>
      </c>
      <c r="AK330">
        <f t="shared" si="283"/>
        <v>1.6901140237989343</v>
      </c>
      <c r="AL330">
        <f t="shared" si="284"/>
        <v>0.93766004765377675</v>
      </c>
      <c r="AM330" t="str">
        <f t="shared" si="265"/>
        <v>1-1.35354426604173i</v>
      </c>
      <c r="AN330">
        <f t="shared" si="285"/>
        <v>1.6828791044321767</v>
      </c>
      <c r="AO330">
        <f t="shared" si="286"/>
        <v>-0.93450112158618814</v>
      </c>
      <c r="AP330" s="41" t="str">
        <f t="shared" si="287"/>
        <v>0.0265906286636669-3.35300924955484i</v>
      </c>
      <c r="AQ330">
        <f t="shared" si="288"/>
        <v>10.508968152413885</v>
      </c>
      <c r="AR330" s="43">
        <f t="shared" si="289"/>
        <v>-89.545632371965084</v>
      </c>
      <c r="AS330" t="str">
        <f t="shared" si="266"/>
        <v>-0.0000166666666666667</v>
      </c>
      <c r="AT330" t="str">
        <f t="shared" si="267"/>
        <v>0.000281616946606796i</v>
      </c>
      <c r="AU330">
        <f t="shared" si="290"/>
        <v>2.8161694660679598E-4</v>
      </c>
      <c r="AV330">
        <f t="shared" si="291"/>
        <v>1.5707963267948966</v>
      </c>
      <c r="AW330" t="str">
        <f t="shared" si="268"/>
        <v>1+0.28619687618829i</v>
      </c>
      <c r="AX330">
        <f t="shared" si="292"/>
        <v>1.0401483797708553</v>
      </c>
      <c r="AY330">
        <f t="shared" si="293"/>
        <v>0.2787457706580968</v>
      </c>
      <c r="AZ330" t="str">
        <f t="shared" si="269"/>
        <v>1+9.73069379040187i</v>
      </c>
      <c r="BA330">
        <f t="shared" si="294"/>
        <v>9.7819426313266398</v>
      </c>
      <c r="BB330">
        <f t="shared" si="295"/>
        <v>1.4683882385968619</v>
      </c>
      <c r="BC330" s="41" t="str">
        <f t="shared" si="296"/>
        <v>-0.516628308384424+0.207039452512297i</v>
      </c>
      <c r="BD330">
        <f t="shared" si="297"/>
        <v>-5.0896044246870726</v>
      </c>
      <c r="BE330" s="43">
        <f t="shared" si="298"/>
        <v>158.16149254241856</v>
      </c>
      <c r="BF330" s="41" t="str">
        <f t="shared" si="299"/>
        <v>1.37175237144813+0.464193725955308i</v>
      </c>
      <c r="BG330" s="20">
        <f t="shared" si="300"/>
        <v>3.2163578683890526</v>
      </c>
      <c r="BH330" s="43">
        <f t="shared" si="301"/>
        <v>18.695546547925016</v>
      </c>
      <c r="BI330" s="41" t="str">
        <f t="shared" si="306"/>
        <v>0.680467727791113+1.73776480579533i</v>
      </c>
      <c r="BJ330" s="20">
        <f t="shared" si="302"/>
        <v>5.4193637277268216</v>
      </c>
      <c r="BK330" s="43">
        <f t="shared" si="307"/>
        <v>68.61586017045353</v>
      </c>
      <c r="BL330">
        <f t="shared" si="303"/>
        <v>3.2163578683890526</v>
      </c>
      <c r="BM330" s="43">
        <f t="shared" si="304"/>
        <v>18.695546547925016</v>
      </c>
    </row>
    <row r="331" spans="14:65" x14ac:dyDescent="0.25">
      <c r="N331" s="9">
        <v>13</v>
      </c>
      <c r="O331" s="34">
        <f t="shared" si="308"/>
        <v>13489.628825916556</v>
      </c>
      <c r="P331" s="33" t="str">
        <f t="shared" si="257"/>
        <v>16.5157725627975</v>
      </c>
      <c r="Q331" s="4" t="str">
        <f t="shared" si="258"/>
        <v>1+219.308449864639i</v>
      </c>
      <c r="R331" s="4">
        <f t="shared" si="270"/>
        <v>219.31072974670181</v>
      </c>
      <c r="S331" s="4">
        <f t="shared" si="271"/>
        <v>1.5662365705695953</v>
      </c>
      <c r="T331" s="4" t="str">
        <f t="shared" si="259"/>
        <v>1+1.39426642915012i</v>
      </c>
      <c r="U331" s="4">
        <f t="shared" si="272"/>
        <v>1.7158026912949595</v>
      </c>
      <c r="V331" s="4">
        <f t="shared" si="273"/>
        <v>0.94860455894214679</v>
      </c>
      <c r="W331" t="str">
        <f t="shared" si="260"/>
        <v>1-21.1894594095763i</v>
      </c>
      <c r="X331" s="4">
        <f t="shared" si="274"/>
        <v>21.21304292340167</v>
      </c>
      <c r="Y331" s="4">
        <f t="shared" si="275"/>
        <v>-1.5236380407130821</v>
      </c>
      <c r="Z331" t="str">
        <f t="shared" si="261"/>
        <v>0.996240287482211+0.296652431734068i</v>
      </c>
      <c r="AA331" s="4">
        <f t="shared" si="276"/>
        <v>1.0394697569705309</v>
      </c>
      <c r="AB331" s="4">
        <f t="shared" si="277"/>
        <v>0.28941147771668008</v>
      </c>
      <c r="AC331" s="47" t="str">
        <f t="shared" si="278"/>
        <v>-1.99817507574939-1.72065685062828i</v>
      </c>
      <c r="AD331" s="20">
        <f t="shared" si="279"/>
        <v>8.4219494170979363</v>
      </c>
      <c r="AE331" s="43">
        <f t="shared" si="280"/>
        <v>-139.26779301267942</v>
      </c>
      <c r="AF331" t="str">
        <f t="shared" si="262"/>
        <v>247.084651286898</v>
      </c>
      <c r="AG331" t="str">
        <f t="shared" si="263"/>
        <v>1+214.467426509755i</v>
      </c>
      <c r="AH331">
        <f t="shared" si="281"/>
        <v>214.46975785344927</v>
      </c>
      <c r="AI331">
        <f t="shared" si="282"/>
        <v>1.5661336478538328</v>
      </c>
      <c r="AJ331" t="str">
        <f t="shared" si="264"/>
        <v>1+1.39426642915012i</v>
      </c>
      <c r="AK331">
        <f t="shared" si="283"/>
        <v>1.7158026912949595</v>
      </c>
      <c r="AL331">
        <f t="shared" si="284"/>
        <v>0.94860455894214679</v>
      </c>
      <c r="AM331" t="str">
        <f t="shared" si="265"/>
        <v>1-1.3850723621823i</v>
      </c>
      <c r="AN331">
        <f t="shared" si="285"/>
        <v>1.7083399686482945</v>
      </c>
      <c r="AO331">
        <f t="shared" si="286"/>
        <v>-0.94546790412286841</v>
      </c>
      <c r="AP331" s="41" t="str">
        <f t="shared" si="287"/>
        <v>0.0263374943819498-3.37682181015973i</v>
      </c>
      <c r="AQ331">
        <f t="shared" si="288"/>
        <v>10.57042706569103</v>
      </c>
      <c r="AR331" s="43">
        <f t="shared" si="289"/>
        <v>-89.553131092518498</v>
      </c>
      <c r="AS331" t="str">
        <f t="shared" si="266"/>
        <v>-0.0000166666666666667</v>
      </c>
      <c r="AT331" t="str">
        <f t="shared" si="267"/>
        <v>0.000288176647970237i</v>
      </c>
      <c r="AU331">
        <f t="shared" si="290"/>
        <v>2.88176647970237E-4</v>
      </c>
      <c r="AV331">
        <f t="shared" si="291"/>
        <v>1.5707963267948966</v>
      </c>
      <c r="AW331" t="str">
        <f t="shared" si="268"/>
        <v>1+0.29286325781612i</v>
      </c>
      <c r="AX331">
        <f t="shared" si="292"/>
        <v>1.0420023453806</v>
      </c>
      <c r="AY331">
        <f t="shared" si="293"/>
        <v>0.28489653257738229</v>
      </c>
      <c r="AZ331" t="str">
        <f t="shared" si="269"/>
        <v>1+9.95735076574808i</v>
      </c>
      <c r="BA331">
        <f t="shared" si="294"/>
        <v>10.007438946710787</v>
      </c>
      <c r="BB331">
        <f t="shared" si="295"/>
        <v>1.4707036140050656</v>
      </c>
      <c r="BC331" s="41" t="str">
        <f t="shared" si="296"/>
        <v>-0.514791538945018+0.208598423891459i</v>
      </c>
      <c r="BD331">
        <f t="shared" si="297"/>
        <v>-5.1071156606096935</v>
      </c>
      <c r="BE331" s="43">
        <f t="shared" si="298"/>
        <v>157.94174108253216</v>
      </c>
      <c r="BF331" s="41" t="str">
        <f t="shared" si="299"/>
        <v>1.38756992942571+0.468963416670701i</v>
      </c>
      <c r="BG331" s="20">
        <f t="shared" si="300"/>
        <v>3.3148337564882624</v>
      </c>
      <c r="BH331" s="43">
        <f t="shared" si="301"/>
        <v>18.673948069852703</v>
      </c>
      <c r="BI331" s="41" t="str">
        <f t="shared" si="306"/>
        <v>0.690841388096784+1.74385325621255i</v>
      </c>
      <c r="BJ331" s="20">
        <f t="shared" si="302"/>
        <v>5.463311405081325</v>
      </c>
      <c r="BK331" s="43">
        <f t="shared" si="307"/>
        <v>68.38860999001362</v>
      </c>
      <c r="BL331">
        <f t="shared" si="303"/>
        <v>3.3148337564882624</v>
      </c>
      <c r="BM331" s="43">
        <f t="shared" si="304"/>
        <v>18.673948069852703</v>
      </c>
    </row>
    <row r="332" spans="14:65" x14ac:dyDescent="0.25">
      <c r="N332" s="9">
        <v>14</v>
      </c>
      <c r="O332" s="34">
        <f t="shared" si="308"/>
        <v>13803.842646028841</v>
      </c>
      <c r="P332" s="33" t="str">
        <f t="shared" si="257"/>
        <v>16.5157725627975</v>
      </c>
      <c r="Q332" s="4" t="str">
        <f t="shared" si="258"/>
        <v>1+224.41679989444i</v>
      </c>
      <c r="R332" s="4">
        <f t="shared" si="270"/>
        <v>224.4190278805724</v>
      </c>
      <c r="S332" s="4">
        <f t="shared" si="271"/>
        <v>1.5663403619031391</v>
      </c>
      <c r="T332" s="4" t="str">
        <f t="shared" si="259"/>
        <v>1+1.42674306632162i</v>
      </c>
      <c r="U332" s="4">
        <f t="shared" si="272"/>
        <v>1.7422961221608737</v>
      </c>
      <c r="V332" s="4">
        <f t="shared" si="273"/>
        <v>0.95946857207161662</v>
      </c>
      <c r="W332" t="str">
        <f t="shared" si="260"/>
        <v>1-21.6830253240369i</v>
      </c>
      <c r="X332" s="4">
        <f t="shared" si="274"/>
        <v>21.706072588168169</v>
      </c>
      <c r="Y332" s="4">
        <f t="shared" si="275"/>
        <v>-1.5247099573738638</v>
      </c>
      <c r="Z332" t="str">
        <f t="shared" si="261"/>
        <v>0.996063097690159+0.303562354536516i</v>
      </c>
      <c r="AA332" s="4">
        <f t="shared" si="276"/>
        <v>1.041293329313056</v>
      </c>
      <c r="AB332" s="4">
        <f t="shared" si="277"/>
        <v>0.29582001438411126</v>
      </c>
      <c r="AC332" s="47" t="str">
        <f t="shared" si="278"/>
        <v>-2.01964381683815-1.75071235137961i</v>
      </c>
      <c r="AD332" s="20">
        <f t="shared" si="279"/>
        <v>8.5393870321255108</v>
      </c>
      <c r="AE332" s="43">
        <f t="shared" si="280"/>
        <v>-139.07987612169947</v>
      </c>
      <c r="AF332" t="str">
        <f t="shared" si="262"/>
        <v>247.084651286898</v>
      </c>
      <c r="AG332" t="str">
        <f t="shared" si="263"/>
        <v>1+219.463014619919i</v>
      </c>
      <c r="AH332">
        <f t="shared" si="281"/>
        <v>219.46529289630917</v>
      </c>
      <c r="AI332">
        <f t="shared" si="282"/>
        <v>1.5662397818981548</v>
      </c>
      <c r="AJ332" t="str">
        <f t="shared" si="264"/>
        <v>1+1.42674306632162i</v>
      </c>
      <c r="AK332">
        <f t="shared" si="283"/>
        <v>1.7422961221608737</v>
      </c>
      <c r="AL332">
        <f t="shared" si="284"/>
        <v>0.95946857207161662</v>
      </c>
      <c r="AM332" t="str">
        <f t="shared" si="265"/>
        <v>1-1.41733484202289i</v>
      </c>
      <c r="AN332">
        <f t="shared" si="285"/>
        <v>1.7346002578150537</v>
      </c>
      <c r="AO332">
        <f t="shared" si="286"/>
        <v>-0.95635551568149468</v>
      </c>
      <c r="AP332" s="41" t="str">
        <f t="shared" si="287"/>
        <v>0.0260957525354112-3.40242470011609i</v>
      </c>
      <c r="AQ332">
        <f t="shared" si="288"/>
        <v>10.636025916719438</v>
      </c>
      <c r="AR332" s="43">
        <f t="shared" si="289"/>
        <v>-89.560564215714606</v>
      </c>
      <c r="AS332" t="str">
        <f t="shared" si="266"/>
        <v>-0.0000166666666666667</v>
      </c>
      <c r="AT332" t="str">
        <f t="shared" si="267"/>
        <v>0.000294889144406901i</v>
      </c>
      <c r="AU332">
        <f t="shared" si="290"/>
        <v>2.9488914440690099E-4</v>
      </c>
      <c r="AV332">
        <f t="shared" si="291"/>
        <v>1.5707963267948966</v>
      </c>
      <c r="AW332" t="str">
        <f t="shared" si="268"/>
        <v>1+0.299684919419747i</v>
      </c>
      <c r="AX332">
        <f t="shared" si="292"/>
        <v>1.0439401567750999</v>
      </c>
      <c r="AY332">
        <f t="shared" si="293"/>
        <v>0.29116770466369141</v>
      </c>
      <c r="AZ332" t="str">
        <f t="shared" si="269"/>
        <v>1+10.1892872602714i</v>
      </c>
      <c r="BA332">
        <f t="shared" si="294"/>
        <v>10.238240809452034</v>
      </c>
      <c r="BB332">
        <f t="shared" si="295"/>
        <v>1.4729673259914282</v>
      </c>
      <c r="BC332" s="41" t="str">
        <f t="shared" si="296"/>
        <v>-0.512882151637609+0.210221460010569i</v>
      </c>
      <c r="BD332">
        <f t="shared" si="297"/>
        <v>-5.125205986089874</v>
      </c>
      <c r="BE332" s="43">
        <f t="shared" si="298"/>
        <v>157.71213053223806</v>
      </c>
      <c r="BF332" s="41" t="str">
        <f t="shared" si="299"/>
        <v>1.4038765728871+0.473336645797078i</v>
      </c>
      <c r="BG332" s="20">
        <f t="shared" si="300"/>
        <v>3.4141810460356319</v>
      </c>
      <c r="BH332" s="43">
        <f t="shared" si="301"/>
        <v>18.632254410538614</v>
      </c>
      <c r="BI332" s="41" t="str">
        <f t="shared" si="306"/>
        <v>0.701878642325462+1.75052878817856i</v>
      </c>
      <c r="BJ332" s="20">
        <f t="shared" si="302"/>
        <v>5.5108199306295838</v>
      </c>
      <c r="BK332" s="43">
        <f t="shared" si="307"/>
        <v>68.151566316523542</v>
      </c>
      <c r="BL332">
        <f t="shared" si="303"/>
        <v>3.4141810460356319</v>
      </c>
      <c r="BM332" s="43">
        <f t="shared" si="304"/>
        <v>18.632254410538614</v>
      </c>
    </row>
    <row r="333" spans="14:65" x14ac:dyDescent="0.25">
      <c r="N333" s="9">
        <v>15</v>
      </c>
      <c r="O333" s="34">
        <f t="shared" si="308"/>
        <v>14125.375446227561</v>
      </c>
      <c r="P333" s="33" t="str">
        <f t="shared" si="257"/>
        <v>16.5157725627975</v>
      </c>
      <c r="Q333" s="4" t="str">
        <f t="shared" si="258"/>
        <v>1+229.644138682053i</v>
      </c>
      <c r="R333" s="4">
        <f t="shared" si="270"/>
        <v>229.64631595351577</v>
      </c>
      <c r="S333" s="4">
        <f t="shared" si="271"/>
        <v>1.5664417907502597</v>
      </c>
      <c r="T333" s="4" t="str">
        <f t="shared" si="259"/>
        <v>1+1.45997618155208i</v>
      </c>
      <c r="U333" s="4">
        <f t="shared" si="272"/>
        <v>1.769613079376221</v>
      </c>
      <c r="V333" s="4">
        <f t="shared" si="273"/>
        <v>0.97024758949162826</v>
      </c>
      <c r="W333" t="str">
        <f t="shared" si="260"/>
        <v>1-22.1880878655331i</v>
      </c>
      <c r="X333" s="4">
        <f t="shared" si="274"/>
        <v>22.210611048069282</v>
      </c>
      <c r="Y333" s="4">
        <f t="shared" si="275"/>
        <v>-1.5257575766513762</v>
      </c>
      <c r="Z333" t="str">
        <f t="shared" si="261"/>
        <v>0.995877557200478+0.310633230117463i</v>
      </c>
      <c r="AA333" s="4">
        <f t="shared" si="276"/>
        <v>1.0431994596378968</v>
      </c>
      <c r="AB333" s="4">
        <f t="shared" si="277"/>
        <v>0.30235556125212781</v>
      </c>
      <c r="AC333" s="47" t="str">
        <f t="shared" si="278"/>
        <v>-2.04196233614889-1.78115544183531i</v>
      </c>
      <c r="AD333" s="20">
        <f t="shared" si="279"/>
        <v>8.6582176762050089</v>
      </c>
      <c r="AE333" s="43">
        <f t="shared" si="280"/>
        <v>-138.9025787765809</v>
      </c>
      <c r="AF333" t="str">
        <f t="shared" si="262"/>
        <v>247.084651286898</v>
      </c>
      <c r="AG333" t="str">
        <f t="shared" si="263"/>
        <v>1+224.574964925372i</v>
      </c>
      <c r="AH333">
        <f t="shared" si="281"/>
        <v>224.57719134238025</v>
      </c>
      <c r="AI333">
        <f t="shared" si="282"/>
        <v>1.5663435001358708</v>
      </c>
      <c r="AJ333" t="str">
        <f t="shared" si="264"/>
        <v>1+1.45997618155208i</v>
      </c>
      <c r="AK333">
        <f t="shared" si="283"/>
        <v>1.769613079376221</v>
      </c>
      <c r="AL333">
        <f t="shared" si="284"/>
        <v>0.97024758949162826</v>
      </c>
      <c r="AM333" t="str">
        <f t="shared" si="265"/>
        <v>1-1.45034881155738i</v>
      </c>
      <c r="AN333">
        <f t="shared" si="285"/>
        <v>1.7616786526452273</v>
      </c>
      <c r="AO333">
        <f t="shared" si="286"/>
        <v>-0.96715940426002567</v>
      </c>
      <c r="AP333" s="41" t="str">
        <f t="shared" si="287"/>
        <v>0.0258648904226192-3.42983150150788i</v>
      </c>
      <c r="AQ333">
        <f t="shared" si="288"/>
        <v>10.705702668676217</v>
      </c>
      <c r="AR333" s="43">
        <f t="shared" si="289"/>
        <v>-89.567931845409021</v>
      </c>
      <c r="AS333" t="str">
        <f t="shared" si="266"/>
        <v>-0.0000166666666666667</v>
      </c>
      <c r="AT333" t="str">
        <f t="shared" si="267"/>
        <v>0.00030175799497125i</v>
      </c>
      <c r="AU333">
        <f t="shared" si="290"/>
        <v>3.0175799497125002E-4</v>
      </c>
      <c r="AV333">
        <f t="shared" si="291"/>
        <v>1.5707963267948966</v>
      </c>
      <c r="AW333" t="str">
        <f t="shared" si="268"/>
        <v>1+0.30666547793445i</v>
      </c>
      <c r="AX333">
        <f t="shared" si="292"/>
        <v>1.0459654465405464</v>
      </c>
      <c r="AY333">
        <f t="shared" si="293"/>
        <v>0.2975606381890657</v>
      </c>
      <c r="AZ333" t="str">
        <f t="shared" si="269"/>
        <v>1+10.4266262497713i</v>
      </c>
      <c r="BA333">
        <f t="shared" si="294"/>
        <v>10.47447062874396</v>
      </c>
      <c r="BB333">
        <f t="shared" si="295"/>
        <v>1.4751804819538947</v>
      </c>
      <c r="BC333" s="41" t="str">
        <f t="shared" si="296"/>
        <v>-0.510897899994728+0.211906646239259i</v>
      </c>
      <c r="BD333">
        <f t="shared" si="297"/>
        <v>-5.1439058067192702</v>
      </c>
      <c r="BE333" s="43">
        <f t="shared" si="298"/>
        <v>157.4726469185801</v>
      </c>
      <c r="BF333" s="41" t="str">
        <f t="shared" si="299"/>
        <v>1.42067294551692+0.477283184397648i</v>
      </c>
      <c r="BG333" s="20">
        <f t="shared" si="300"/>
        <v>3.5143118694857263</v>
      </c>
      <c r="BH333" s="43">
        <f t="shared" si="301"/>
        <v>18.570068141999219</v>
      </c>
      <c r="BI333" s="41" t="str">
        <f t="shared" si="306"/>
        <v>0.713589772449787+1.75777465364094i</v>
      </c>
      <c r="BJ333" s="20">
        <f t="shared" si="302"/>
        <v>5.5617968619569327</v>
      </c>
      <c r="BK333" s="43">
        <f t="shared" si="307"/>
        <v>67.904715073171033</v>
      </c>
      <c r="BL333">
        <f t="shared" si="303"/>
        <v>3.5143118694857263</v>
      </c>
      <c r="BM333" s="43">
        <f t="shared" si="304"/>
        <v>18.570068141999219</v>
      </c>
    </row>
    <row r="334" spans="14:65" x14ac:dyDescent="0.25">
      <c r="N334" s="9">
        <v>16</v>
      </c>
      <c r="O334" s="34">
        <f t="shared" si="308"/>
        <v>14454.397707459291</v>
      </c>
      <c r="P334" s="33" t="str">
        <f t="shared" si="257"/>
        <v>16.5157725627975</v>
      </c>
      <c r="Q334" s="4" t="str">
        <f t="shared" si="258"/>
        <v>1+234.993237831695i</v>
      </c>
      <c r="R334" s="4">
        <f t="shared" si="270"/>
        <v>234.99536554286252</v>
      </c>
      <c r="S334" s="4">
        <f t="shared" si="271"/>
        <v>1.5665409108815216</v>
      </c>
      <c r="T334" s="4" t="str">
        <f t="shared" si="259"/>
        <v>1+1.49398339547905i</v>
      </c>
      <c r="U334" s="4">
        <f t="shared" si="272"/>
        <v>1.7977726179823499</v>
      </c>
      <c r="V334" s="4">
        <f t="shared" si="273"/>
        <v>0.98093730737363005</v>
      </c>
      <c r="W334" t="str">
        <f t="shared" si="260"/>
        <v>1-22.7049148249096i</v>
      </c>
      <c r="X334" s="4">
        <f t="shared" si="274"/>
        <v>22.726925819529569</v>
      </c>
      <c r="Y334" s="4">
        <f t="shared" si="275"/>
        <v>-1.5267814448038446</v>
      </c>
      <c r="Z334" t="str">
        <f t="shared" si="261"/>
        <v>0.995683272456913+0.317868807548734i</v>
      </c>
      <c r="AA334" s="4">
        <f t="shared" si="276"/>
        <v>1.0451917325844866</v>
      </c>
      <c r="AB334" s="4">
        <f t="shared" si="277"/>
        <v>0.30901965801179537</v>
      </c>
      <c r="AC334" s="47" t="str">
        <f t="shared" si="278"/>
        <v>-2.06515718823749-1.81196990833006i</v>
      </c>
      <c r="AD334" s="20">
        <f t="shared" si="279"/>
        <v>8.7783817230901668</v>
      </c>
      <c r="AE334" s="43">
        <f t="shared" si="280"/>
        <v>-138.73627016545299</v>
      </c>
      <c r="AF334" t="str">
        <f t="shared" si="262"/>
        <v>247.084651286898</v>
      </c>
      <c r="AG334" t="str">
        <f t="shared" si="263"/>
        <v>1+229.80598784983i</v>
      </c>
      <c r="AH334">
        <f t="shared" si="281"/>
        <v>229.80816358788519</v>
      </c>
      <c r="AI334">
        <f t="shared" si="282"/>
        <v>1.5664448575508316</v>
      </c>
      <c r="AJ334" t="str">
        <f t="shared" si="264"/>
        <v>1+1.49398339547905i</v>
      </c>
      <c r="AK334">
        <f t="shared" si="283"/>
        <v>1.7977726179823499</v>
      </c>
      <c r="AL334">
        <f t="shared" si="284"/>
        <v>0.98093730737363005</v>
      </c>
      <c r="AM334" t="str">
        <f t="shared" si="265"/>
        <v>1-1.48413177522939i</v>
      </c>
      <c r="AN334">
        <f t="shared" si="285"/>
        <v>1.7895941233267227</v>
      </c>
      <c r="AO334">
        <f t="shared" si="286"/>
        <v>-0.97787520973125408</v>
      </c>
      <c r="AP334" s="41" t="str">
        <f t="shared" si="287"/>
        <v>0.0256444184137293-3.45905675240328i</v>
      </c>
      <c r="AQ334">
        <f t="shared" si="288"/>
        <v>10.779392444655372</v>
      </c>
      <c r="AR334" s="43">
        <f t="shared" si="289"/>
        <v>-89.575233906269006</v>
      </c>
      <c r="AS334" t="str">
        <f t="shared" si="266"/>
        <v>-0.0000166666666666667</v>
      </c>
      <c r="AT334" t="str">
        <f t="shared" si="267"/>
        <v>0.000308786841618771i</v>
      </c>
      <c r="AU334">
        <f t="shared" si="290"/>
        <v>3.0878684161877101E-4</v>
      </c>
      <c r="AV334">
        <f t="shared" si="291"/>
        <v>1.5707963267948966</v>
      </c>
      <c r="AW334" t="str">
        <f t="shared" si="268"/>
        <v>1+0.313808634544751i</v>
      </c>
      <c r="AX334">
        <f t="shared" si="292"/>
        <v>1.0480819906452172</v>
      </c>
      <c r="AY334">
        <f t="shared" si="293"/>
        <v>0.30407663178504157</v>
      </c>
      <c r="AZ334" t="str">
        <f t="shared" si="269"/>
        <v>1+10.6694935745215i</v>
      </c>
      <c r="BA334">
        <f t="shared" si="294"/>
        <v>10.716253689454893</v>
      </c>
      <c r="BB334">
        <f t="shared" si="295"/>
        <v>1.4773441685680007</v>
      </c>
      <c r="BC334" s="41" t="str">
        <f t="shared" si="296"/>
        <v>-0.508836522933331+0.213651960549489i</v>
      </c>
      <c r="BD334">
        <f t="shared" si="297"/>
        <v>-5.1632461605308979</v>
      </c>
      <c r="BE334" s="43">
        <f t="shared" si="298"/>
        <v>157.22327809737362</v>
      </c>
      <c r="BF334" s="41" t="str">
        <f t="shared" si="299"/>
        <v>1.43795832634493+0.480771585704684i</v>
      </c>
      <c r="BG334" s="20">
        <f t="shared" si="300"/>
        <v>3.6151355625592441</v>
      </c>
      <c r="BH334" s="43">
        <f t="shared" si="301"/>
        <v>18.487007931920644</v>
      </c>
      <c r="BI334" s="41" t="str">
        <f t="shared" si="306"/>
        <v>0.72598544010462+1.76557339079319i</v>
      </c>
      <c r="BJ334" s="20">
        <f t="shared" si="302"/>
        <v>5.6161462841244774</v>
      </c>
      <c r="BK334" s="43">
        <f t="shared" si="307"/>
        <v>67.648044191104631</v>
      </c>
      <c r="BL334">
        <f t="shared" si="303"/>
        <v>3.6151355625592441</v>
      </c>
      <c r="BM334" s="43">
        <f t="shared" si="304"/>
        <v>18.487007931920644</v>
      </c>
    </row>
    <row r="335" spans="14:65" x14ac:dyDescent="0.25">
      <c r="N335" s="9">
        <v>17</v>
      </c>
      <c r="O335" s="34">
        <f t="shared" si="308"/>
        <v>14791.083881682089</v>
      </c>
      <c r="P335" s="33" t="str">
        <f t="shared" si="257"/>
        <v>16.5157725627975</v>
      </c>
      <c r="Q335" s="4" t="str">
        <f t="shared" si="258"/>
        <v>1+240.466933506538i</v>
      </c>
      <c r="R335" s="4">
        <f t="shared" si="270"/>
        <v>240.46901278550999</v>
      </c>
      <c r="S335" s="4">
        <f t="shared" si="271"/>
        <v>1.5666377748439355</v>
      </c>
      <c r="T335" s="4" t="str">
        <f t="shared" si="259"/>
        <v>1+1.52878273917752i</v>
      </c>
      <c r="U335" s="4">
        <f t="shared" si="272"/>
        <v>1.8267940944745584</v>
      </c>
      <c r="V335" s="4">
        <f t="shared" si="273"/>
        <v>0.99153362139993395</v>
      </c>
      <c r="W335" t="str">
        <f t="shared" si="260"/>
        <v>1-23.2337802306614i</v>
      </c>
      <c r="X335" s="4">
        <f t="shared" si="274"/>
        <v>23.255290662700229</v>
      </c>
      <c r="Y335" s="4">
        <f t="shared" si="275"/>
        <v>-1.5277820961082109</v>
      </c>
      <c r="Z335" t="str">
        <f t="shared" si="261"/>
        <v>0.995479831355476+0.32527292322926i</v>
      </c>
      <c r="AA335" s="4">
        <f t="shared" si="276"/>
        <v>1.0472738749828694</v>
      </c>
      <c r="AB335" s="4">
        <f t="shared" si="277"/>
        <v>0.31581379775701174</v>
      </c>
      <c r="AC335" s="47" t="str">
        <f t="shared" si="278"/>
        <v>-2.08925511869639-1.84313808528633i</v>
      </c>
      <c r="AD335" s="20">
        <f t="shared" si="279"/>
        <v>8.8998174861445367</v>
      </c>
      <c r="AE335" s="43">
        <f t="shared" si="280"/>
        <v>-138.58130461891108</v>
      </c>
      <c r="AF335" t="str">
        <f t="shared" si="262"/>
        <v>247.084651286898</v>
      </c>
      <c r="AG335" t="str">
        <f t="shared" si="263"/>
        <v>1+235.158856950887i</v>
      </c>
      <c r="AH335">
        <f t="shared" si="281"/>
        <v>235.16098316355061</v>
      </c>
      <c r="AI335">
        <f t="shared" si="282"/>
        <v>1.5665439078757457</v>
      </c>
      <c r="AJ335" t="str">
        <f t="shared" si="264"/>
        <v>1+1.52878273917752i</v>
      </c>
      <c r="AK335">
        <f t="shared" si="283"/>
        <v>1.8267940944745584</v>
      </c>
      <c r="AL335">
        <f t="shared" si="284"/>
        <v>0.99153362139993395</v>
      </c>
      <c r="AM335" t="str">
        <f t="shared" si="265"/>
        <v>1-1.51870164521343i</v>
      </c>
      <c r="AN335">
        <f t="shared" si="285"/>
        <v>1.8183659387411486</v>
      </c>
      <c r="AO335">
        <f t="shared" si="286"/>
        <v>-0.98849876991725061</v>
      </c>
      <c r="AP335" s="41" t="str">
        <f t="shared" si="287"/>
        <v>0.0254338689125008-3.4901159545948i</v>
      </c>
      <c r="AQ335">
        <f t="shared" si="288"/>
        <v>10.857027752570998</v>
      </c>
      <c r="AR335" s="43">
        <f t="shared" si="289"/>
        <v>-89.582470161804309</v>
      </c>
      <c r="AS335" t="str">
        <f t="shared" si="266"/>
        <v>-0.0000166666666666667</v>
      </c>
      <c r="AT335" t="str">
        <f t="shared" si="267"/>
        <v>0.000315979411136995i</v>
      </c>
      <c r="AU335">
        <f t="shared" si="290"/>
        <v>3.1597941113699498E-4</v>
      </c>
      <c r="AV335">
        <f t="shared" si="291"/>
        <v>1.5707963267948966</v>
      </c>
      <c r="AW335" t="str">
        <f t="shared" si="268"/>
        <v>1+0.321118176646836i</v>
      </c>
      <c r="AX335">
        <f t="shared" si="292"/>
        <v>1.0502937129074841</v>
      </c>
      <c r="AY335">
        <f t="shared" si="293"/>
        <v>0.31071692625889186</v>
      </c>
      <c r="AZ335" t="str">
        <f t="shared" si="269"/>
        <v>1+10.9180180059924i</v>
      </c>
      <c r="BA335">
        <f t="shared" si="294"/>
        <v>10.96371821870547</v>
      </c>
      <c r="BB335">
        <f t="shared" si="295"/>
        <v>1.4794594519692941</v>
      </c>
      <c r="BC335" s="41" t="str">
        <f t="shared" si="296"/>
        <v>-0.506695750108658+0.215455268072882i</v>
      </c>
      <c r="BD335">
        <f t="shared" si="297"/>
        <v>-5.183258729538557</v>
      </c>
      <c r="BE335" s="43">
        <f t="shared" si="298"/>
        <v>156.96401406066622</v>
      </c>
      <c r="BF335" s="41" t="str">
        <f t="shared" si="299"/>
        <v>1.45573049979693+0.483769213006621i</v>
      </c>
      <c r="BG335" s="20">
        <f t="shared" si="300"/>
        <v>3.716558756606005</v>
      </c>
      <c r="BH335" s="43">
        <f t="shared" si="301"/>
        <v>18.382709441755075</v>
      </c>
      <c r="BI335" s="41" t="str">
        <f t="shared" si="306"/>
        <v>0.73907663531588+1.77390678262428i</v>
      </c>
      <c r="BJ335" s="20">
        <f t="shared" si="302"/>
        <v>5.6737690230324382</v>
      </c>
      <c r="BK335" s="43">
        <f t="shared" si="307"/>
        <v>67.381543898861906</v>
      </c>
      <c r="BL335">
        <f t="shared" si="303"/>
        <v>3.716558756606005</v>
      </c>
      <c r="BM335" s="43">
        <f t="shared" si="304"/>
        <v>18.382709441755075</v>
      </c>
    </row>
    <row r="336" spans="14:65" x14ac:dyDescent="0.25">
      <c r="N336" s="9">
        <v>18</v>
      </c>
      <c r="O336" s="34">
        <f t="shared" si="308"/>
        <v>15135.612484362096</v>
      </c>
      <c r="P336" s="33" t="str">
        <f t="shared" si="257"/>
        <v>16.5157725627975</v>
      </c>
      <c r="Q336" s="4" t="str">
        <f t="shared" si="258"/>
        <v>1+246.068127932482i</v>
      </c>
      <c r="R336" s="4">
        <f t="shared" si="270"/>
        <v>246.07015988168155</v>
      </c>
      <c r="S336" s="4">
        <f t="shared" si="271"/>
        <v>1.5667324339887816</v>
      </c>
      <c r="T336" s="4" t="str">
        <f t="shared" si="259"/>
        <v>1+1.56439266372013i</v>
      </c>
      <c r="U336" s="4">
        <f t="shared" si="272"/>
        <v>1.8566971767903788</v>
      </c>
      <c r="V336" s="4">
        <f t="shared" si="273"/>
        <v>1.0020326315616919</v>
      </c>
      <c r="W336" t="str">
        <f t="shared" si="260"/>
        <v>1-23.7749644942269i</v>
      </c>
      <c r="X336" s="4">
        <f t="shared" si="274"/>
        <v>23.795985726625187</v>
      </c>
      <c r="Y336" s="4">
        <f t="shared" si="275"/>
        <v>-1.5287600531028356</v>
      </c>
      <c r="Z336" t="str">
        <f t="shared" si="261"/>
        <v>0.995266802370315+0.332849502919177i</v>
      </c>
      <c r="AA336" s="4">
        <f t="shared" si="276"/>
        <v>1.0494497603477619</v>
      </c>
      <c r="AB336" s="4">
        <f t="shared" si="277"/>
        <v>0.32273942198029887</v>
      </c>
      <c r="AC336" s="47" t="str">
        <f t="shared" si="278"/>
        <v>-2.11428300267934-1.87464079308171i</v>
      </c>
      <c r="AD336" s="20">
        <f t="shared" si="279"/>
        <v>9.0224613254071482</v>
      </c>
      <c r="AE336" s="43">
        <f t="shared" si="280"/>
        <v>-138.43802106389469</v>
      </c>
      <c r="AF336" t="str">
        <f t="shared" si="262"/>
        <v>247.084651286898</v>
      </c>
      <c r="AG336" t="str">
        <f t="shared" si="263"/>
        <v>1+240.636410390595i</v>
      </c>
      <c r="AH336">
        <f t="shared" si="281"/>
        <v>240.63848820517231</v>
      </c>
      <c r="AI336">
        <f t="shared" si="282"/>
        <v>1.5666407036206276</v>
      </c>
      <c r="AJ336" t="str">
        <f t="shared" si="264"/>
        <v>1+1.56439266372013i</v>
      </c>
      <c r="AK336">
        <f t="shared" si="283"/>
        <v>1.8566971767903788</v>
      </c>
      <c r="AL336">
        <f t="shared" si="284"/>
        <v>1.0020326315616919</v>
      </c>
      <c r="AM336" t="str">
        <f t="shared" si="265"/>
        <v>1-1.55407675091215i</v>
      </c>
      <c r="AN336">
        <f t="shared" si="285"/>
        <v>1.8480136762820951</v>
      </c>
      <c r="AO336">
        <f t="shared" si="286"/>
        <v>-0.99902612567126492</v>
      </c>
      <c r="AP336" s="41" t="str">
        <f t="shared" si="287"/>
        <v>0.0252327953648318-3.52302558184782i</v>
      </c>
      <c r="AQ336">
        <f t="shared" si="288"/>
        <v>10.938538712960966</v>
      </c>
      <c r="AR336" s="43">
        <f t="shared" si="289"/>
        <v>-89.589640232264955</v>
      </c>
      <c r="AS336" t="str">
        <f t="shared" si="266"/>
        <v>-0.0000166666666666667</v>
      </c>
      <c r="AT336" t="str">
        <f t="shared" si="267"/>
        <v>0.000323339517121487i</v>
      </c>
      <c r="AU336">
        <f t="shared" si="290"/>
        <v>3.2333951712148698E-4</v>
      </c>
      <c r="AV336">
        <f t="shared" si="291"/>
        <v>1.5707963267948966</v>
      </c>
      <c r="AW336" t="str">
        <f t="shared" si="268"/>
        <v>1+0.32859797985668i</v>
      </c>
      <c r="AX336">
        <f t="shared" si="292"/>
        <v>1.0526046895040375</v>
      </c>
      <c r="AY336">
        <f t="shared" si="293"/>
        <v>0.31748269920256</v>
      </c>
      <c r="AZ336" t="str">
        <f t="shared" si="269"/>
        <v>1+11.1723313151271i</v>
      </c>
      <c r="BA336">
        <f t="shared" si="294"/>
        <v>11.21699545399612</v>
      </c>
      <c r="BB336">
        <f t="shared" si="295"/>
        <v>1.4815273779498321</v>
      </c>
      <c r="BC336" s="41" t="str">
        <f t="shared" si="296"/>
        <v>-0.504473307785084+0.217314315770402i</v>
      </c>
      <c r="BD336">
        <f t="shared" si="297"/>
        <v>-5.2039758489924504</v>
      </c>
      <c r="BE336" s="43">
        <f t="shared" si="298"/>
        <v>156.69484725688045</v>
      </c>
      <c r="BF336" s="41" t="str">
        <f t="shared" si="299"/>
        <v>1.47398562121926+0.486242277722532i</v>
      </c>
      <c r="BG336" s="20">
        <f t="shared" si="300"/>
        <v>3.8184854764146876</v>
      </c>
      <c r="BH336" s="43">
        <f t="shared" si="301"/>
        <v>18.256826192985784</v>
      </c>
      <c r="BI336" s="41" t="str">
        <f t="shared" si="306"/>
        <v>0.752874622018521+1.78275581634592i</v>
      </c>
      <c r="BJ336" s="20">
        <f t="shared" si="302"/>
        <v>5.7345628639685007</v>
      </c>
      <c r="BK336" s="43">
        <f t="shared" si="307"/>
        <v>67.105207024615467</v>
      </c>
      <c r="BL336">
        <f t="shared" si="303"/>
        <v>3.8184854764146876</v>
      </c>
      <c r="BM336" s="43">
        <f t="shared" si="304"/>
        <v>18.256826192985784</v>
      </c>
    </row>
    <row r="337" spans="14:65" x14ac:dyDescent="0.25">
      <c r="N337" s="9">
        <v>19</v>
      </c>
      <c r="O337" s="34">
        <f t="shared" si="308"/>
        <v>15488.166189124853</v>
      </c>
      <c r="P337" s="33" t="str">
        <f t="shared" si="257"/>
        <v>16.5157725627975</v>
      </c>
      <c r="Q337" s="4" t="str">
        <f t="shared" si="258"/>
        <v>1+251.799790936954i</v>
      </c>
      <c r="R337" s="4">
        <f t="shared" si="270"/>
        <v>251.80177663371188</v>
      </c>
      <c r="S337" s="4">
        <f t="shared" si="271"/>
        <v>1.5668249384988018</v>
      </c>
      <c r="T337" s="4" t="str">
        <f t="shared" si="259"/>
        <v>1+1.60083204996024i</v>
      </c>
      <c r="U337" s="4">
        <f t="shared" si="272"/>
        <v>1.8875018548811824</v>
      </c>
      <c r="V337" s="4">
        <f t="shared" si="273"/>
        <v>1.0124306459772174</v>
      </c>
      <c r="W337" t="str">
        <f t="shared" si="260"/>
        <v>1-24.3287545586662i</v>
      </c>
      <c r="X337" s="4">
        <f t="shared" si="274"/>
        <v>24.349297697794519</v>
      </c>
      <c r="Y337" s="4">
        <f t="shared" si="275"/>
        <v>-1.5297158268266555</v>
      </c>
      <c r="Z337" t="str">
        <f t="shared" si="261"/>
        <v>0.995043733638389+0.340602563821327i</v>
      </c>
      <c r="AA337" s="4">
        <f t="shared" si="276"/>
        <v>1.0517234134194628</v>
      </c>
      <c r="AB337" s="4">
        <f t="shared" si="277"/>
        <v>0.32979791536163416</v>
      </c>
      <c r="AC337" s="47" t="str">
        <f t="shared" si="278"/>
        <v>-2.1402677773454-1.90645727695753i</v>
      </c>
      <c r="AD337" s="20">
        <f t="shared" si="279"/>
        <v>9.1462477572689842</v>
      </c>
      <c r="AE337" s="43">
        <f t="shared" si="280"/>
        <v>-138.30674252159477</v>
      </c>
      <c r="AF337" t="str">
        <f t="shared" si="262"/>
        <v>247.084651286898</v>
      </c>
      <c r="AG337" t="str">
        <f t="shared" si="263"/>
        <v>1+246.241552440292i</v>
      </c>
      <c r="AH337">
        <f t="shared" si="281"/>
        <v>246.24358295842973</v>
      </c>
      <c r="AI337">
        <f t="shared" si="282"/>
        <v>1.5667352961006031</v>
      </c>
      <c r="AJ337" t="str">
        <f t="shared" si="264"/>
        <v>1+1.60083204996024i</v>
      </c>
      <c r="AK337">
        <f t="shared" si="283"/>
        <v>1.8875018548811824</v>
      </c>
      <c r="AL337">
        <f t="shared" si="284"/>
        <v>1.0124306459772174</v>
      </c>
      <c r="AM337" t="str">
        <f t="shared" si="265"/>
        <v>1-1.59027584867485i</v>
      </c>
      <c r="AN337">
        <f t="shared" si="285"/>
        <v>1.8785572322605757</v>
      </c>
      <c r="AO337">
        <f t="shared" si="286"/>
        <v>-1.0094535249759442</v>
      </c>
      <c r="AP337" s="41" t="str">
        <f t="shared" si="287"/>
        <v>0.0250407713120347-3.55780308866287i</v>
      </c>
      <c r="AQ337">
        <f t="shared" si="288"/>
        <v>11.023853288226652</v>
      </c>
      <c r="AR337" s="43">
        <f t="shared" si="289"/>
        <v>-89.596743612271183</v>
      </c>
      <c r="AS337" t="str">
        <f t="shared" si="266"/>
        <v>-0.0000166666666666667</v>
      </c>
      <c r="AT337" t="str">
        <f t="shared" si="267"/>
        <v>0.000330871061997861i</v>
      </c>
      <c r="AU337">
        <f t="shared" si="290"/>
        <v>3.30871061997861E-4</v>
      </c>
      <c r="AV337">
        <f t="shared" si="291"/>
        <v>1.5707963267948966</v>
      </c>
      <c r="AW337" t="str">
        <f t="shared" si="268"/>
        <v>1+0.336252010064954i</v>
      </c>
      <c r="AX337">
        <f t="shared" si="292"/>
        <v>1.0550191535098885</v>
      </c>
      <c r="AY337">
        <f t="shared" si="293"/>
        <v>0.32437505939941613</v>
      </c>
      <c r="AZ337" t="str">
        <f t="shared" si="269"/>
        <v>1+11.4325683422084i</v>
      </c>
      <c r="BA337">
        <f t="shared" si="294"/>
        <v>11.476219712922271</v>
      </c>
      <c r="BB337">
        <f t="shared" si="295"/>
        <v>1.4835489721673425</v>
      </c>
      <c r="BC337" s="41" t="str">
        <f t="shared" si="296"/>
        <v>-0.502166925241689+0.219226727255092i</v>
      </c>
      <c r="BD337">
        <f t="shared" si="297"/>
        <v>-5.225430514170192</v>
      </c>
      <c r="BE337" s="43">
        <f t="shared" si="298"/>
        <v>156.41577292326809</v>
      </c>
      <c r="BF337" s="41" t="str">
        <f t="shared" si="299"/>
        <v>1.49271807842246+0.488155888597444i</v>
      </c>
      <c r="BG337" s="20">
        <f t="shared" si="300"/>
        <v>3.9208172430988069</v>
      </c>
      <c r="BH337" s="43">
        <f t="shared" si="301"/>
        <v>18.109030401673305</v>
      </c>
      <c r="BI337" s="41" t="str">
        <f t="shared" si="306"/>
        <v>0.767390880210174+1.7921006439919i</v>
      </c>
      <c r="BJ337" s="20">
        <f t="shared" si="302"/>
        <v>5.7984227740564673</v>
      </c>
      <c r="BK337" s="43">
        <f t="shared" si="307"/>
        <v>66.819029310996939</v>
      </c>
      <c r="BL337">
        <f t="shared" si="303"/>
        <v>3.9208172430988069</v>
      </c>
      <c r="BM337" s="43">
        <f t="shared" si="304"/>
        <v>18.109030401673305</v>
      </c>
    </row>
    <row r="338" spans="14:65" x14ac:dyDescent="0.25">
      <c r="N338" s="9">
        <v>20</v>
      </c>
      <c r="O338" s="34">
        <f t="shared" si="308"/>
        <v>15848.931924611146</v>
      </c>
      <c r="P338" s="33" t="str">
        <f t="shared" si="257"/>
        <v>16.5157725627975</v>
      </c>
      <c r="Q338" s="4" t="str">
        <f t="shared" si="258"/>
        <v>1+257.664961523543i</v>
      </c>
      <c r="R338" s="4">
        <f t="shared" si="270"/>
        <v>257.66690202066872</v>
      </c>
      <c r="S338" s="4">
        <f t="shared" si="271"/>
        <v>1.5669153374147757</v>
      </c>
      <c r="T338" s="4" t="str">
        <f t="shared" si="259"/>
        <v>1+1.63812021854274i</v>
      </c>
      <c r="U338" s="4">
        <f t="shared" si="272"/>
        <v>1.9192284518520755</v>
      </c>
      <c r="V338" s="4">
        <f t="shared" si="273"/>
        <v>1.0227241837492034</v>
      </c>
      <c r="W338" t="str">
        <f t="shared" si="260"/>
        <v>1-24.8954440508016i</v>
      </c>
      <c r="X338" s="4">
        <f t="shared" si="274"/>
        <v>24.9155199521622</v>
      </c>
      <c r="Y338" s="4">
        <f t="shared" si="275"/>
        <v>-1.5306499170547485</v>
      </c>
      <c r="Z338" t="str">
        <f t="shared" si="261"/>
        <v>0.994810152001013+0.348536216711221i</v>
      </c>
      <c r="AA338" s="4">
        <f t="shared" si="276"/>
        <v>1.054099014743705</v>
      </c>
      <c r="AB338" s="4">
        <f t="shared" si="277"/>
        <v>0.33699060035473205</v>
      </c>
      <c r="AC338" s="47" t="str">
        <f t="shared" si="278"/>
        <v>-2.16723636800098-1.93856514743654i</v>
      </c>
      <c r="AD338" s="20">
        <f t="shared" si="279"/>
        <v>9.271109566241007</v>
      </c>
      <c r="AE338" s="43">
        <f t="shared" si="280"/>
        <v>-138.18777564858519</v>
      </c>
      <c r="AF338" t="str">
        <f t="shared" si="262"/>
        <v>247.084651286898</v>
      </c>
      <c r="AG338" t="str">
        <f t="shared" si="263"/>
        <v>1+251.977255020484i</v>
      </c>
      <c r="AH338">
        <f t="shared" si="281"/>
        <v>251.97923931875425</v>
      </c>
      <c r="AI338">
        <f t="shared" si="282"/>
        <v>1.566827735463082</v>
      </c>
      <c r="AJ338" t="str">
        <f t="shared" si="264"/>
        <v>1+1.63812021854274i</v>
      </c>
      <c r="AK338">
        <f t="shared" si="283"/>
        <v>1.9192284518520755</v>
      </c>
      <c r="AL338">
        <f t="shared" si="284"/>
        <v>1.0227241837492034</v>
      </c>
      <c r="AM338" t="str">
        <f t="shared" si="265"/>
        <v>1-1.6273181317423i</v>
      </c>
      <c r="AN338">
        <f t="shared" si="285"/>
        <v>1.910016832883221</v>
      </c>
      <c r="AO338">
        <f t="shared" si="286"/>
        <v>-1.0197774260743737</v>
      </c>
      <c r="AP338" s="41" t="str">
        <f t="shared" si="287"/>
        <v>0.0248573894866189-3.59446691955574i</v>
      </c>
      <c r="AQ338">
        <f t="shared" si="288"/>
        <v>11.112897511898627</v>
      </c>
      <c r="AR338" s="43">
        <f t="shared" si="289"/>
        <v>-89.603779688059291</v>
      </c>
      <c r="AS338" t="str">
        <f t="shared" si="266"/>
        <v>-0.0000166666666666667</v>
      </c>
      <c r="AT338" t="str">
        <f t="shared" si="267"/>
        <v>0.000338578039090901i</v>
      </c>
      <c r="AU338">
        <f t="shared" si="290"/>
        <v>3.38578039090901E-4</v>
      </c>
      <c r="AV338">
        <f t="shared" si="291"/>
        <v>1.5707963267948966</v>
      </c>
      <c r="AW338" t="str">
        <f t="shared" si="268"/>
        <v>1+0.344084325539784i</v>
      </c>
      <c r="AX338">
        <f t="shared" si="292"/>
        <v>1.0575414994609753</v>
      </c>
      <c r="AY338">
        <f t="shared" si="293"/>
        <v>0.33139504103569739</v>
      </c>
      <c r="AZ338" t="str">
        <f t="shared" si="269"/>
        <v>1+11.6988670683527i</v>
      </c>
      <c r="BA338">
        <f t="shared" si="294"/>
        <v>11.741528464513779</v>
      </c>
      <c r="BB338">
        <f t="shared" si="295"/>
        <v>1.48552524036571</v>
      </c>
      <c r="BC338" s="41" t="str">
        <f t="shared" si="296"/>
        <v>-0.499774341727806+0.221189997812245i</v>
      </c>
      <c r="BD338">
        <f t="shared" si="297"/>
        <v>-5.2476563845184634</v>
      </c>
      <c r="BE338" s="43">
        <f t="shared" si="298"/>
        <v>156.12678943020228</v>
      </c>
      <c r="BF338" s="41" t="str">
        <f t="shared" si="299"/>
        <v>1.51192034990663+0.489474112959809i</v>
      </c>
      <c r="BG338" s="20">
        <f t="shared" si="300"/>
        <v>4.0234531817225276</v>
      </c>
      <c r="BH338" s="43">
        <f t="shared" si="301"/>
        <v>17.939013781617096</v>
      </c>
      <c r="BI338" s="41" t="str">
        <f t="shared" si="306"/>
        <v>0.782637044604975+1.80192054450951i</v>
      </c>
      <c r="BJ338" s="20">
        <f t="shared" si="302"/>
        <v>5.8652411273801732</v>
      </c>
      <c r="BK338" s="43">
        <f t="shared" si="307"/>
        <v>66.523009742142989</v>
      </c>
      <c r="BL338">
        <f t="shared" si="303"/>
        <v>4.0234531817225276</v>
      </c>
      <c r="BM338" s="43">
        <f t="shared" si="304"/>
        <v>17.939013781617096</v>
      </c>
    </row>
    <row r="339" spans="14:65" x14ac:dyDescent="0.25">
      <c r="N339" s="9">
        <v>21</v>
      </c>
      <c r="O339" s="34">
        <f t="shared" si="308"/>
        <v>16218.100973589309</v>
      </c>
      <c r="P339" s="33" t="str">
        <f t="shared" ref="P339:P402" si="309">COMPLEX(Adc,0)</f>
        <v>16.5157725627975</v>
      </c>
      <c r="Q339" s="4" t="str">
        <f t="shared" ref="Q339:Q402" si="310">IMSUM(COMPLEX(1,0),IMDIV(COMPLEX(0,2*PI()*O339),COMPLEX(wp_lf,0)))</f>
        <v>1+263.666749483331i</v>
      </c>
      <c r="R339" s="4">
        <f t="shared" si="270"/>
        <v>263.66864580967081</v>
      </c>
      <c r="S339" s="4">
        <f t="shared" si="271"/>
        <v>1.567003678661492</v>
      </c>
      <c r="T339" s="4" t="str">
        <f t="shared" ref="T339:T402" si="311">IMSUM(COMPLEX(1,0),IMDIV(COMPLEX(0,2*PI()*O339),COMPLEX(wz_esr,0)))</f>
        <v>1+1.6762769401482i</v>
      </c>
      <c r="U339" s="4">
        <f t="shared" si="272"/>
        <v>1.9518976356542401</v>
      </c>
      <c r="V339" s="4">
        <f t="shared" si="273"/>
        <v>1.0329099768865004</v>
      </c>
      <c r="W339" t="str">
        <f t="shared" ref="W339:W402" si="312">IMSUB(COMPLEX(1,0),IMDIV(COMPLEX(0,2*PI()*O339),COMPLEX(wz_rhp,0)))</f>
        <v>1-25.4753334369028i</v>
      </c>
      <c r="X339" s="4">
        <f t="shared" si="274"/>
        <v>25.494952710710756</v>
      </c>
      <c r="Y339" s="4">
        <f t="shared" si="275"/>
        <v>-1.5315628125302672</v>
      </c>
      <c r="Z339" t="str">
        <f t="shared" ref="Z339:Z402" si="313">IMSUM(COMPLEX(1,0),IMDIV(COMPLEX(0,2*PI()*O339),COMPLEX(Q*(wsl/2),0)),IMDIV(IMPOWER(COMPLEX(0,2*PI()*O339),2),IMPOWER(COMPLEX(wsl/2,0),2)))</f>
        <v>0.994565562000216+0.356654668116638i</v>
      </c>
      <c r="AA339" s="4">
        <f t="shared" si="276"/>
        <v>1.0565809052818409</v>
      </c>
      <c r="AB339" s="4">
        <f t="shared" si="277"/>
        <v>0.34431873157696968</v>
      </c>
      <c r="AC339" s="47" t="str">
        <f t="shared" si="278"/>
        <v>-2.1952156077439-1.97094032276202i</v>
      </c>
      <c r="AD339" s="20">
        <f t="shared" si="279"/>
        <v>9.3969779183394184</v>
      </c>
      <c r="AE339" s="43">
        <f t="shared" si="280"/>
        <v>-138.08141032005452</v>
      </c>
      <c r="AF339" t="str">
        <f t="shared" ref="AF339:AF402" si="314">COMPLEX($B$72,0)</f>
        <v>247.084651286898</v>
      </c>
      <c r="AG339" t="str">
        <f t="shared" ref="AG339:AG402" si="315">IMSUM(COMPLEX(1,0),IMDIV(COMPLEX(0,2*PI()*O339),COMPLEX(wp_lf_DCM,0)))</f>
        <v>1+257.846559276601i</v>
      </c>
      <c r="AH339">
        <f t="shared" si="281"/>
        <v>257.84849840707182</v>
      </c>
      <c r="AI339">
        <f t="shared" si="282"/>
        <v>1.5669180707143149</v>
      </c>
      <c r="AJ339" t="str">
        <f t="shared" ref="AJ339:AJ402" si="316">IMSUM(COMPLEX(1,0),IMDIV(COMPLEX(0,2*PI()*O339),COMPLEX(wz1_dcm,0)))</f>
        <v>1+1.6762769401482i</v>
      </c>
      <c r="AK339">
        <f t="shared" si="283"/>
        <v>1.9518976356542401</v>
      </c>
      <c r="AL339">
        <f t="shared" si="284"/>
        <v>1.0329099768865004</v>
      </c>
      <c r="AM339" t="str">
        <f t="shared" ref="AM339:AM402" si="317">IMSUB(COMPLEX(1,0),IMDIV(COMPLEX(0,2*PI()*O339),COMPLEX(wz2_dcm,0)))</f>
        <v>1-1.6652232404233i</v>
      </c>
      <c r="AN339">
        <f t="shared" si="285"/>
        <v>1.9424130457876039</v>
      </c>
      <c r="AO339">
        <f t="shared" si="286"/>
        <v>-1.0299944996576413</v>
      </c>
      <c r="AP339" s="41" t="str">
        <f t="shared" si="287"/>
        <v>0.0246822609488111-3.63303651886117i</v>
      </c>
      <c r="AQ339">
        <f t="shared" si="288"/>
        <v>11.20559571659185</v>
      </c>
      <c r="AR339" s="43">
        <f t="shared" si="289"/>
        <v>-89.610747754231596</v>
      </c>
      <c r="AS339" t="str">
        <f t="shared" ref="AS339:AS402" si="318">COMPLEX(Adc_ea,0)</f>
        <v>-0.0000166666666666667</v>
      </c>
      <c r="AT339" t="str">
        <f t="shared" ref="AT339:AT402" si="319">COMPLEX(0,2*PI()*O339*wp0_ea)</f>
        <v>0.000346464534741878i</v>
      </c>
      <c r="AU339">
        <f t="shared" si="290"/>
        <v>3.46464534741878E-4</v>
      </c>
      <c r="AV339">
        <f t="shared" si="291"/>
        <v>1.5707963267948966</v>
      </c>
      <c r="AW339" t="str">
        <f t="shared" ref="AW339:AW402" si="320">IMSUM(COMPLEX(1,0),IMDIV(COMPLEX(0,2*PI()*O339),COMPLEX(wp1_ea,0)))</f>
        <v>1+0.35209907907851i</v>
      </c>
      <c r="AX339">
        <f t="shared" si="292"/>
        <v>1.0601762879294814</v>
      </c>
      <c r="AY339">
        <f t="shared" si="293"/>
        <v>0.33854359772545251</v>
      </c>
      <c r="AZ339" t="str">
        <f t="shared" ref="AZ339:AZ402" si="321">IMSUM(COMPLEX(1,0),IMDIV(COMPLEX(0,2*PI()*O339),COMPLEX(wz_ea,0)))</f>
        <v>1+11.9713686886693i</v>
      </c>
      <c r="BA339">
        <f t="shared" si="294"/>
        <v>12.013062402237479</v>
      </c>
      <c r="BB339">
        <f t="shared" si="295"/>
        <v>1.4874571686055498</v>
      </c>
      <c r="BC339" s="41" t="str">
        <f t="shared" si="296"/>
        <v>-0.497293313981154+0.223201489665064i</v>
      </c>
      <c r="BD339">
        <f t="shared" si="297"/>
        <v>-5.2706877849535703</v>
      </c>
      <c r="BE339" s="43">
        <f t="shared" si="298"/>
        <v>155.82789863673398</v>
      </c>
      <c r="BF339" s="41" t="str">
        <f t="shared" si="299"/>
        <v>1.53158286055954+0.490160050980973i</v>
      </c>
      <c r="BG339" s="20">
        <f t="shared" si="300"/>
        <v>4.1262901333858402</v>
      </c>
      <c r="BH339" s="43">
        <f t="shared" si="301"/>
        <v>17.746488316679486</v>
      </c>
      <c r="BI339" s="41" t="str">
        <f t="shared" si="306"/>
        <v>0.79862483967361+1.8121938876911i</v>
      </c>
      <c r="BJ339" s="20">
        <f t="shared" si="302"/>
        <v>5.9349079316382678</v>
      </c>
      <c r="BK339" s="43">
        <f t="shared" si="307"/>
        <v>66.217150882502338</v>
      </c>
      <c r="BL339">
        <f t="shared" si="303"/>
        <v>4.1262901333858402</v>
      </c>
      <c r="BM339" s="43">
        <f t="shared" si="304"/>
        <v>17.746488316679486</v>
      </c>
    </row>
    <row r="340" spans="14:65" x14ac:dyDescent="0.25">
      <c r="N340" s="9">
        <v>22</v>
      </c>
      <c r="O340" s="34">
        <f t="shared" si="308"/>
        <v>16595.869074375616</v>
      </c>
      <c r="P340" s="33" t="str">
        <f t="shared" si="309"/>
        <v>16.5157725627975</v>
      </c>
      <c r="Q340" s="4" t="str">
        <f t="shared" si="310"/>
        <v>1+269.808337043739i</v>
      </c>
      <c r="R340" s="4">
        <f t="shared" ref="R340:R403" si="322">IMABS(Q340)</f>
        <v>269.81019020472127</v>
      </c>
      <c r="S340" s="4">
        <f t="shared" ref="S340:S403" si="323">IMARGUMENT(Q340)</f>
        <v>1.5670900090731306</v>
      </c>
      <c r="T340" s="4" t="str">
        <f t="shared" si="311"/>
        <v>1+1.71532244597548i</v>
      </c>
      <c r="U340" s="4">
        <f t="shared" ref="U340:U403" si="324">IMABS(T340)</f>
        <v>1.9855304313123239</v>
      </c>
      <c r="V340" s="4">
        <f t="shared" ref="V340:V403" si="325">IMARGUMENT(T340)</f>
        <v>1.0429849713221899</v>
      </c>
      <c r="W340" t="str">
        <f t="shared" si="312"/>
        <v>1-26.0687301819982i</v>
      </c>
      <c r="X340" s="4">
        <f t="shared" ref="X340:X403" si="326">IMABS(W340)</f>
        <v>26.087903198644078</v>
      </c>
      <c r="Y340" s="4">
        <f t="shared" ref="Y340:Y403" si="327">IMARGUMENT(W340)</f>
        <v>-1.5324549911927079</v>
      </c>
      <c r="Z340" t="str">
        <f t="shared" si="313"/>
        <v>0.994309444827814+0.364962222547975i</v>
      </c>
      <c r="AA340" s="4">
        <f t="shared" ref="AA340:AA403" si="328">IMABS(Z340)</f>
        <v>1.0591735910420699</v>
      </c>
      <c r="AB340" s="4">
        <f t="shared" ref="AB340:AB403" si="329">IMARGUMENT(Z340)</f>
        <v>0.35178349001090925</v>
      </c>
      <c r="AC340" s="47" t="str">
        <f t="shared" ref="AC340:AC403" si="330">(IMDIV(IMPRODUCT(P340,T340,W340),IMPRODUCT(Q340,Z340)))</f>
        <v>-2.22423215044455-2.00355697391323i</v>
      </c>
      <c r="AD340" s="20">
        <f t="shared" ref="AD340:AD403" si="331">20*LOG(IMABS(AC340))</f>
        <v>9.5237824756588729</v>
      </c>
      <c r="AE340" s="43">
        <f t="shared" ref="AE340:AE403" si="332">(180/PI())*IMARGUMENT(AC340)</f>
        <v>-137.9879192537812</v>
      </c>
      <c r="AF340" t="str">
        <f t="shared" si="314"/>
        <v>247.084651286898</v>
      </c>
      <c r="AG340" t="str">
        <f t="shared" si="315"/>
        <v>1+263.852577191451i</v>
      </c>
      <c r="AH340">
        <f t="shared" ref="AH340:AH403" si="333">IMABS(AG340)</f>
        <v>263.85447218224408</v>
      </c>
      <c r="AI340">
        <f t="shared" ref="AI340:AI403" si="334">IMARGUMENT(AG340)</f>
        <v>1.5670063497453472</v>
      </c>
      <c r="AJ340" t="str">
        <f t="shared" si="316"/>
        <v>1+1.71532244597548i</v>
      </c>
      <c r="AK340">
        <f t="shared" ref="AK340:AK403" si="335">IMABS(AJ340)</f>
        <v>1.9855304313123239</v>
      </c>
      <c r="AL340">
        <f t="shared" ref="AL340:AL403" si="336">IMARGUMENT(AJ340)</f>
        <v>1.0429849713221899</v>
      </c>
      <c r="AM340" t="str">
        <f t="shared" si="317"/>
        <v>1-1.70401127250822i</v>
      </c>
      <c r="AN340">
        <f t="shared" ref="AN340:AN403" si="337">IMABS(AM340)</f>
        <v>1.9757667921177042</v>
      </c>
      <c r="AO340">
        <f t="shared" ref="AO340:AO403" si="338">IMARGUMENT(AM340)</f>
        <v>-1.0401016301389787</v>
      </c>
      <c r="AP340" s="41" t="str">
        <f t="shared" ref="AP340:AP403" si="339">(IMDIV(IMPRODUCT(AF340,AJ340,AM340),IMPRODUCT(AG340)))</f>
        <v>0.0245150142618271-3.67353234106471i</v>
      </c>
      <c r="AQ340">
        <f t="shared" ref="AQ340:AQ403" si="340">20*LOG(IMABS(AP340))</f>
        <v>11.301870759391139</v>
      </c>
      <c r="AR340" s="43">
        <f t="shared" ref="AR340:AR403" si="341">(180/PI())*IMARGUMENT(AP340)</f>
        <v>-89.617647029915119</v>
      </c>
      <c r="AS340" t="str">
        <f t="shared" si="318"/>
        <v>-0.0000166666666666667</v>
      </c>
      <c r="AT340" t="str">
        <f t="shared" si="319"/>
        <v>0.000354534730475176i</v>
      </c>
      <c r="AU340">
        <f t="shared" ref="AU340:AU403" si="342">IMABS(AT340)</f>
        <v>3.54534730475176E-4</v>
      </c>
      <c r="AV340">
        <f t="shared" ref="AV340:AV403" si="343">IMARGUMENT(AT340)</f>
        <v>1.5707963267948966</v>
      </c>
      <c r="AW340" t="str">
        <f t="shared" si="320"/>
        <v>1+0.360300520209548i</v>
      </c>
      <c r="AX340">
        <f t="shared" ref="AX340:AX403" si="344">IMABS(AW340)</f>
        <v>1.0629282501012338</v>
      </c>
      <c r="AY340">
        <f t="shared" ref="AY340:AY403" si="345">IMARGUMENT(AW340)</f>
        <v>0.34582159635980797</v>
      </c>
      <c r="AZ340" t="str">
        <f t="shared" si="321"/>
        <v>1+12.2502176871246i</v>
      </c>
      <c r="BA340">
        <f t="shared" ref="BA340:BA403" si="346">IMABS(AZ340)</f>
        <v>12.290965518702768</v>
      </c>
      <c r="BB340">
        <f t="shared" ref="BB340:BB403" si="347">IMARGUMENT(AZ340)</f>
        <v>1.4893457235037175</v>
      </c>
      <c r="BC340" s="41" t="str">
        <f t="shared" ref="BC340:BC403" si="348">IMPRODUCT(AS340,IMDIV(AZ340,IMPRODUCT(AT340,AW340)))</f>
        <v>-0.494721624317843+0.225258427537465i</v>
      </c>
      <c r="BD340">
        <f t="shared" ref="BD340:BD403" si="349">20*LOG(IMABS(BC340))</f>
        <v>-5.2945597041254091</v>
      </c>
      <c r="BE340" s="43">
        <f t="shared" ref="BE340:BE403" si="350">(180/PI())*IMARGUMENT(BC340)</f>
        <v>155.51910625672735</v>
      </c>
      <c r="BF340" s="41" t="str">
        <f t="shared" ref="BF340:BF403" si="351">IMPRODUCT(AC340,BC340)</f>
        <v>1.55169383575331+0.490175923860282i</v>
      </c>
      <c r="BG340" s="20">
        <f t="shared" ref="BG340:BG403" si="352">20*LOG(IMABS(BF340))</f>
        <v>4.2292227715334532</v>
      </c>
      <c r="BH340" s="43">
        <f t="shared" ref="BH340:BH403" si="353">(180/PI())*IMARGUMENT(BF340)</f>
        <v>17.53118700294619</v>
      </c>
      <c r="BI340" s="41" t="str">
        <f t="shared" si="306"/>
        <v>0.815366010980473+1.82289810031934i</v>
      </c>
      <c r="BJ340" s="20">
        <f t="shared" ref="BJ340:BJ403" si="354">20*LOG(IMABS(BI340))</f>
        <v>6.0073110552657338</v>
      </c>
      <c r="BK340" s="43">
        <f t="shared" si="307"/>
        <v>65.90145922681225</v>
      </c>
      <c r="BL340">
        <f t="shared" ref="BL340:BL403" si="355">IF($B$31=0,BJ340,BG340)</f>
        <v>4.2292227715334532</v>
      </c>
      <c r="BM340" s="43">
        <f t="shared" ref="BM340:BM403" si="356">IF($B$31=0,BK340,BH340)</f>
        <v>17.53118700294619</v>
      </c>
    </row>
    <row r="341" spans="14:65" x14ac:dyDescent="0.25">
      <c r="N341" s="9">
        <v>23</v>
      </c>
      <c r="O341" s="34">
        <f t="shared" si="308"/>
        <v>16982.436524617482</v>
      </c>
      <c r="P341" s="33" t="str">
        <f t="shared" si="309"/>
        <v>16.5157725627975</v>
      </c>
      <c r="Q341" s="4" t="str">
        <f t="shared" si="310"/>
        <v>1+276.092980555783i</v>
      </c>
      <c r="R341" s="4">
        <f t="shared" si="322"/>
        <v>276.0947915339512</v>
      </c>
      <c r="S341" s="4">
        <f t="shared" si="323"/>
        <v>1.5671743744180675</v>
      </c>
      <c r="T341" s="4" t="str">
        <f t="shared" si="311"/>
        <v>1+1.75527743846861i</v>
      </c>
      <c r="U341" s="4">
        <f t="shared" si="324"/>
        <v>2.0201482336692336</v>
      </c>
      <c r="V341" s="4">
        <f t="shared" si="325"/>
        <v>1.0529463270653772</v>
      </c>
      <c r="W341" t="str">
        <f t="shared" si="312"/>
        <v>1-26.6759489128968i</v>
      </c>
      <c r="X341" s="4">
        <f t="shared" si="326"/>
        <v>26.694685808293006</v>
      </c>
      <c r="Y341" s="4">
        <f t="shared" si="327"/>
        <v>-1.5333269204024955</v>
      </c>
      <c r="Z341" t="str">
        <f t="shared" si="313"/>
        <v>0.994041257224945+0.373463284780554i</v>
      </c>
      <c r="AA341" s="4">
        <f t="shared" si="328"/>
        <v>1.0618817477216711</v>
      </c>
      <c r="AB341" s="4">
        <f t="shared" si="329"/>
        <v>0.3593859770274368</v>
      </c>
      <c r="AC341" s="47" t="str">
        <f t="shared" si="330"/>
        <v>-2.25431237693521-2.03638747279628i</v>
      </c>
      <c r="AD341" s="20">
        <f t="shared" si="331"/>
        <v>9.6514515117543027</v>
      </c>
      <c r="AE341" s="43">
        <f t="shared" si="332"/>
        <v>-137.90755767327508</v>
      </c>
      <c r="AF341" t="str">
        <f t="shared" si="314"/>
        <v>247.084651286898</v>
      </c>
      <c r="AG341" t="str">
        <f t="shared" si="315"/>
        <v>1+269.99849323523i</v>
      </c>
      <c r="AH341">
        <f t="shared" si="333"/>
        <v>270.00034509106564</v>
      </c>
      <c r="AI341">
        <f t="shared" si="334"/>
        <v>1.5670926193573826</v>
      </c>
      <c r="AJ341" t="str">
        <f t="shared" si="316"/>
        <v>1+1.75527743846861i</v>
      </c>
      <c r="AK341">
        <f t="shared" si="335"/>
        <v>2.0201482336692336</v>
      </c>
      <c r="AL341">
        <f t="shared" si="336"/>
        <v>1.0529463270653772</v>
      </c>
      <c r="AM341" t="str">
        <f t="shared" si="317"/>
        <v>1-1.74370279392508i</v>
      </c>
      <c r="AN341">
        <f t="shared" si="337"/>
        <v>2.0100993591218645</v>
      </c>
      <c r="AO341">
        <f t="shared" si="338"/>
        <v>-1.0500959160503376</v>
      </c>
      <c r="AP341" s="41" t="str">
        <f t="shared" si="339"/>
        <v>0.0243552947043589-3.71597586166896i</v>
      </c>
      <c r="AQ341">
        <f t="shared" si="340"/>
        <v>11.40164424350008</v>
      </c>
      <c r="AR341" s="43">
        <f t="shared" si="341"/>
        <v>-89.624476674239858</v>
      </c>
      <c r="AS341" t="str">
        <f t="shared" si="318"/>
        <v>-0.0000166666666666667</v>
      </c>
      <c r="AT341" t="str">
        <f t="shared" si="319"/>
        <v>0.000362792905215394i</v>
      </c>
      <c r="AU341">
        <f t="shared" si="342"/>
        <v>3.6279290521539398E-4</v>
      </c>
      <c r="AV341">
        <f t="shared" si="343"/>
        <v>1.5707963267948966</v>
      </c>
      <c r="AW341" t="str">
        <f t="shared" si="320"/>
        <v>1+0.368692997445542i</v>
      </c>
      <c r="AX341">
        <f t="shared" si="344"/>
        <v>1.0658022923438373</v>
      </c>
      <c r="AY341">
        <f t="shared" si="345"/>
        <v>0.35322981079363458</v>
      </c>
      <c r="AZ341" t="str">
        <f t="shared" si="321"/>
        <v>1+12.5355619131484i</v>
      </c>
      <c r="BA341">
        <f t="shared" si="346"/>
        <v>12.575385182107814</v>
      </c>
      <c r="BB341">
        <f t="shared" si="347"/>
        <v>1.4911918524806638</v>
      </c>
      <c r="BC341" s="41" t="str">
        <f t="shared" si="348"/>
        <v>-0.492057089299543+0.227357894569227i</v>
      </c>
      <c r="BD341">
        <f t="shared" si="349"/>
        <v>-5.3193077894489171</v>
      </c>
      <c r="BE341" s="43">
        <f t="shared" si="350"/>
        <v>155.20042223475704</v>
      </c>
      <c r="BF341" s="41" t="str">
        <f t="shared" si="351"/>
        <v>1.57223915490878+0.489483176828851i</v>
      </c>
      <c r="BG341" s="20">
        <f t="shared" si="352"/>
        <v>4.3321437223053598</v>
      </c>
      <c r="BH341" s="43">
        <f t="shared" si="353"/>
        <v>17.292864561482045</v>
      </c>
      <c r="BI341" s="41" t="str">
        <f t="shared" si="306"/>
        <v>0.832872252757864+1.83400963492579i</v>
      </c>
      <c r="BJ341" s="20">
        <f t="shared" si="354"/>
        <v>6.0823364540511768</v>
      </c>
      <c r="BK341" s="43">
        <f t="shared" si="307"/>
        <v>65.575945560517269</v>
      </c>
      <c r="BL341">
        <f t="shared" si="355"/>
        <v>4.3321437223053598</v>
      </c>
      <c r="BM341" s="43">
        <f t="shared" si="356"/>
        <v>17.292864561482045</v>
      </c>
    </row>
    <row r="342" spans="14:65" x14ac:dyDescent="0.25">
      <c r="N342" s="9">
        <v>24</v>
      </c>
      <c r="O342" s="34">
        <f t="shared" si="308"/>
        <v>17378.008287493791</v>
      </c>
      <c r="P342" s="33" t="str">
        <f t="shared" si="309"/>
        <v>16.5157725627975</v>
      </c>
      <c r="Q342" s="4" t="str">
        <f t="shared" si="310"/>
        <v>1+282.524012220638i</v>
      </c>
      <c r="R342" s="4">
        <f t="shared" si="322"/>
        <v>282.52578197617152</v>
      </c>
      <c r="S342" s="4">
        <f t="shared" si="323"/>
        <v>1.5672568194231193</v>
      </c>
      <c r="T342" s="4" t="str">
        <f t="shared" si="311"/>
        <v>1+1.79616310229343i</v>
      </c>
      <c r="U342" s="4">
        <f t="shared" si="324"/>
        <v>2.0557728206298376</v>
      </c>
      <c r="V342" s="4">
        <f t="shared" si="325"/>
        <v>1.062791417528782</v>
      </c>
      <c r="W342" t="str">
        <f t="shared" si="312"/>
        <v>1-27.2973115850065i</v>
      </c>
      <c r="X342" s="4">
        <f t="shared" si="326"/>
        <v>27.315622265819428</v>
      </c>
      <c r="Y342" s="4">
        <f t="shared" si="327"/>
        <v>-1.5341790571618634</v>
      </c>
      <c r="Z342" t="str">
        <f t="shared" si="313"/>
        <v>0.993760430329748+0.382162362190091i</v>
      </c>
      <c r="AA342" s="4">
        <f t="shared" si="328"/>
        <v>1.0647102253495437</v>
      </c>
      <c r="AB342" s="4">
        <f t="shared" si="329"/>
        <v>0.36712720824264866</v>
      </c>
      <c r="AC342" s="47" t="str">
        <f t="shared" si="330"/>
        <v>-2.28548229432204-2.06940234425128i</v>
      </c>
      <c r="AD342" s="20">
        <f t="shared" si="331"/>
        <v>9.7799120275033893</v>
      </c>
      <c r="AE342" s="43">
        <f t="shared" si="332"/>
        <v>-137.84056300837526</v>
      </c>
      <c r="AF342" t="str">
        <f t="shared" si="314"/>
        <v>247.084651286898</v>
      </c>
      <c r="AG342" t="str">
        <f t="shared" si="315"/>
        <v>1+276.287566053972i</v>
      </c>
      <c r="AH342">
        <f t="shared" si="333"/>
        <v>276.28937575670182</v>
      </c>
      <c r="AI342">
        <f t="shared" si="334"/>
        <v>1.5671769252865719</v>
      </c>
      <c r="AJ342" t="str">
        <f t="shared" si="316"/>
        <v>1+1.79616310229343i</v>
      </c>
      <c r="AK342">
        <f t="shared" si="335"/>
        <v>2.0557728206298376</v>
      </c>
      <c r="AL342">
        <f t="shared" si="336"/>
        <v>1.062791417528782</v>
      </c>
      <c r="AM342" t="str">
        <f t="shared" si="317"/>
        <v>1-1.7843188496439i</v>
      </c>
      <c r="AN342">
        <f t="shared" si="337"/>
        <v>2.0454324132550874</v>
      </c>
      <c r="AO342">
        <f t="shared" si="338"/>
        <v>-1.059974669602251</v>
      </c>
      <c r="AP342" s="41" t="str">
        <f t="shared" si="339"/>
        <v>0.0242027635183414-3.76038958859942i</v>
      </c>
      <c r="AQ342">
        <f t="shared" si="340"/>
        <v>11.504836735079554</v>
      </c>
      <c r="AR342" s="43">
        <f t="shared" si="341"/>
        <v>-89.631235801067248</v>
      </c>
      <c r="AS342" t="str">
        <f t="shared" si="318"/>
        <v>-0.0000166666666666667</v>
      </c>
      <c r="AT342" t="str">
        <f t="shared" si="319"/>
        <v>0.000371243437556089i</v>
      </c>
      <c r="AU342">
        <f t="shared" si="342"/>
        <v>3.7124343755608901E-4</v>
      </c>
      <c r="AV342">
        <f t="shared" si="343"/>
        <v>1.5707963267948966</v>
      </c>
      <c r="AW342" t="str">
        <f t="shared" si="320"/>
        <v>1+0.377280960589007i</v>
      </c>
      <c r="AX342">
        <f t="shared" si="344"/>
        <v>1.0688035007535126</v>
      </c>
      <c r="AY342">
        <f t="shared" si="345"/>
        <v>0.36076891538502937</v>
      </c>
      <c r="AZ342" t="str">
        <f t="shared" si="321"/>
        <v>1+12.8275526600263i</v>
      </c>
      <c r="BA342">
        <f t="shared" si="346"/>
        <v>12.866472214470745</v>
      </c>
      <c r="BB342">
        <f t="shared" si="347"/>
        <v>1.4929964840146497</v>
      </c>
      <c r="BC342" s="41" t="str">
        <f t="shared" si="348"/>
        <v>-0.489297568978983+0.22949682864203i</v>
      </c>
      <c r="BD342">
        <f t="shared" si="349"/>
        <v>-5.3449683387020297</v>
      </c>
      <c r="BE342" s="43">
        <f t="shared" si="350"/>
        <v>154.87186113083604</v>
      </c>
      <c r="BF342" s="41" t="str">
        <f t="shared" si="351"/>
        <v>1.59320220574633+0.488042597817141i</v>
      </c>
      <c r="BG342" s="20">
        <f t="shared" si="352"/>
        <v>4.4349436888013392</v>
      </c>
      <c r="BH342" s="43">
        <f t="shared" si="353"/>
        <v>17.031298122460843</v>
      </c>
      <c r="BI342" s="41" t="str">
        <f t="shared" si="306"/>
        <v>0.851155131689977+1.84550394158741i</v>
      </c>
      <c r="BJ342" s="20">
        <f t="shared" si="354"/>
        <v>6.1598683963775382</v>
      </c>
      <c r="BK342" s="43">
        <f t="shared" si="307"/>
        <v>65.240625329768861</v>
      </c>
      <c r="BL342">
        <f t="shared" si="355"/>
        <v>4.4349436888013392</v>
      </c>
      <c r="BM342" s="43">
        <f t="shared" si="356"/>
        <v>17.031298122460843</v>
      </c>
    </row>
    <row r="343" spans="14:65" x14ac:dyDescent="0.25">
      <c r="N343" s="9">
        <v>25</v>
      </c>
      <c r="O343" s="34">
        <f t="shared" si="308"/>
        <v>17782.794100389234</v>
      </c>
      <c r="P343" s="33" t="str">
        <f t="shared" si="309"/>
        <v>16.5157725627975</v>
      </c>
      <c r="Q343" s="4" t="str">
        <f t="shared" si="310"/>
        <v>1+289.104841856419i</v>
      </c>
      <c r="R343" s="4">
        <f t="shared" si="322"/>
        <v>289.1065713276422</v>
      </c>
      <c r="S343" s="4">
        <f t="shared" si="323"/>
        <v>1.5673373877972332</v>
      </c>
      <c r="T343" s="4" t="str">
        <f t="shared" si="311"/>
        <v>1+1.83800111557011i</v>
      </c>
      <c r="U343" s="4">
        <f t="shared" si="324"/>
        <v>2.0924263668853365</v>
      </c>
      <c r="V343" s="4">
        <f t="shared" si="325"/>
        <v>1.0725178280783561</v>
      </c>
      <c r="W343" t="str">
        <f t="shared" si="312"/>
        <v>1-27.9331476530412i</v>
      </c>
      <c r="X343" s="4">
        <f t="shared" si="326"/>
        <v>27.951041801811272</v>
      </c>
      <c r="Y343" s="4">
        <f t="shared" si="327"/>
        <v>-1.5350118483320314</v>
      </c>
      <c r="Z343" t="str">
        <f t="shared" si="313"/>
        <v>0.993466368470727+0.391064067142577i</v>
      </c>
      <c r="AA343" s="4">
        <f t="shared" si="328"/>
        <v>1.0676640529176338</v>
      </c>
      <c r="AB343" s="4">
        <f t="shared" si="329"/>
        <v>0.37500810722293121</v>
      </c>
      <c r="AC343" s="47" t="str">
        <f t="shared" si="330"/>
        <v>-2.31776742838375-2.10257022255903i</v>
      </c>
      <c r="AD343" s="20">
        <f t="shared" si="331"/>
        <v>9.9090898671771566</v>
      </c>
      <c r="AE343" s="43">
        <f t="shared" si="332"/>
        <v>-137.78715463147768</v>
      </c>
      <c r="AF343" t="str">
        <f t="shared" si="314"/>
        <v>247.084651286898</v>
      </c>
      <c r="AG343" t="str">
        <f t="shared" si="315"/>
        <v>1+282.723130197334i</v>
      </c>
      <c r="AH343">
        <f t="shared" si="333"/>
        <v>282.72489870646109</v>
      </c>
      <c r="AI343">
        <f t="shared" si="334"/>
        <v>1.5672593122282383</v>
      </c>
      <c r="AJ343" t="str">
        <f t="shared" si="316"/>
        <v>1+1.83800111557011i</v>
      </c>
      <c r="AK343">
        <f t="shared" si="335"/>
        <v>2.0924263668853365</v>
      </c>
      <c r="AL343">
        <f t="shared" si="336"/>
        <v>1.0725178280783561</v>
      </c>
      <c r="AM343" t="str">
        <f t="shared" si="317"/>
        <v>1-1.82588097483505i</v>
      </c>
      <c r="AN343">
        <f t="shared" si="337"/>
        <v>2.0817880137671541</v>
      </c>
      <c r="AO343">
        <f t="shared" si="338"/>
        <v>-1.0697354154520446</v>
      </c>
      <c r="AP343" s="41" t="str">
        <f t="shared" si="339"/>
        <v>0.0240570971907396-3.806797074157i</v>
      </c>
      <c r="AQ343">
        <f t="shared" si="340"/>
        <v>11.611367974306734</v>
      </c>
      <c r="AR343" s="43">
        <f t="shared" si="341"/>
        <v>-89.63792349290263</v>
      </c>
      <c r="AS343" t="str">
        <f t="shared" si="318"/>
        <v>-0.0000166666666666667</v>
      </c>
      <c r="AT343" t="str">
        <f t="shared" si="319"/>
        <v>0.000379890808081363i</v>
      </c>
      <c r="AU343">
        <f t="shared" si="342"/>
        <v>3.7989080808136302E-4</v>
      </c>
      <c r="AV343">
        <f t="shared" si="343"/>
        <v>1.5707963267948966</v>
      </c>
      <c r="AW343" t="str">
        <f t="shared" si="320"/>
        <v>1+0.386068963091681i</v>
      </c>
      <c r="AX343">
        <f t="shared" si="344"/>
        <v>1.0719371456679192</v>
      </c>
      <c r="AY343">
        <f t="shared" si="345"/>
        <v>0.36843947840550634</v>
      </c>
      <c r="AZ343" t="str">
        <f t="shared" si="321"/>
        <v>1+13.1263447451171i</v>
      </c>
      <c r="BA343">
        <f t="shared" si="346"/>
        <v>13.164380971685045</v>
      </c>
      <c r="BB343">
        <f t="shared" si="347"/>
        <v>1.4947605279018801</v>
      </c>
      <c r="BC343" s="41" t="str">
        <f t="shared" si="348"/>
        <v>-0.486440976719719+0.23167201917812i</v>
      </c>
      <c r="BD343">
        <f t="shared" si="349"/>
        <v>-5.3715782879927145</v>
      </c>
      <c r="BE343" s="43">
        <f t="shared" si="350"/>
        <v>154.53344251288763</v>
      </c>
      <c r="BF343" s="41" t="str">
        <f t="shared" si="351"/>
        <v>1.61456374059618+0.48581445256447i</v>
      </c>
      <c r="BG343" s="20">
        <f t="shared" si="352"/>
        <v>4.537511579184434</v>
      </c>
      <c r="BH343" s="43">
        <f t="shared" si="353"/>
        <v>16.746287881409987</v>
      </c>
      <c r="BI343" s="41" t="str">
        <f t="shared" si="306"/>
        <v>0.870226006916807+1.85735544320844i</v>
      </c>
      <c r="BJ343" s="20">
        <f t="shared" si="354"/>
        <v>6.239789686314011</v>
      </c>
      <c r="BK343" s="43">
        <f t="shared" si="307"/>
        <v>64.895519019984974</v>
      </c>
      <c r="BL343">
        <f t="shared" si="355"/>
        <v>4.537511579184434</v>
      </c>
      <c r="BM343" s="43">
        <f t="shared" si="356"/>
        <v>16.746287881409987</v>
      </c>
    </row>
    <row r="344" spans="14:65" x14ac:dyDescent="0.25">
      <c r="N344" s="9">
        <v>26</v>
      </c>
      <c r="O344" s="34">
        <f t="shared" si="308"/>
        <v>18197.008586099837</v>
      </c>
      <c r="P344" s="33" t="str">
        <f t="shared" si="309"/>
        <v>16.5157725627975</v>
      </c>
      <c r="Q344" s="4" t="str">
        <f t="shared" si="310"/>
        <v>1+295.83895870611i</v>
      </c>
      <c r="R344" s="4">
        <f t="shared" si="322"/>
        <v>295.84064880998937</v>
      </c>
      <c r="S344" s="4">
        <f t="shared" si="323"/>
        <v>1.5674161222546412</v>
      </c>
      <c r="T344" s="4" t="str">
        <f t="shared" si="311"/>
        <v>1+1.88081366136711i</v>
      </c>
      <c r="U344" s="4">
        <f t="shared" si="324"/>
        <v>2.1301314580995121</v>
      </c>
      <c r="V344" s="4">
        <f t="shared" si="325"/>
        <v>1.082123353854247</v>
      </c>
      <c r="W344" t="str">
        <f t="shared" si="312"/>
        <v>1-28.5837942457007i</v>
      </c>
      <c r="X344" s="4">
        <f t="shared" si="326"/>
        <v>28.601281325852391</v>
      </c>
      <c r="Y344" s="4">
        <f t="shared" si="327"/>
        <v>-1.5358257308466634</v>
      </c>
      <c r="Z344" t="str">
        <f t="shared" si="313"/>
        <v>0.993158447903252+0.40017311943981i</v>
      </c>
      <c r="AA344" s="4">
        <f t="shared" si="328"/>
        <v>1.0707484429891947</v>
      </c>
      <c r="AB344" s="4">
        <f t="shared" si="329"/>
        <v>0.38302949905506506</v>
      </c>
      <c r="AC344" s="47" t="str">
        <f t="shared" si="330"/>
        <v>-2.35119270907653-2.13585781316717i</v>
      </c>
      <c r="AD344" s="20">
        <f t="shared" si="331"/>
        <v>10.038909834493353</v>
      </c>
      <c r="AE344" s="43">
        <f t="shared" si="332"/>
        <v>-137.74753362753654</v>
      </c>
      <c r="AF344" t="str">
        <f t="shared" si="314"/>
        <v>247.084651286898</v>
      </c>
      <c r="AG344" t="str">
        <f t="shared" si="315"/>
        <v>1+289.308597886611i</v>
      </c>
      <c r="AH344">
        <f t="shared" si="333"/>
        <v>289.31032613979886</v>
      </c>
      <c r="AI344">
        <f t="shared" si="334"/>
        <v>1.5673398238605527</v>
      </c>
      <c r="AJ344" t="str">
        <f t="shared" si="316"/>
        <v>1+1.88081366136711i</v>
      </c>
      <c r="AK344">
        <f t="shared" si="335"/>
        <v>2.1301314580995121</v>
      </c>
      <c r="AL344">
        <f t="shared" si="336"/>
        <v>1.082123353854247</v>
      </c>
      <c r="AM344" t="str">
        <f t="shared" si="317"/>
        <v>1-1.86841120628746i</v>
      </c>
      <c r="AN344">
        <f t="shared" si="337"/>
        <v>2.1191886267580244</v>
      </c>
      <c r="AO344">
        <f t="shared" si="338"/>
        <v>-1.0793758887289422</v>
      </c>
      <c r="AP344" s="41" t="str">
        <f t="shared" si="339"/>
        <v>0.0239179867675117-3.85522292752254i</v>
      </c>
      <c r="AQ344">
        <f t="shared" si="340"/>
        <v>11.721157079784915</v>
      </c>
      <c r="AR344" s="43">
        <f t="shared" si="341"/>
        <v>-89.644538813948174</v>
      </c>
      <c r="AS344" t="str">
        <f t="shared" si="318"/>
        <v>-0.0000166666666666667</v>
      </c>
      <c r="AT344" t="str">
        <f t="shared" si="319"/>
        <v>0.000388739601741531i</v>
      </c>
      <c r="AU344">
        <f t="shared" si="342"/>
        <v>3.8873960174153099E-4</v>
      </c>
      <c r="AV344">
        <f t="shared" si="343"/>
        <v>1.5707963267948966</v>
      </c>
      <c r="AW344" t="str">
        <f t="shared" si="320"/>
        <v>1+0.395061664468814i</v>
      </c>
      <c r="AX344">
        <f t="shared" si="344"/>
        <v>1.0752086861316132</v>
      </c>
      <c r="AY344">
        <f t="shared" si="345"/>
        <v>0.37624195534137861</v>
      </c>
      <c r="AZ344" t="str">
        <f t="shared" si="321"/>
        <v>1+13.4320965919397i</v>
      </c>
      <c r="BA344">
        <f t="shared" si="346"/>
        <v>13.469269425443908</v>
      </c>
      <c r="BB344">
        <f t="shared" si="347"/>
        <v>1.4964848755216995</v>
      </c>
      <c r="BC344" s="41" t="str">
        <f t="shared" si="348"/>
        <v>-0.483485289580703+0.233880104476115i</v>
      </c>
      <c r="BD344">
        <f t="shared" si="349"/>
        <v>-5.3991751958979508</v>
      </c>
      <c r="BE344" s="43">
        <f t="shared" si="350"/>
        <v>154.18519135574323</v>
      </c>
      <c r="BF344" s="41" t="str">
        <f t="shared" si="351"/>
        <v>1.63630173629757+0.482758636860038i</v>
      </c>
      <c r="BG344" s="20">
        <f t="shared" si="352"/>
        <v>4.6397346385954128</v>
      </c>
      <c r="BH344" s="43">
        <f t="shared" si="353"/>
        <v>16.437657728206709</v>
      </c>
      <c r="BI344" s="41" t="str">
        <f t="shared" si="306"/>
        <v>0.890095946309208+1.86953751475544i</v>
      </c>
      <c r="BJ344" s="20">
        <f t="shared" si="354"/>
        <v>6.3219818838869459</v>
      </c>
      <c r="BK344" s="43">
        <f t="shared" si="307"/>
        <v>64.540652541795026</v>
      </c>
      <c r="BL344">
        <f t="shared" si="355"/>
        <v>4.6397346385954128</v>
      </c>
      <c r="BM344" s="43">
        <f t="shared" si="356"/>
        <v>16.437657728206709</v>
      </c>
    </row>
    <row r="345" spans="14:65" x14ac:dyDescent="0.25">
      <c r="N345" s="9">
        <v>27</v>
      </c>
      <c r="O345" s="34">
        <f t="shared" si="308"/>
        <v>18620.871366628675</v>
      </c>
      <c r="P345" s="33" t="str">
        <f t="shared" si="309"/>
        <v>16.5157725627975</v>
      </c>
      <c r="Q345" s="4" t="str">
        <f t="shared" si="310"/>
        <v>1+302.729933287598i</v>
      </c>
      <c r="R345" s="4">
        <f t="shared" si="322"/>
        <v>302.73158492022856</v>
      </c>
      <c r="S345" s="4">
        <f t="shared" si="323"/>
        <v>1.5674930645374876</v>
      </c>
      <c r="T345" s="4" t="str">
        <f t="shared" si="311"/>
        <v>1+1.92462343946287i</v>
      </c>
      <c r="U345" s="4">
        <f t="shared" si="324"/>
        <v>2.1689111055388803</v>
      </c>
      <c r="V345" s="4">
        <f t="shared" si="325"/>
        <v>1.091605996915116</v>
      </c>
      <c r="W345" t="str">
        <f t="shared" si="312"/>
        <v>1-29.2495963444205i</v>
      </c>
      <c r="X345" s="4">
        <f t="shared" si="326"/>
        <v>29.266685605164398</v>
      </c>
      <c r="Y345" s="4">
        <f t="shared" si="327"/>
        <v>-1.5366211319216203</v>
      </c>
      <c r="Z345" t="str">
        <f t="shared" si="313"/>
        <v>0.992836015486518+0.409494348821887i</v>
      </c>
      <c r="AA345" s="4">
        <f t="shared" si="328"/>
        <v>1.0739687962711983</v>
      </c>
      <c r="AB345" s="4">
        <f t="shared" si="329"/>
        <v>0.39119210380078329</v>
      </c>
      <c r="AC345" s="47" t="str">
        <f t="shared" si="330"/>
        <v>-2.38578234922887-2.16922986039283i</v>
      </c>
      <c r="AD345" s="20">
        <f t="shared" si="331"/>
        <v>10.169295808483596</v>
      </c>
      <c r="AE345" s="43">
        <f t="shared" si="332"/>
        <v>-137.72188259597146</v>
      </c>
      <c r="AF345" t="str">
        <f t="shared" si="314"/>
        <v>247.084651286898</v>
      </c>
      <c r="AG345" t="str">
        <f t="shared" si="315"/>
        <v>1+296.04746082394i</v>
      </c>
      <c r="AH345">
        <f t="shared" si="333"/>
        <v>296.04914973750948</v>
      </c>
      <c r="AI345">
        <f t="shared" si="334"/>
        <v>1.5674185028676706</v>
      </c>
      <c r="AJ345" t="str">
        <f t="shared" si="316"/>
        <v>1+1.92462343946287i</v>
      </c>
      <c r="AK345">
        <f t="shared" si="335"/>
        <v>2.1689111055388803</v>
      </c>
      <c r="AL345">
        <f t="shared" si="336"/>
        <v>1.091605996915116</v>
      </c>
      <c r="AM345" t="str">
        <f t="shared" si="317"/>
        <v>1-1.91193209409278i</v>
      </c>
      <c r="AN345">
        <f t="shared" si="337"/>
        <v>2.1576571396822994</v>
      </c>
      <c r="AO345">
        <f t="shared" si="338"/>
        <v>-1.0888940323673715</v>
      </c>
      <c r="AP345" s="41" t="str">
        <f t="shared" si="339"/>
        <v>0.0237851371984524-3.9056928278206i</v>
      </c>
      <c r="AQ345">
        <f t="shared" si="340"/>
        <v>11.834122745544294</v>
      </c>
      <c r="AR345" s="43">
        <f t="shared" si="341"/>
        <v>-89.651080822256802</v>
      </c>
      <c r="AS345" t="str">
        <f t="shared" si="318"/>
        <v>-0.0000166666666666667</v>
      </c>
      <c r="AT345" t="str">
        <f t="shared" si="319"/>
        <v>0.00039779451028412i</v>
      </c>
      <c r="AU345">
        <f t="shared" si="342"/>
        <v>3.9779451028412001E-4</v>
      </c>
      <c r="AV345">
        <f t="shared" si="343"/>
        <v>1.5707963267948966</v>
      </c>
      <c r="AW345" t="str">
        <f t="shared" si="320"/>
        <v>1+0.404263832769708i</v>
      </c>
      <c r="AX345">
        <f t="shared" si="344"/>
        <v>1.0786237743002212</v>
      </c>
      <c r="AY345">
        <f t="shared" si="345"/>
        <v>0.38417668210958417</v>
      </c>
      <c r="AZ345" t="str">
        <f t="shared" si="321"/>
        <v>1+13.7449703141701i</v>
      </c>
      <c r="BA345">
        <f t="shared" si="346"/>
        <v>13.781299247074539</v>
      </c>
      <c r="BB345">
        <f t="shared" si="347"/>
        <v>1.4981704001060312</v>
      </c>
      <c r="BC345" s="41" t="str">
        <f t="shared" si="348"/>
        <v>-0.480428559249816+0.23611756965095i</v>
      </c>
      <c r="BD345">
        <f t="shared" si="349"/>
        <v>-5.4277972235844167</v>
      </c>
      <c r="BE345" s="43">
        <f t="shared" si="350"/>
        <v>153.82713844528328</v>
      </c>
      <c r="BF345" s="41" t="str">
        <f t="shared" si="351"/>
        <v>1.65839125937389+0.478834846494152i</v>
      </c>
      <c r="BG345" s="20">
        <f t="shared" si="352"/>
        <v>4.7414985848991709</v>
      </c>
      <c r="BH345" s="43">
        <f t="shared" si="353"/>
        <v>16.10525584931186</v>
      </c>
      <c r="BI345" s="41" t="str">
        <f t="shared" si="306"/>
        <v>0.910775639112335+1.8820224669313i</v>
      </c>
      <c r="BJ345" s="20">
        <f t="shared" si="354"/>
        <v>6.4063255219598627</v>
      </c>
      <c r="BK345" s="43">
        <f t="shared" si="307"/>
        <v>64.176057623026452</v>
      </c>
      <c r="BL345">
        <f t="shared" si="355"/>
        <v>4.7414985848991709</v>
      </c>
      <c r="BM345" s="43">
        <f t="shared" si="356"/>
        <v>16.10525584931186</v>
      </c>
    </row>
    <row r="346" spans="14:65" x14ac:dyDescent="0.25">
      <c r="N346" s="9">
        <v>28</v>
      </c>
      <c r="O346" s="34">
        <f t="shared" si="308"/>
        <v>19054.607179632505</v>
      </c>
      <c r="P346" s="33" t="str">
        <f t="shared" si="309"/>
        <v>16.5157725627975</v>
      </c>
      <c r="Q346" s="4" t="str">
        <f t="shared" si="310"/>
        <v>1+309.781419286821i</v>
      </c>
      <c r="R346" s="4">
        <f t="shared" si="322"/>
        <v>309.78303332390112</v>
      </c>
      <c r="S346" s="4">
        <f t="shared" si="323"/>
        <v>1.5675682554379438</v>
      </c>
      <c r="T346" s="4" t="str">
        <f t="shared" si="311"/>
        <v>1+1.96945367838165i</v>
      </c>
      <c r="U346" s="4">
        <f t="shared" si="324"/>
        <v>2.208788761129278</v>
      </c>
      <c r="V346" s="4">
        <f t="shared" si="325"/>
        <v>1.1009639627596068</v>
      </c>
      <c r="W346" t="str">
        <f t="shared" si="312"/>
        <v>1-29.9309069662865i</v>
      </c>
      <c r="X346" s="4">
        <f t="shared" si="326"/>
        <v>29.947607447415525</v>
      </c>
      <c r="Y346" s="4">
        <f t="shared" si="327"/>
        <v>-1.5373984692610152</v>
      </c>
      <c r="Z346" t="str">
        <f t="shared" si="313"/>
        <v>0.992498387298138+0.419032697528011i</v>
      </c>
      <c r="AA346" s="4">
        <f t="shared" si="328"/>
        <v>1.0773307061376309</v>
      </c>
      <c r="AB346" s="4">
        <f t="shared" si="329"/>
        <v>0.39949652985790285</v>
      </c>
      <c r="AC346" s="47" t="str">
        <f t="shared" si="330"/>
        <v>-2.42155971658028-2.20264912188984i</v>
      </c>
      <c r="AD346" s="20">
        <f t="shared" si="331"/>
        <v>10.300170859054061</v>
      </c>
      <c r="AE346" s="43">
        <f t="shared" si="332"/>
        <v>-137.710365482665</v>
      </c>
      <c r="AF346" t="str">
        <f t="shared" si="314"/>
        <v>247.084651286898</v>
      </c>
      <c r="AG346" t="str">
        <f t="shared" si="315"/>
        <v>1+302.943292043651i</v>
      </c>
      <c r="AH346">
        <f t="shared" si="333"/>
        <v>302.94494251306594</v>
      </c>
      <c r="AI346">
        <f t="shared" si="334"/>
        <v>1.5674953909623444</v>
      </c>
      <c r="AJ346" t="str">
        <f t="shared" si="316"/>
        <v>1+1.96945367838165i</v>
      </c>
      <c r="AK346">
        <f t="shared" si="335"/>
        <v>2.208788761129278</v>
      </c>
      <c r="AL346">
        <f t="shared" si="336"/>
        <v>1.1009639627596068</v>
      </c>
      <c r="AM346" t="str">
        <f t="shared" si="317"/>
        <v>1-1.95646671360183i</v>
      </c>
      <c r="AN346">
        <f t="shared" si="337"/>
        <v>2.1972168762850752</v>
      </c>
      <c r="AO346">
        <f t="shared" si="338"/>
        <v>-1.0982879938018213</v>
      </c>
      <c r="AP346" s="41" t="str">
        <f t="shared" si="339"/>
        <v>0.0236582667115615-3.95823353775012i</v>
      </c>
      <c r="AQ346">
        <f t="shared" si="340"/>
        <v>11.950183429979866</v>
      </c>
      <c r="AR346" s="43">
        <f t="shared" si="341"/>
        <v>-89.657548580962128</v>
      </c>
      <c r="AS346" t="str">
        <f t="shared" si="318"/>
        <v>-0.0000166666666666667</v>
      </c>
      <c r="AT346" t="str">
        <f t="shared" si="319"/>
        <v>0.000407060334741495i</v>
      </c>
      <c r="AU346">
        <f t="shared" si="342"/>
        <v>4.0706033474149499E-4</v>
      </c>
      <c r="AV346">
        <f t="shared" si="343"/>
        <v>1.5707963267948966</v>
      </c>
      <c r="AW346" t="str">
        <f t="shared" si="320"/>
        <v>1+0.413680347105804i</v>
      </c>
      <c r="AX346">
        <f t="shared" si="344"/>
        <v>1.0821882597688715</v>
      </c>
      <c r="AY346">
        <f t="shared" si="345"/>
        <v>0.39224386821397283</v>
      </c>
      <c r="AZ346" t="str">
        <f t="shared" si="321"/>
        <v>1+14.0651318015973i</v>
      </c>
      <c r="BA346">
        <f t="shared" si="346"/>
        <v>14.100635893331324</v>
      </c>
      <c r="BB346">
        <f t="shared" si="347"/>
        <v>1.4998179570123475</v>
      </c>
      <c r="BC346" s="41" t="str">
        <f t="shared" si="348"/>
        <v>-0.477268923504086+0.238380745246932i</v>
      </c>
      <c r="BD346">
        <f t="shared" si="349"/>
        <v>-5.457483110722487</v>
      </c>
      <c r="BE346" s="43">
        <f t="shared" si="350"/>
        <v>153.45932078619472</v>
      </c>
      <c r="BF346" s="41" t="str">
        <f t="shared" si="351"/>
        <v>1.68080433832673+0.474002765363228i</v>
      </c>
      <c r="BG346" s="20">
        <f t="shared" si="352"/>
        <v>4.8426877483315716</v>
      </c>
      <c r="BH346" s="43">
        <f t="shared" si="353"/>
        <v>15.748955303529744</v>
      </c>
      <c r="BI346" s="41" t="str">
        <f t="shared" si="306"/>
        <v>0.932275305104874+1.89478153478972i</v>
      </c>
      <c r="BJ346" s="20">
        <f t="shared" si="354"/>
        <v>6.4927003192573647</v>
      </c>
      <c r="BK346" s="43">
        <f t="shared" si="307"/>
        <v>63.801772205232588</v>
      </c>
      <c r="BL346">
        <f t="shared" si="355"/>
        <v>4.8426877483315716</v>
      </c>
      <c r="BM346" s="43">
        <f t="shared" si="356"/>
        <v>15.748955303529744</v>
      </c>
    </row>
    <row r="347" spans="14:65" x14ac:dyDescent="0.25">
      <c r="N347" s="9">
        <v>29</v>
      </c>
      <c r="O347" s="34">
        <f t="shared" si="308"/>
        <v>19498.445997580486</v>
      </c>
      <c r="P347" s="33" t="str">
        <f t="shared" si="309"/>
        <v>16.5157725627975</v>
      </c>
      <c r="Q347" s="4" t="str">
        <f t="shared" si="310"/>
        <v>1+316.997155494988i</v>
      </c>
      <c r="R347" s="4">
        <f t="shared" si="322"/>
        <v>316.99873279228359</v>
      </c>
      <c r="S347" s="4">
        <f t="shared" si="323"/>
        <v>1.5676417348198168</v>
      </c>
      <c r="T347" s="4" t="str">
        <f t="shared" si="311"/>
        <v>1+2.01532814770949i</v>
      </c>
      <c r="U347" s="4">
        <f t="shared" si="324"/>
        <v>2.2497883329216029</v>
      </c>
      <c r="V347" s="4">
        <f t="shared" si="325"/>
        <v>1.1101956562797823</v>
      </c>
      <c r="W347" t="str">
        <f t="shared" si="312"/>
        <v>1-30.628087351208i</v>
      </c>
      <c r="X347" s="4">
        <f t="shared" si="326"/>
        <v>30.644407887789697</v>
      </c>
      <c r="Y347" s="4">
        <f t="shared" si="327"/>
        <v>-1.5381581512595772</v>
      </c>
      <c r="Z347" t="str">
        <f t="shared" si="313"/>
        <v>0.99214484718346+0.428793222916912i</v>
      </c>
      <c r="AA347" s="4">
        <f t="shared" si="328"/>
        <v>1.0808399630898942</v>
      </c>
      <c r="AB347" s="4">
        <f t="shared" si="329"/>
        <v>0.40794326725283281</v>
      </c>
      <c r="AC347" s="47" t="str">
        <f t="shared" si="330"/>
        <v>-2.45854719939493-2.23607635069328i</v>
      </c>
      <c r="AD347" s="20">
        <f t="shared" si="331"/>
        <v>10.431457362162483</v>
      </c>
      <c r="AE347" s="43">
        <f t="shared" si="332"/>
        <v>-137.71312744033784</v>
      </c>
      <c r="AF347" t="str">
        <f t="shared" si="314"/>
        <v>247.084651286898</v>
      </c>
      <c r="AG347" t="str">
        <f t="shared" si="315"/>
        <v>1+309.999747806728i</v>
      </c>
      <c r="AH347">
        <f t="shared" si="333"/>
        <v>310.00136070707009</v>
      </c>
      <c r="AI347">
        <f t="shared" si="334"/>
        <v>1.5675705289080211</v>
      </c>
      <c r="AJ347" t="str">
        <f t="shared" si="316"/>
        <v>1+2.01532814770949i</v>
      </c>
      <c r="AK347">
        <f t="shared" si="335"/>
        <v>2.2497883329216029</v>
      </c>
      <c r="AL347">
        <f t="shared" si="336"/>
        <v>1.1101956562797823</v>
      </c>
      <c r="AM347" t="str">
        <f t="shared" si="317"/>
        <v>1-2.0020386776593i</v>
      </c>
      <c r="AN347">
        <f t="shared" si="337"/>
        <v>2.2378916119517047</v>
      </c>
      <c r="AO347">
        <f t="shared" si="338"/>
        <v>-1.1075561210778031</v>
      </c>
      <c r="AP347" s="41" t="str">
        <f t="shared" si="339"/>
        <v>0.0235371062155687-4.01287291778753i</v>
      </c>
      <c r="AQ347">
        <f t="shared" si="340"/>
        <v>12.069257536172033</v>
      </c>
      <c r="AR347" s="43">
        <f t="shared" si="341"/>
        <v>-89.663941168570176</v>
      </c>
      <c r="AS347" t="str">
        <f t="shared" si="318"/>
        <v>-0.0000166666666666667</v>
      </c>
      <c r="AT347" t="str">
        <f t="shared" si="319"/>
        <v>0.00041654198797643i</v>
      </c>
      <c r="AU347">
        <f t="shared" si="342"/>
        <v>4.1654198797642998E-4</v>
      </c>
      <c r="AV347">
        <f t="shared" si="343"/>
        <v>1.5707963267948966</v>
      </c>
      <c r="AW347" t="str">
        <f t="shared" si="320"/>
        <v>1+0.423316200237637i</v>
      </c>
      <c r="AX347">
        <f t="shared" si="344"/>
        <v>1.0859081938099699</v>
      </c>
      <c r="AY347">
        <f t="shared" si="345"/>
        <v>0.40044358987094403</v>
      </c>
      <c r="AZ347" t="str">
        <f t="shared" si="321"/>
        <v>1+14.3927508080797i</v>
      </c>
      <c r="BA347">
        <f t="shared" si="346"/>
        <v>14.427448694189797</v>
      </c>
      <c r="BB347">
        <f t="shared" si="347"/>
        <v>1.5014283839994549</v>
      </c>
      <c r="BC347" s="41" t="str">
        <f t="shared" si="348"/>
        <v>-0.474004618166586+0.240665806594222i</v>
      </c>
      <c r="BD347">
        <f t="shared" si="349"/>
        <v>-5.4882721470202647</v>
      </c>
      <c r="BE347" s="43">
        <f t="shared" si="350"/>
        <v>153.08178201164353</v>
      </c>
      <c r="BF347" s="41" t="str">
        <f t="shared" si="351"/>
        <v>1.70350984503959+0.468222272009355i</v>
      </c>
      <c r="BG347" s="20">
        <f t="shared" si="352"/>
        <v>4.9431852151422397</v>
      </c>
      <c r="BH347" s="43">
        <f t="shared" si="353"/>
        <v>15.36865457130564</v>
      </c>
      <c r="BI347" s="41" t="str">
        <f t="shared" si="306"/>
        <v>0.954604600474988+1.90778487179918i</v>
      </c>
      <c r="BJ347" s="20">
        <f t="shared" si="354"/>
        <v>6.5809853891517855</v>
      </c>
      <c r="BK347" s="43">
        <f t="shared" si="307"/>
        <v>63.4178408430734</v>
      </c>
      <c r="BL347">
        <f t="shared" si="355"/>
        <v>4.9431852151422397</v>
      </c>
      <c r="BM347" s="43">
        <f t="shared" si="356"/>
        <v>15.36865457130564</v>
      </c>
    </row>
    <row r="348" spans="14:65" x14ac:dyDescent="0.25">
      <c r="N348" s="9">
        <v>30</v>
      </c>
      <c r="O348" s="34">
        <f t="shared" si="308"/>
        <v>19952.623149688792</v>
      </c>
      <c r="P348" s="33" t="str">
        <f t="shared" si="309"/>
        <v>16.5157725627975</v>
      </c>
      <c r="Q348" s="4" t="str">
        <f t="shared" si="310"/>
        <v>1+324.380967790955i</v>
      </c>
      <c r="R348" s="4">
        <f t="shared" si="322"/>
        <v>324.38250918475336</v>
      </c>
      <c r="S348" s="4">
        <f t="shared" si="323"/>
        <v>1.5677135416396724</v>
      </c>
      <c r="T348" s="4" t="str">
        <f t="shared" si="311"/>
        <v>1+2.06227117069727i</v>
      </c>
      <c r="U348" s="4">
        <f t="shared" si="324"/>
        <v>2.2919342009510415</v>
      </c>
      <c r="V348" s="4">
        <f t="shared" si="325"/>
        <v>1.1192996772020258</v>
      </c>
      <c r="W348" t="str">
        <f t="shared" si="312"/>
        <v>1-31.341507153454i</v>
      </c>
      <c r="X348" s="4">
        <f t="shared" si="326"/>
        <v>31.357456380421045</v>
      </c>
      <c r="Y348" s="4">
        <f t="shared" si="327"/>
        <v>-1.5389005772013513</v>
      </c>
      <c r="Z348" t="str">
        <f t="shared" si="313"/>
        <v>0.991774645236498+0.438781100148356i</v>
      </c>
      <c r="AA348" s="4">
        <f t="shared" si="328"/>
        <v>1.0845025591400803</v>
      </c>
      <c r="AB348" s="4">
        <f t="shared" si="329"/>
        <v>0.41653268089225653</v>
      </c>
      <c r="AC348" s="47" t="str">
        <f t="shared" si="330"/>
        <v>-2.49676606596656-2.26947028567573i</v>
      </c>
      <c r="AD348" s="20">
        <f t="shared" si="331"/>
        <v>10.563077114582365</v>
      </c>
      <c r="AE348" s="43">
        <f t="shared" si="332"/>
        <v>-137.7302947157082</v>
      </c>
      <c r="AF348" t="str">
        <f t="shared" si="314"/>
        <v>247.084651286898</v>
      </c>
      <c r="AG348" t="str">
        <f t="shared" si="315"/>
        <v>1+317.220569539427i</v>
      </c>
      <c r="AH348">
        <f t="shared" si="333"/>
        <v>317.22214572585949</v>
      </c>
      <c r="AI348">
        <f t="shared" si="334"/>
        <v>1.5676439565404383</v>
      </c>
      <c r="AJ348" t="str">
        <f t="shared" si="316"/>
        <v>1+2.06227117069727i</v>
      </c>
      <c r="AK348">
        <f t="shared" si="335"/>
        <v>2.2919342009510415</v>
      </c>
      <c r="AL348">
        <f t="shared" si="336"/>
        <v>1.1192996772020258</v>
      </c>
      <c r="AM348" t="str">
        <f t="shared" si="317"/>
        <v>1-2.04867214912379i</v>
      </c>
      <c r="AN348">
        <f t="shared" si="337"/>
        <v>2.2797055894556841</v>
      </c>
      <c r="AO348">
        <f t="shared" si="338"/>
        <v>-1.116696958434374</v>
      </c>
      <c r="AP348" s="41" t="str">
        <f t="shared" si="339"/>
        <v>0.0234213987292367-4.0696399409722i</v>
      </c>
      <c r="AQ348">
        <f t="shared" si="340"/>
        <v>12.19126358314681</v>
      </c>
      <c r="AR348" s="43">
        <f t="shared" si="341"/>
        <v>-89.670257688311025</v>
      </c>
      <c r="AS348" t="str">
        <f t="shared" si="318"/>
        <v>-0.0000166666666666667</v>
      </c>
      <c r="AT348" t="str">
        <f t="shared" si="319"/>
        <v>0.000426244497286974i</v>
      </c>
      <c r="AU348">
        <f t="shared" si="342"/>
        <v>4.2624449728697402E-4</v>
      </c>
      <c r="AV348">
        <f t="shared" si="343"/>
        <v>1.5707963267948966</v>
      </c>
      <c r="AW348" t="str">
        <f t="shared" si="320"/>
        <v>1+0.433176501222091i</v>
      </c>
      <c r="AX348">
        <f t="shared" si="344"/>
        <v>1.089789833505072</v>
      </c>
      <c r="AY348">
        <f t="shared" si="345"/>
        <v>0.40877578313631641</v>
      </c>
      <c r="AZ348" t="str">
        <f t="shared" si="321"/>
        <v>1+14.7280010415511i</v>
      </c>
      <c r="BA348">
        <f t="shared" si="346"/>
        <v>14.76191094269066</v>
      </c>
      <c r="BB348">
        <f t="shared" si="347"/>
        <v>1.5030025015054782</v>
      </c>
      <c r="BC348" s="41" t="str">
        <f t="shared" si="348"/>
        <v>-0.470633989522379+0.242968773979819i</v>
      </c>
      <c r="BD348">
        <f t="shared" si="349"/>
        <v>-5.5202041392120114</v>
      </c>
      <c r="BE348" s="43">
        <f t="shared" si="350"/>
        <v>152.69457279300306</v>
      </c>
      <c r="BF348" s="41" t="str">
        <f t="shared" si="351"/>
        <v>1.7264733874242+0.461453664687751i</v>
      </c>
      <c r="BG348" s="20">
        <f t="shared" si="352"/>
        <v>5.0428729753703561</v>
      </c>
      <c r="BH348" s="43">
        <f t="shared" si="353"/>
        <v>14.964278077294866</v>
      </c>
      <c r="BI348" s="41" t="str">
        <f t="shared" si="306"/>
        <v>0.977772520673183+1.9210015498735i</v>
      </c>
      <c r="BJ348" s="20">
        <f t="shared" si="354"/>
        <v>6.6710594439347961</v>
      </c>
      <c r="BK348" s="43">
        <f t="shared" si="307"/>
        <v>63.024315104692043</v>
      </c>
      <c r="BL348">
        <f t="shared" si="355"/>
        <v>5.0428729753703561</v>
      </c>
      <c r="BM348" s="43">
        <f t="shared" si="356"/>
        <v>14.964278077294866</v>
      </c>
    </row>
    <row r="349" spans="14:65" x14ac:dyDescent="0.25">
      <c r="N349" s="9">
        <v>31</v>
      </c>
      <c r="O349" s="34">
        <f t="shared" si="308"/>
        <v>20417.379446695286</v>
      </c>
      <c r="P349" s="33" t="str">
        <f t="shared" si="309"/>
        <v>16.5157725627975</v>
      </c>
      <c r="Q349" s="4" t="str">
        <f t="shared" si="310"/>
        <v>1+331.936771169732i</v>
      </c>
      <c r="R349" s="4">
        <f t="shared" si="322"/>
        <v>331.938277477285</v>
      </c>
      <c r="S349" s="4">
        <f t="shared" si="323"/>
        <v>1.5677837139674731</v>
      </c>
      <c r="T349" s="4" t="str">
        <f t="shared" si="311"/>
        <v>1+2.11030763715714i</v>
      </c>
      <c r="U349" s="4">
        <f t="shared" si="324"/>
        <v>2.3352512334744095</v>
      </c>
      <c r="V349" s="4">
        <f t="shared" si="325"/>
        <v>1.128274815070645</v>
      </c>
      <c r="W349" t="str">
        <f t="shared" si="312"/>
        <v>1-32.0715446376465i</v>
      </c>
      <c r="X349" s="4">
        <f t="shared" si="326"/>
        <v>32.087130994287286</v>
      </c>
      <c r="Y349" s="4">
        <f t="shared" si="327"/>
        <v>-1.539626137454748</v>
      </c>
      <c r="Z349" t="str">
        <f t="shared" si="313"/>
        <v>0.991386996209291+0.449001624927051i</v>
      </c>
      <c r="AA349" s="4">
        <f t="shared" si="328"/>
        <v>1.0883246921025054</v>
      </c>
      <c r="AB349" s="4">
        <f t="shared" si="329"/>
        <v>0.42526500380449955</v>
      </c>
      <c r="AC349" s="47" t="str">
        <f t="shared" si="330"/>
        <v>-2.53623631842133-2.30278765125964i</v>
      </c>
      <c r="AD349" s="20">
        <f t="shared" si="331"/>
        <v>10.694951448258077</v>
      </c>
      <c r="AE349" s="43">
        <f t="shared" si="332"/>
        <v>-137.76197456202885</v>
      </c>
      <c r="AF349" t="str">
        <f t="shared" si="314"/>
        <v>247.084651286898</v>
      </c>
      <c r="AG349" t="str">
        <f t="shared" si="315"/>
        <v>1+324.609585817004i</v>
      </c>
      <c r="AH349">
        <f t="shared" si="333"/>
        <v>324.61112612522527</v>
      </c>
      <c r="AI349">
        <f t="shared" si="334"/>
        <v>1.56771571278873</v>
      </c>
      <c r="AJ349" t="str">
        <f t="shared" si="316"/>
        <v>1+2.11030763715714i</v>
      </c>
      <c r="AK349">
        <f t="shared" si="335"/>
        <v>2.3352512334744095</v>
      </c>
      <c r="AL349">
        <f t="shared" si="336"/>
        <v>1.128274815070645</v>
      </c>
      <c r="AM349" t="str">
        <f t="shared" si="317"/>
        <v>1-2.09639185367912i</v>
      </c>
      <c r="AN349">
        <f t="shared" si="337"/>
        <v>2.3226835350887081</v>
      </c>
      <c r="AO349">
        <f t="shared" si="338"/>
        <v>-1.1257092414134724</v>
      </c>
      <c r="AP349" s="41" t="str">
        <f t="shared" si="339"/>
        <v>0.023310898836476-4.12856470827995i</v>
      </c>
      <c r="AQ349">
        <f t="shared" si="340"/>
        <v>12.316120367721073</v>
      </c>
      <c r="AR349" s="43">
        <f t="shared" si="341"/>
        <v>-89.676497276551842</v>
      </c>
      <c r="AS349" t="str">
        <f t="shared" si="318"/>
        <v>-0.0000166666666666667</v>
      </c>
      <c r="AT349" t="str">
        <f t="shared" si="319"/>
        <v>0.000436173007071993i</v>
      </c>
      <c r="AU349">
        <f t="shared" si="342"/>
        <v>4.3617300707199299E-4</v>
      </c>
      <c r="AV349">
        <f t="shared" si="343"/>
        <v>1.5707963267948966</v>
      </c>
      <c r="AW349" t="str">
        <f t="shared" si="320"/>
        <v>1+0.44326647812126i</v>
      </c>
      <c r="AX349">
        <f t="shared" si="344"/>
        <v>1.093839645755275</v>
      </c>
      <c r="AY349">
        <f t="shared" si="345"/>
        <v>0.41724023706810737</v>
      </c>
      <c r="AZ349" t="str">
        <f t="shared" si="321"/>
        <v>1+15.0710602561228i</v>
      </c>
      <c r="BA349">
        <f t="shared" si="346"/>
        <v>15.104199986880612</v>
      </c>
      <c r="BB349">
        <f t="shared" si="347"/>
        <v>1.5045411129274504</v>
      </c>
      <c r="BC349" s="41" t="str">
        <f t="shared" si="348"/>
        <v>-0.467155507147446+0.245285513703984i</v>
      </c>
      <c r="BD349">
        <f t="shared" si="349"/>
        <v>-5.5533193733514779</v>
      </c>
      <c r="BE349" s="43">
        <f t="shared" si="350"/>
        <v>152.29775124761824</v>
      </c>
      <c r="BF349" s="41" t="str">
        <f t="shared" si="351"/>
        <v>1.7496572155683+0.453657904838396i</v>
      </c>
      <c r="BG349" s="20">
        <f t="shared" si="352"/>
        <v>5.1416320749066049</v>
      </c>
      <c r="BH349" s="43">
        <f t="shared" si="353"/>
        <v>14.535776685589395</v>
      </c>
      <c r="BI349" s="41" t="str">
        <f t="shared" si="306"/>
        <v>1.00178730056257+1.93439956588357i</v>
      </c>
      <c r="BJ349" s="20">
        <f t="shared" si="354"/>
        <v>6.7628009943695826</v>
      </c>
      <c r="BK349" s="43">
        <f t="shared" si="307"/>
        <v>62.621253971066338</v>
      </c>
      <c r="BL349">
        <f t="shared" si="355"/>
        <v>5.1416320749066049</v>
      </c>
      <c r="BM349" s="43">
        <f t="shared" si="356"/>
        <v>14.535776685589395</v>
      </c>
    </row>
    <row r="350" spans="14:65" x14ac:dyDescent="0.25">
      <c r="N350" s="9">
        <v>32</v>
      </c>
      <c r="O350" s="34">
        <f t="shared" si="308"/>
        <v>20892.961308540423</v>
      </c>
      <c r="P350" s="33" t="str">
        <f t="shared" si="309"/>
        <v>16.5157725627975</v>
      </c>
      <c r="Q350" s="4" t="str">
        <f t="shared" si="310"/>
        <v>1+339.668571818289i</v>
      </c>
      <c r="R350" s="4">
        <f t="shared" si="322"/>
        <v>339.67004383824633</v>
      </c>
      <c r="S350" s="4">
        <f t="shared" si="323"/>
        <v>1.5678522890067501</v>
      </c>
      <c r="T350" s="4" t="str">
        <f t="shared" si="311"/>
        <v>1+2.15946301665947i</v>
      </c>
      <c r="U350" s="4">
        <f t="shared" si="324"/>
        <v>2.3797648035719874</v>
      </c>
      <c r="V350" s="4">
        <f t="shared" si="325"/>
        <v>1.137120043828947</v>
      </c>
      <c r="W350" t="str">
        <f t="shared" si="312"/>
        <v>1-32.8185868793232i</v>
      </c>
      <c r="X350" s="4">
        <f t="shared" si="326"/>
        <v>32.833818613674602</v>
      </c>
      <c r="Y350" s="4">
        <f t="shared" si="327"/>
        <v>-1.5403352136639723</v>
      </c>
      <c r="Z350" t="str">
        <f t="shared" si="313"/>
        <v>0.990981077846278+0.459460216310525i</v>
      </c>
      <c r="AA350" s="4">
        <f t="shared" si="328"/>
        <v>1.0923127697786406</v>
      </c>
      <c r="AB350" s="4">
        <f t="shared" si="329"/>
        <v>0.43414033040425087</v>
      </c>
      <c r="AC350" s="47" t="str">
        <f t="shared" si="330"/>
        <v>-2.57697654132327-2.33598316723481i</v>
      </c>
      <c r="AD350" s="20">
        <f t="shared" si="331"/>
        <v>10.82700134429134</v>
      </c>
      <c r="AE350" s="43">
        <f t="shared" si="332"/>
        <v>-137.80825517578856</v>
      </c>
      <c r="AF350" t="str">
        <f t="shared" si="314"/>
        <v>247.084651286898</v>
      </c>
      <c r="AG350" t="str">
        <f t="shared" si="315"/>
        <v>1+332.1707143937i</v>
      </c>
      <c r="AH350">
        <f t="shared" si="333"/>
        <v>332.17221964038623</v>
      </c>
      <c r="AI350">
        <f t="shared" si="334"/>
        <v>1.5677858356960515</v>
      </c>
      <c r="AJ350" t="str">
        <f t="shared" si="316"/>
        <v>1+2.15946301665947i</v>
      </c>
      <c r="AK350">
        <f t="shared" si="335"/>
        <v>2.3797648035719874</v>
      </c>
      <c r="AL350">
        <f t="shared" si="336"/>
        <v>1.137120043828947</v>
      </c>
      <c r="AM350" t="str">
        <f t="shared" si="317"/>
        <v>1-2.14522309294432i</v>
      </c>
      <c r="AN350">
        <f t="shared" si="337"/>
        <v>2.3668506751592071</v>
      </c>
      <c r="AO350">
        <f t="shared" si="338"/>
        <v>-1.1345918915511244</v>
      </c>
      <c r="AP350" s="41" t="str">
        <f t="shared" si="339"/>
        <v>0.0232053721658565-4.18967846459441i</v>
      </c>
      <c r="AQ350">
        <f t="shared" si="340"/>
        <v>12.443747116680795</v>
      </c>
      <c r="AR350" s="43">
        <f t="shared" si="341"/>
        <v>-89.682659110288867</v>
      </c>
      <c r="AS350" t="str">
        <f t="shared" si="318"/>
        <v>-0.0000166666666666667</v>
      </c>
      <c r="AT350" t="str">
        <f t="shared" si="319"/>
        <v>0.000446332781558795i</v>
      </c>
      <c r="AU350">
        <f t="shared" si="342"/>
        <v>4.4633278155879503E-4</v>
      </c>
      <c r="AV350">
        <f t="shared" si="343"/>
        <v>1.5707963267948966</v>
      </c>
      <c r="AW350" t="str">
        <f t="shared" si="320"/>
        <v>1+0.453591480774458i</v>
      </c>
      <c r="AX350">
        <f t="shared" si="344"/>
        <v>1.0980643111544812</v>
      </c>
      <c r="AY350">
        <f t="shared" si="345"/>
        <v>0.42583658696298937</v>
      </c>
      <c r="AZ350" t="str">
        <f t="shared" si="321"/>
        <v>1+15.4221103463316i</v>
      </c>
      <c r="BA350">
        <f t="shared" si="346"/>
        <v>15.454497323899867</v>
      </c>
      <c r="BB350">
        <f t="shared" si="347"/>
        <v>1.5060450049019718</v>
      </c>
      <c r="BC350" s="41" t="str">
        <f t="shared" si="348"/>
        <v>-0.463567777095631+0.247611740092171i</v>
      </c>
      <c r="BD350">
        <f t="shared" si="349"/>
        <v>-5.5876585722787562</v>
      </c>
      <c r="BE350" s="43">
        <f t="shared" si="350"/>
        <v>151.89138334240727</v>
      </c>
      <c r="BF350" s="41" t="str">
        <f t="shared" si="351"/>
        <v>1.77302014375385+0.444796878594093i</v>
      </c>
      <c r="BG350" s="20">
        <f t="shared" si="352"/>
        <v>5.2393427720125949</v>
      </c>
      <c r="BH350" s="43">
        <f t="shared" si="353"/>
        <v>14.083128166618648</v>
      </c>
      <c r="BI350" s="41" t="str">
        <f t="shared" si="306"/>
        <v>1.02665631225331+1.94794585515894i</v>
      </c>
      <c r="BJ350" s="20">
        <f t="shared" si="354"/>
        <v>6.8560885444020228</v>
      </c>
      <c r="BK350" s="43">
        <f t="shared" si="307"/>
        <v>62.208724232118485</v>
      </c>
      <c r="BL350">
        <f t="shared" si="355"/>
        <v>5.2393427720125949</v>
      </c>
      <c r="BM350" s="43">
        <f t="shared" si="356"/>
        <v>14.083128166618648</v>
      </c>
    </row>
    <row r="351" spans="14:65" x14ac:dyDescent="0.25">
      <c r="N351" s="9">
        <v>33</v>
      </c>
      <c r="O351" s="34">
        <f t="shared" si="308"/>
        <v>21379.620895022348</v>
      </c>
      <c r="P351" s="33" t="str">
        <f t="shared" si="309"/>
        <v>16.5157725627975</v>
      </c>
      <c r="Q351" s="4" t="str">
        <f t="shared" si="310"/>
        <v>1+347.580469239666i</v>
      </c>
      <c r="R351" s="4">
        <f t="shared" si="322"/>
        <v>347.58190775249852</v>
      </c>
      <c r="S351" s="4">
        <f t="shared" si="323"/>
        <v>1.5679193031143155</v>
      </c>
      <c r="T351" s="4" t="str">
        <f t="shared" si="311"/>
        <v>1+2.20976337203709i</v>
      </c>
      <c r="U351" s="4">
        <f t="shared" si="324"/>
        <v>2.4255008061010268</v>
      </c>
      <c r="V351" s="4">
        <f t="shared" si="325"/>
        <v>1.1458345160513483</v>
      </c>
      <c r="W351" t="str">
        <f t="shared" si="312"/>
        <v>1-33.5830299701685i</v>
      </c>
      <c r="X351" s="4">
        <f t="shared" si="326"/>
        <v>33.597915143312619</v>
      </c>
      <c r="Y351" s="4">
        <f t="shared" si="327"/>
        <v>-1.5410281789368578</v>
      </c>
      <c r="Z351" t="str">
        <f t="shared" si="313"/>
        <v>0.990556029140188+0.470162419582359i</v>
      </c>
      <c r="AA351" s="4">
        <f t="shared" si="328"/>
        <v>1.0964734140203836</v>
      </c>
      <c r="AB351" s="4">
        <f t="shared" si="329"/>
        <v>0.44315860981701749</v>
      </c>
      <c r="AC351" s="47" t="str">
        <f t="shared" si="330"/>
        <v>-2.61900374568978-2.36900956952282i</v>
      </c>
      <c r="AD351" s="20">
        <f t="shared" si="331"/>
        <v>10.959147546625935</v>
      </c>
      <c r="AE351" s="43">
        <f t="shared" si="332"/>
        <v>-137.86920565659892</v>
      </c>
      <c r="AF351" t="str">
        <f t="shared" si="314"/>
        <v>247.084651286898</v>
      </c>
      <c r="AG351" t="str">
        <f t="shared" si="315"/>
        <v>1+339.907964279964i</v>
      </c>
      <c r="AH351">
        <f t="shared" si="333"/>
        <v>339.90943526320257</v>
      </c>
      <c r="AI351">
        <f t="shared" si="334"/>
        <v>1.5678543624397359</v>
      </c>
      <c r="AJ351" t="str">
        <f t="shared" si="316"/>
        <v>1+2.20976337203709i</v>
      </c>
      <c r="AK351">
        <f t="shared" si="335"/>
        <v>2.4255008061010268</v>
      </c>
      <c r="AL351">
        <f t="shared" si="336"/>
        <v>1.1458345160513483</v>
      </c>
      <c r="AM351" t="str">
        <f t="shared" si="317"/>
        <v>1-2.19519175788876i</v>
      </c>
      <c r="AN351">
        <f t="shared" si="337"/>
        <v>2.4122327528459491</v>
      </c>
      <c r="AO351">
        <f t="shared" si="338"/>
        <v>-1.143344010704398</v>
      </c>
      <c r="AP351" s="41" t="str">
        <f t="shared" si="339"/>
        <v>0.0231045948936423-4.25301361528377i</v>
      </c>
      <c r="AQ351">
        <f t="shared" si="340"/>
        <v>12.574063629123312</v>
      </c>
      <c r="AR351" s="43">
        <f t="shared" si="341"/>
        <v>-89.68874241373635</v>
      </c>
      <c r="AS351" t="str">
        <f t="shared" si="318"/>
        <v>-0.0000166666666666667</v>
      </c>
      <c r="AT351" t="str">
        <f t="shared" si="319"/>
        <v>0.000456729207594292i</v>
      </c>
      <c r="AU351">
        <f t="shared" si="342"/>
        <v>4.5672920759429197E-4</v>
      </c>
      <c r="AV351">
        <f t="shared" si="343"/>
        <v>1.5707963267948966</v>
      </c>
      <c r="AW351" t="str">
        <f t="shared" si="320"/>
        <v>1+0.464156983634752i</v>
      </c>
      <c r="AX351">
        <f t="shared" si="344"/>
        <v>1.1024707277097707</v>
      </c>
      <c r="AY351">
        <f t="shared" si="345"/>
        <v>0.43456430770686966</v>
      </c>
      <c r="AZ351" t="str">
        <f t="shared" si="321"/>
        <v>1+15.7813374435816i</v>
      </c>
      <c r="BA351">
        <f t="shared" si="346"/>
        <v>15.812988696264558</v>
      </c>
      <c r="BB351">
        <f t="shared" si="347"/>
        <v>1.5075149475864345</v>
      </c>
      <c r="BC351" s="41" t="str">
        <f t="shared" si="348"/>
        <v>-0.459869555379526+0.249943018530437i</v>
      </c>
      <c r="BD351">
        <f t="shared" si="349"/>
        <v>-5.6232628481507705</v>
      </c>
      <c r="BE351" s="43">
        <f t="shared" si="350"/>
        <v>151.47554329096013</v>
      </c>
      <c r="BF351" s="41" t="str">
        <f t="shared" si="351"/>
        <v>1.7965174908017+0.434833675686077i</v>
      </c>
      <c r="BG351" s="20">
        <f t="shared" si="352"/>
        <v>5.3358846984751782</v>
      </c>
      <c r="BH351" s="43">
        <f t="shared" si="353"/>
        <v>13.606337634361166</v>
      </c>
      <c r="BI351" s="41" t="str">
        <f t="shared" si="306"/>
        <v>1.05238596107411+1.96160631247326i</v>
      </c>
      <c r="BJ351" s="20">
        <f t="shared" si="354"/>
        <v>6.9508007809725569</v>
      </c>
      <c r="BK351" s="43">
        <f t="shared" si="307"/>
        <v>61.78680087722379</v>
      </c>
      <c r="BL351">
        <f t="shared" si="355"/>
        <v>5.3358846984751782</v>
      </c>
      <c r="BM351" s="43">
        <f t="shared" si="356"/>
        <v>13.606337634361166</v>
      </c>
    </row>
    <row r="352" spans="14:65" x14ac:dyDescent="0.25">
      <c r="N352" s="9">
        <v>34</v>
      </c>
      <c r="O352" s="34">
        <f t="shared" si="308"/>
        <v>21877.61623949555</v>
      </c>
      <c r="P352" s="33" t="str">
        <f t="shared" si="309"/>
        <v>16.5157725627975</v>
      </c>
      <c r="Q352" s="4" t="str">
        <f t="shared" si="310"/>
        <v>1+355.676658426607i</v>
      </c>
      <c r="R352" s="4">
        <f t="shared" si="322"/>
        <v>355.67806419502062</v>
      </c>
      <c r="S352" s="4">
        <f t="shared" si="323"/>
        <v>1.5679847918195271</v>
      </c>
      <c r="T352" s="4" t="str">
        <f t="shared" si="311"/>
        <v>1+2.26123537320424i</v>
      </c>
      <c r="U352" s="4">
        <f t="shared" si="324"/>
        <v>2.4724856749898709</v>
      </c>
      <c r="V352" s="4">
        <f t="shared" si="325"/>
        <v>1.1544175568786679</v>
      </c>
      <c r="W352" t="str">
        <f t="shared" si="312"/>
        <v>1-34.365279228028i</v>
      </c>
      <c r="X352" s="4">
        <f t="shared" si="326"/>
        <v>34.379825718294917</v>
      </c>
      <c r="Y352" s="4">
        <f t="shared" si="327"/>
        <v>-1.5417053980291422</v>
      </c>
      <c r="Z352" t="str">
        <f t="shared" si="313"/>
        <v>0.990110948505731+0.481113909192392i</v>
      </c>
      <c r="AA352" s="4">
        <f t="shared" si="328"/>
        <v>1.1008134646566163</v>
      </c>
      <c r="AB352" s="4">
        <f t="shared" si="329"/>
        <v>0.45231963930275954</v>
      </c>
      <c r="AC352" s="47" t="str">
        <f t="shared" si="330"/>
        <v>-2.66233320913192-2.40181764271172i</v>
      </c>
      <c r="AD352" s="20">
        <f t="shared" si="331"/>
        <v>11.091310675517432</v>
      </c>
      <c r="AE352" s="43">
        <f t="shared" si="332"/>
        <v>-137.94487598954092</v>
      </c>
      <c r="AF352" t="str">
        <f t="shared" si="314"/>
        <v>247.084651286898</v>
      </c>
      <c r="AG352" t="str">
        <f t="shared" si="315"/>
        <v>1+347.825437868104i</v>
      </c>
      <c r="AH352">
        <f t="shared" si="333"/>
        <v>347.82687536781611</v>
      </c>
      <c r="AI352">
        <f t="shared" si="334"/>
        <v>1.5679213293509942</v>
      </c>
      <c r="AJ352" t="str">
        <f t="shared" si="316"/>
        <v>1+2.26123537320424i</v>
      </c>
      <c r="AK352">
        <f t="shared" si="335"/>
        <v>2.4724856749898709</v>
      </c>
      <c r="AL352">
        <f t="shared" si="336"/>
        <v>1.1544175568786679</v>
      </c>
      <c r="AM352" t="str">
        <f t="shared" si="317"/>
        <v>1-2.24632434256004i</v>
      </c>
      <c r="AN352">
        <f t="shared" si="337"/>
        <v>2.4588560453954589</v>
      </c>
      <c r="AO352">
        <f t="shared" si="338"/>
        <v>-1.1519648750667693</v>
      </c>
      <c r="AP352" s="41" t="str">
        <f t="shared" si="339"/>
        <v>0.023008353269083-4.31860374339242i</v>
      </c>
      <c r="AQ352">
        <f t="shared" si="340"/>
        <v>12.706990408881273</v>
      </c>
      <c r="AR352" s="43">
        <f t="shared" si="341"/>
        <v>-89.694746464043206</v>
      </c>
      <c r="AS352" t="str">
        <f t="shared" si="318"/>
        <v>-0.0000166666666666667</v>
      </c>
      <c r="AT352" t="str">
        <f t="shared" si="319"/>
        <v>0.000467367797501181i</v>
      </c>
      <c r="AU352">
        <f t="shared" si="342"/>
        <v>4.6736779750118098E-4</v>
      </c>
      <c r="AV352">
        <f t="shared" si="343"/>
        <v>1.5707963267948966</v>
      </c>
      <c r="AW352" t="str">
        <f t="shared" si="320"/>
        <v>1+0.474968588671615i</v>
      </c>
      <c r="AX352">
        <f t="shared" si="344"/>
        <v>1.1070660143933178</v>
      </c>
      <c r="AY352">
        <f t="shared" si="345"/>
        <v>0.44342270728295119</v>
      </c>
      <c r="AZ352" t="str">
        <f t="shared" si="321"/>
        <v>1+16.1489320148349i</v>
      </c>
      <c r="BA352">
        <f t="shared" si="346"/>
        <v>16.179864190399115</v>
      </c>
      <c r="BB352">
        <f t="shared" si="347"/>
        <v>1.5089516949403734</v>
      </c>
      <c r="BC352" s="41" t="str">
        <f t="shared" si="348"/>
        <v>-0.456059761671808+0.252274769589472i</v>
      </c>
      <c r="BD352">
        <f t="shared" si="349"/>
        <v>-5.6601736499477457</v>
      </c>
      <c r="BE352" s="43">
        <f t="shared" si="350"/>
        <v>151.0503139416175</v>
      </c>
      <c r="BF352" s="41" t="str">
        <f t="shared" si="351"/>
        <v>1.82010104125867+0.423732884810096i</v>
      </c>
      <c r="BG352" s="20">
        <f t="shared" si="352"/>
        <v>5.4311370255696776</v>
      </c>
      <c r="BH352" s="43">
        <f t="shared" si="353"/>
        <v>13.105437952076569</v>
      </c>
      <c r="BI352" s="41" t="str">
        <f t="shared" si="306"/>
        <v>1.0789815802042+1.97534582098612i</v>
      </c>
      <c r="BJ352" s="20">
        <f t="shared" si="354"/>
        <v>7.0468167589335504</v>
      </c>
      <c r="BK352" s="43">
        <f t="shared" si="307"/>
        <v>61.355567477574247</v>
      </c>
      <c r="BL352">
        <f t="shared" si="355"/>
        <v>5.4311370255696776</v>
      </c>
      <c r="BM352" s="43">
        <f t="shared" si="356"/>
        <v>13.105437952076569</v>
      </c>
    </row>
    <row r="353" spans="14:65" x14ac:dyDescent="0.25">
      <c r="N353" s="9">
        <v>35</v>
      </c>
      <c r="O353" s="34">
        <f t="shared" si="308"/>
        <v>22387.211385683382</v>
      </c>
      <c r="P353" s="33" t="str">
        <f t="shared" si="309"/>
        <v>16.5157725627975</v>
      </c>
      <c r="Q353" s="4" t="str">
        <f t="shared" si="310"/>
        <v>1+363.961432085781i</v>
      </c>
      <c r="R353" s="4">
        <f t="shared" si="322"/>
        <v>363.96280585512113</v>
      </c>
      <c r="S353" s="4">
        <f t="shared" si="323"/>
        <v>1.5680487898431152</v>
      </c>
      <c r="T353" s="4" t="str">
        <f t="shared" si="311"/>
        <v>1+2.31390631129725i</v>
      </c>
      <c r="U353" s="4">
        <f t="shared" si="324"/>
        <v>2.5207464008624996</v>
      </c>
      <c r="V353" s="4">
        <f t="shared" si="325"/>
        <v>1.1628686577067711</v>
      </c>
      <c r="W353" t="str">
        <f t="shared" si="312"/>
        <v>1-35.1657494118123i</v>
      </c>
      <c r="X353" s="4">
        <f t="shared" si="326"/>
        <v>35.179964918890654</v>
      </c>
      <c r="Y353" s="4">
        <f t="shared" si="327"/>
        <v>-1.5423672275252094</v>
      </c>
      <c r="Z353" t="str">
        <f t="shared" si="313"/>
        <v>0.989644891867205+0.492320491765371i</v>
      </c>
      <c r="AA353" s="4">
        <f t="shared" si="328"/>
        <v>1.1053399832680209</v>
      </c>
      <c r="AB353" s="4">
        <f t="shared" si="329"/>
        <v>0.46162305782080121</v>
      </c>
      <c r="AC353" s="47" t="str">
        <f t="shared" si="330"/>
        <v>-2.70697831294578-2.43435626515459i</v>
      </c>
      <c r="AD353" s="20">
        <f t="shared" si="331"/>
        <v>11.223411340891547</v>
      </c>
      <c r="AE353" s="43">
        <f t="shared" si="332"/>
        <v>-138.03529704950941</v>
      </c>
      <c r="AF353" t="str">
        <f t="shared" si="314"/>
        <v>247.084651286898</v>
      </c>
      <c r="AG353" t="str">
        <f t="shared" si="315"/>
        <v>1+355.927333107414i</v>
      </c>
      <c r="AH353">
        <f t="shared" si="333"/>
        <v>355.92873788576838</v>
      </c>
      <c r="AI353">
        <f t="shared" si="334"/>
        <v>1.5679867719341651</v>
      </c>
      <c r="AJ353" t="str">
        <f t="shared" si="316"/>
        <v>1+2.31390631129725i</v>
      </c>
      <c r="AK353">
        <f t="shared" si="335"/>
        <v>2.5207464008624996</v>
      </c>
      <c r="AL353">
        <f t="shared" si="336"/>
        <v>1.1628686577067711</v>
      </c>
      <c r="AM353" t="str">
        <f t="shared" si="317"/>
        <v>1-2.29864795813135i</v>
      </c>
      <c r="AN353">
        <f t="shared" si="337"/>
        <v>2.5067473816524521</v>
      </c>
      <c r="AO353">
        <f t="shared" si="338"/>
        <v>-1.1604539289225961</v>
      </c>
      <c r="AP353" s="41" t="str">
        <f t="shared" si="339"/>
        <v>0.0229164431611759-4.38648362745619i</v>
      </c>
      <c r="AQ353">
        <f t="shared" si="340"/>
        <v>12.842448787020022</v>
      </c>
      <c r="AR353" s="43">
        <f t="shared" si="341"/>
        <v>-89.70067059616764</v>
      </c>
      <c r="AS353" t="str">
        <f t="shared" si="318"/>
        <v>-0.0000166666666666667</v>
      </c>
      <c r="AT353" t="str">
        <f t="shared" si="319"/>
        <v>0.000478254192000648i</v>
      </c>
      <c r="AU353">
        <f t="shared" si="342"/>
        <v>4.7825419200064802E-4</v>
      </c>
      <c r="AV353">
        <f t="shared" si="343"/>
        <v>1.5707963267948966</v>
      </c>
      <c r="AW353" t="str">
        <f t="shared" si="320"/>
        <v>1+0.486032028341141i</v>
      </c>
      <c r="AX353">
        <f t="shared" si="344"/>
        <v>1.1118575145104717</v>
      </c>
      <c r="AY353">
        <f t="shared" si="345"/>
        <v>0.4524109204830728</v>
      </c>
      <c r="AZ353" t="str">
        <f t="shared" si="321"/>
        <v>1+16.5250889635988i</v>
      </c>
      <c r="BA353">
        <f t="shared" si="346"/>
        <v>16.55531833746651</v>
      </c>
      <c r="BB353">
        <f t="shared" si="347"/>
        <v>1.5103559850065023</v>
      </c>
      <c r="BC353" s="41" t="str">
        <f t="shared" si="348"/>
        <v>-0.452137493143893+0.254602274297917i</v>
      </c>
      <c r="BD353">
        <f t="shared" si="349"/>
        <v>-5.6984327058990738</v>
      </c>
      <c r="BE353" s="43">
        <f t="shared" si="350"/>
        <v>150.61578715388816</v>
      </c>
      <c r="BF353" s="41" t="str">
        <f t="shared" si="351"/>
        <v>1.84371902996993+0.411460904194992i</v>
      </c>
      <c r="BG353" s="20">
        <f t="shared" si="352"/>
        <v>5.5249786349924692</v>
      </c>
      <c r="BH353" s="43">
        <f t="shared" si="353"/>
        <v>12.580490104378748</v>
      </c>
      <c r="BI353" s="41" t="str">
        <f t="shared" si="306"/>
        <v>1.10644732455825+1.98912828958243i</v>
      </c>
      <c r="BJ353" s="20">
        <f t="shared" si="354"/>
        <v>7.1440160811209541</v>
      </c>
      <c r="BK353" s="43">
        <f t="shared" si="307"/>
        <v>60.915116557720658</v>
      </c>
      <c r="BL353">
        <f t="shared" si="355"/>
        <v>5.5249786349924692</v>
      </c>
      <c r="BM353" s="43">
        <f t="shared" si="356"/>
        <v>12.580490104378748</v>
      </c>
    </row>
    <row r="354" spans="14:65" x14ac:dyDescent="0.25">
      <c r="N354" s="9">
        <v>36</v>
      </c>
      <c r="O354" s="34">
        <f t="shared" si="308"/>
        <v>22908.676527677751</v>
      </c>
      <c r="P354" s="33" t="str">
        <f t="shared" si="309"/>
        <v>16.5157725627975</v>
      </c>
      <c r="Q354" s="4" t="str">
        <f t="shared" si="310"/>
        <v>1+372.439182913849i</v>
      </c>
      <c r="R354" s="4">
        <f t="shared" si="322"/>
        <v>372.44052541249516</v>
      </c>
      <c r="S354" s="4">
        <f t="shared" si="323"/>
        <v>1.5681113311155808</v>
      </c>
      <c r="T354" s="4" t="str">
        <f t="shared" si="311"/>
        <v>1+2.3678041131447i</v>
      </c>
      <c r="U354" s="4">
        <f t="shared" si="324"/>
        <v>2.5703105489852698</v>
      </c>
      <c r="V354" s="4">
        <f t="shared" si="325"/>
        <v>1.1711874696766627</v>
      </c>
      <c r="W354" t="str">
        <f t="shared" si="312"/>
        <v>1-35.9848649414088i</v>
      </c>
      <c r="X354" s="4">
        <f t="shared" si="326"/>
        <v>35.998756990366097</v>
      </c>
      <c r="Y354" s="4">
        <f t="shared" si="327"/>
        <v>-1.5430140160153443</v>
      </c>
      <c r="Z354" t="str">
        <f t="shared" si="313"/>
        <v>0.989156870655996+0.503788109179722i</v>
      </c>
      <c r="AA354" s="4">
        <f t="shared" si="328"/>
        <v>1.110060256795478</v>
      </c>
      <c r="AB354" s="4">
        <f t="shared" si="329"/>
        <v>0.47106833978090901</v>
      </c>
      <c r="AC354" s="47" t="str">
        <f t="shared" si="330"/>
        <v>-2.75295037709428-2.4665724673804i</v>
      </c>
      <c r="AD354" s="20">
        <f t="shared" si="331"/>
        <v>11.355370255700244</v>
      </c>
      <c r="AE354" s="43">
        <f t="shared" si="332"/>
        <v>-138.14048062737712</v>
      </c>
      <c r="AF354" t="str">
        <f t="shared" si="314"/>
        <v>247.084651286898</v>
      </c>
      <c r="AG354" t="str">
        <f t="shared" si="315"/>
        <v>1+364.217945729997i</v>
      </c>
      <c r="AH354">
        <f t="shared" si="333"/>
        <v>364.219318531814</v>
      </c>
      <c r="AI354">
        <f t="shared" si="334"/>
        <v>1.5680507248855293</v>
      </c>
      <c r="AJ354" t="str">
        <f t="shared" si="316"/>
        <v>1+2.3678041131447i</v>
      </c>
      <c r="AK354">
        <f t="shared" si="335"/>
        <v>2.5703105489852698</v>
      </c>
      <c r="AL354">
        <f t="shared" si="336"/>
        <v>1.1711874696766627</v>
      </c>
      <c r="AM354" t="str">
        <f t="shared" si="317"/>
        <v>1-2.35219034727629i</v>
      </c>
      <c r="AN354">
        <f t="shared" si="337"/>
        <v>2.5559341599148744</v>
      </c>
      <c r="AO354">
        <f t="shared" si="338"/>
        <v>-1.1688107781894965</v>
      </c>
      <c r="AP354" s="41" t="str">
        <f t="shared" si="339"/>
        <v>0.0228286696257027-4.456689259951i</v>
      </c>
      <c r="AQ354">
        <f t="shared" si="340"/>
        <v>12.980361034472004</v>
      </c>
      <c r="AR354" s="43">
        <f t="shared" si="341"/>
        <v>-89.706514206950914</v>
      </c>
      <c r="AS354" t="str">
        <f t="shared" si="318"/>
        <v>-0.0000166666666666667</v>
      </c>
      <c r="AT354" t="str">
        <f t="shared" si="319"/>
        <v>0.000489394163203158i</v>
      </c>
      <c r="AU354">
        <f t="shared" si="342"/>
        <v>4.89394163203158E-4</v>
      </c>
      <c r="AV354">
        <f t="shared" si="343"/>
        <v>1.5707963267948966</v>
      </c>
      <c r="AW354" t="str">
        <f t="shared" si="320"/>
        <v>1+0.497353168625494i</v>
      </c>
      <c r="AX354">
        <f t="shared" si="344"/>
        <v>1.1168527988691344</v>
      </c>
      <c r="AY354">
        <f t="shared" si="345"/>
        <v>0.46152790287069195</v>
      </c>
      <c r="AZ354" t="str">
        <f t="shared" si="321"/>
        <v>1+16.9100077332668i</v>
      </c>
      <c r="BA354">
        <f t="shared" si="346"/>
        <v>16.939550216553652</v>
      </c>
      <c r="BB354">
        <f t="shared" si="347"/>
        <v>1.5117285401910701</v>
      </c>
      <c r="BC354" s="41" t="str">
        <f t="shared" si="348"/>
        <v>-0.448102038349216+0.256920680620376i</v>
      </c>
      <c r="BD354">
        <f t="shared" si="349"/>
        <v>-5.7380819608009412</v>
      </c>
      <c r="BE354" s="43">
        <f t="shared" si="350"/>
        <v>150.17206416040688</v>
      </c>
      <c r="BF354" s="41" t="str">
        <f t="shared" si="351"/>
        <v>1.86731615256904+0.397986265772029i</v>
      </c>
      <c r="BG354" s="20">
        <f t="shared" si="352"/>
        <v>5.6172882948992893</v>
      </c>
      <c r="BH354" s="43">
        <f t="shared" si="353"/>
        <v>12.031583533029796</v>
      </c>
      <c r="BI354" s="41" t="str">
        <f t="shared" si="306"/>
        <v>1.13478606458805+2.002916699011i</v>
      </c>
      <c r="BJ354" s="20">
        <f t="shared" si="354"/>
        <v>7.2422790736710718</v>
      </c>
      <c r="BK354" s="43">
        <f t="shared" si="307"/>
        <v>60.465549953456112</v>
      </c>
      <c r="BL354">
        <f t="shared" si="355"/>
        <v>5.6172882948992893</v>
      </c>
      <c r="BM354" s="43">
        <f t="shared" si="356"/>
        <v>12.031583533029796</v>
      </c>
    </row>
    <row r="355" spans="14:65" x14ac:dyDescent="0.25">
      <c r="N355" s="9">
        <v>37</v>
      </c>
      <c r="O355" s="34">
        <f t="shared" si="308"/>
        <v>23442.288153199243</v>
      </c>
      <c r="P355" s="33" t="str">
        <f t="shared" si="309"/>
        <v>16.5157725627975</v>
      </c>
      <c r="Q355" s="4" t="str">
        <f t="shared" si="310"/>
        <v>1+381.114405926512i</v>
      </c>
      <c r="R355" s="4">
        <f t="shared" si="322"/>
        <v>381.11571786626462</v>
      </c>
      <c r="S355" s="4">
        <f t="shared" si="323"/>
        <v>1.5681724487951765</v>
      </c>
      <c r="T355" s="4" t="str">
        <f t="shared" si="311"/>
        <v>1+2.42295735607452i</v>
      </c>
      <c r="U355" s="4">
        <f t="shared" si="324"/>
        <v>2.6212062775286551</v>
      </c>
      <c r="V355" s="4">
        <f t="shared" si="325"/>
        <v>1.1793737970116143</v>
      </c>
      <c r="W355" t="str">
        <f t="shared" si="312"/>
        <v>1-36.823060122713i</v>
      </c>
      <c r="X355" s="4">
        <f t="shared" si="326"/>
        <v>36.836636067927486</v>
      </c>
      <c r="Y355" s="4">
        <f t="shared" si="327"/>
        <v>-1.5436461042695304</v>
      </c>
      <c r="Z355" t="str">
        <f t="shared" si="313"/>
        <v>0.988645849713685+0.515522841717982i</v>
      </c>
      <c r="AA355" s="4">
        <f t="shared" si="328"/>
        <v>1.114981800967656</v>
      </c>
      <c r="AB355" s="4">
        <f t="shared" si="329"/>
        <v>0.48065478902780362</v>
      </c>
      <c r="AC355" s="47" t="str">
        <f t="shared" si="330"/>
        <v>-2.80025849413349-2.49841150450805i</v>
      </c>
      <c r="AD355" s="20">
        <f t="shared" si="331"/>
        <v>11.487108349388699</v>
      </c>
      <c r="AE355" s="43">
        <f t="shared" si="332"/>
        <v>-138.26041947807423</v>
      </c>
      <c r="AF355" t="str">
        <f t="shared" si="314"/>
        <v>247.084651286898</v>
      </c>
      <c r="AG355" t="str">
        <f t="shared" si="315"/>
        <v>1+372.701671528398i</v>
      </c>
      <c r="AH355">
        <f t="shared" si="333"/>
        <v>372.70301308154444</v>
      </c>
      <c r="AI355">
        <f t="shared" si="334"/>
        <v>1.568113222111694</v>
      </c>
      <c r="AJ355" t="str">
        <f t="shared" si="316"/>
        <v>1+2.42295735607452i</v>
      </c>
      <c r="AK355">
        <f t="shared" si="335"/>
        <v>2.6212062775286551</v>
      </c>
      <c r="AL355">
        <f t="shared" si="336"/>
        <v>1.1793737970116143</v>
      </c>
      <c r="AM355" t="str">
        <f t="shared" si="317"/>
        <v>1-2.40697989887826i</v>
      </c>
      <c r="AN355">
        <f t="shared" si="337"/>
        <v>2.6064443661056718</v>
      </c>
      <c r="AO355">
        <f t="shared" si="338"/>
        <v>-1.1770351837948896</v>
      </c>
      <c r="AP355" s="41" t="str">
        <f t="shared" si="339"/>
        <v>0.0227448464918611-4.52925786638426i</v>
      </c>
      <c r="AQ355">
        <f t="shared" si="340"/>
        <v>13.120650464933108</v>
      </c>
      <c r="AR355" s="43">
        <f t="shared" si="341"/>
        <v>-89.712276758428871</v>
      </c>
      <c r="AS355" t="str">
        <f t="shared" si="318"/>
        <v>-0.0000166666666666667</v>
      </c>
      <c r="AT355" t="str">
        <f t="shared" si="319"/>
        <v>0.000500793617668895i</v>
      </c>
      <c r="AU355">
        <f t="shared" si="342"/>
        <v>5.0079361766889501E-4</v>
      </c>
      <c r="AV355">
        <f t="shared" si="343"/>
        <v>1.5707963267948966</v>
      </c>
      <c r="AW355" t="str">
        <f t="shared" si="320"/>
        <v>1+0.508938012143097i</v>
      </c>
      <c r="AX355">
        <f t="shared" si="344"/>
        <v>1.1220596687361002</v>
      </c>
      <c r="AY355">
        <f t="shared" si="345"/>
        <v>0.47077242504585154</v>
      </c>
      <c r="AZ355" t="str">
        <f t="shared" si="321"/>
        <v>1+17.3038924128653i</v>
      </c>
      <c r="BA355">
        <f t="shared" si="346"/>
        <v>17.332763560264048</v>
      </c>
      <c r="BB355">
        <f t="shared" si="347"/>
        <v>1.5130700675431747</v>
      </c>
      <c r="BC355" s="41" t="str">
        <f t="shared" si="348"/>
        <v>-0.443952891049098+0.259225011188569i</v>
      </c>
      <c r="BD355">
        <f t="shared" si="349"/>
        <v>-5.7791635082330419</v>
      </c>
      <c r="BE355" s="43">
        <f t="shared" si="350"/>
        <v>149.7192559115322</v>
      </c>
      <c r="BF355" s="41" t="str">
        <f t="shared" si="351"/>
        <v>1.89083360436511+0.383279970984036i</v>
      </c>
      <c r="BG355" s="20">
        <f t="shared" si="352"/>
        <v>5.7079448411556797</v>
      </c>
      <c r="BH355" s="43">
        <f t="shared" si="353"/>
        <v>11.458836433457929</v>
      </c>
      <c r="BI355" s="41" t="str">
        <f t="shared" si="306"/>
        <v>1.16399928073284+2.0166731571745i</v>
      </c>
      <c r="BJ355" s="20">
        <f t="shared" si="354"/>
        <v>7.34148695670007</v>
      </c>
      <c r="BK355" s="43">
        <f t="shared" si="307"/>
        <v>60.006979153103451</v>
      </c>
      <c r="BL355">
        <f t="shared" si="355"/>
        <v>5.7079448411556797</v>
      </c>
      <c r="BM355" s="43">
        <f t="shared" si="356"/>
        <v>11.458836433457929</v>
      </c>
    </row>
    <row r="356" spans="14:65" x14ac:dyDescent="0.25">
      <c r="N356" s="9">
        <v>38</v>
      </c>
      <c r="O356" s="34">
        <f t="shared" si="308"/>
        <v>23988.329190194923</v>
      </c>
      <c r="P356" s="33" t="str">
        <f t="shared" si="309"/>
        <v>16.5157725627975</v>
      </c>
      <c r="Q356" s="4" t="str">
        <f t="shared" si="310"/>
        <v>1+389.991700841842i</v>
      </c>
      <c r="R356" s="4">
        <f t="shared" si="322"/>
        <v>389.99298291829911</v>
      </c>
      <c r="S356" s="4">
        <f t="shared" si="323"/>
        <v>1.5682321752854771</v>
      </c>
      <c r="T356" s="4" t="str">
        <f t="shared" si="311"/>
        <v>1+2.47939528306615i</v>
      </c>
      <c r="U356" s="4">
        <f t="shared" si="324"/>
        <v>2.673462356138697</v>
      </c>
      <c r="V356" s="4">
        <f t="shared" si="325"/>
        <v>1.1874275902443794</v>
      </c>
      <c r="W356" t="str">
        <f t="shared" si="312"/>
        <v>1-37.680779377905i</v>
      </c>
      <c r="X356" s="4">
        <f t="shared" si="326"/>
        <v>37.694046406910871</v>
      </c>
      <c r="Y356" s="4">
        <f t="shared" si="327"/>
        <v>-1.5442638254078362</v>
      </c>
      <c r="Z356" t="str">
        <f t="shared" si="313"/>
        <v>0.98811074509634+0.52753091129067i</v>
      </c>
      <c r="AA356" s="4">
        <f t="shared" si="328"/>
        <v>1.1201123635341272</v>
      </c>
      <c r="AB356" s="4">
        <f t="shared" si="329"/>
        <v>0.49038153310877619</v>
      </c>
      <c r="AC356" s="47" t="str">
        <f t="shared" si="330"/>
        <v>-2.84890936325043-2.52981694327887i</v>
      </c>
      <c r="AD356" s="20">
        <f t="shared" si="331"/>
        <v>11.618546881577922</v>
      </c>
      <c r="AE356" s="43">
        <f t="shared" si="332"/>
        <v>-138.39508739096976</v>
      </c>
      <c r="AF356" t="str">
        <f t="shared" si="314"/>
        <v>247.084651286898</v>
      </c>
      <c r="AG356" t="str">
        <f t="shared" si="315"/>
        <v>1+381.383008686333i</v>
      </c>
      <c r="AH356">
        <f t="shared" si="333"/>
        <v>381.3843197021078</v>
      </c>
      <c r="AI356">
        <f t="shared" si="334"/>
        <v>1.568174296747562</v>
      </c>
      <c r="AJ356" t="str">
        <f t="shared" si="316"/>
        <v>1+2.47939528306615i</v>
      </c>
      <c r="AK356">
        <f t="shared" si="335"/>
        <v>2.673462356138697</v>
      </c>
      <c r="AL356">
        <f t="shared" si="336"/>
        <v>1.1874275902443794</v>
      </c>
      <c r="AM356" t="str">
        <f t="shared" si="317"/>
        <v>1-2.46304566308276i</v>
      </c>
      <c r="AN356">
        <f t="shared" si="337"/>
        <v>2.658306592255828</v>
      </c>
      <c r="AO356">
        <f t="shared" si="338"/>
        <v>-1.1851270549305644</v>
      </c>
      <c r="AP356" s="41" t="str">
        <f t="shared" si="339"/>
        <v>0.0226647959674007-4.60422792503988i</v>
      </c>
      <c r="AQ356">
        <f t="shared" si="340"/>
        <v>13.263241528204716</v>
      </c>
      <c r="AR356" s="43">
        <f t="shared" si="341"/>
        <v>-89.717957780428833</v>
      </c>
      <c r="AS356" t="str">
        <f t="shared" si="318"/>
        <v>-0.0000166666666666667</v>
      </c>
      <c r="AT356" t="str">
        <f t="shared" si="319"/>
        <v>0.000512458599539508i</v>
      </c>
      <c r="AU356">
        <f t="shared" si="342"/>
        <v>5.1245859953950802E-4</v>
      </c>
      <c r="AV356">
        <f t="shared" si="343"/>
        <v>1.5707963267948966</v>
      </c>
      <c r="AW356" t="str">
        <f t="shared" si="320"/>
        <v>1+0.520792701331327i</v>
      </c>
      <c r="AX356">
        <f t="shared" si="344"/>
        <v>1.127486158566916</v>
      </c>
      <c r="AY356">
        <f t="shared" si="345"/>
        <v>0.48014306726449546</v>
      </c>
      <c r="AZ356" t="str">
        <f t="shared" si="321"/>
        <v>1+17.7069518452651i</v>
      </c>
      <c r="BA356">
        <f t="shared" si="346"/>
        <v>17.735166862776822</v>
      </c>
      <c r="BB356">
        <f t="shared" si="347"/>
        <v>1.5143812590327257</v>
      </c>
      <c r="BC356" s="41" t="str">
        <f t="shared" si="348"/>
        <v>-0.439689763869908+0.261510172325982i</v>
      </c>
      <c r="BD356">
        <f t="shared" si="349"/>
        <v>-5.8217195177208039</v>
      </c>
      <c r="BE356" s="43">
        <f t="shared" si="350"/>
        <v>149.25748339956141</v>
      </c>
      <c r="BF356" s="41" t="str">
        <f t="shared" si="351"/>
        <v>1.9142091500044+0.367315835899655i</v>
      </c>
      <c r="BG356" s="20">
        <f t="shared" si="352"/>
        <v>5.7968273638571288</v>
      </c>
      <c r="BH356" s="43">
        <f t="shared" si="353"/>
        <v>10.862396008591629</v>
      </c>
      <c r="BI356" s="41" t="str">
        <f t="shared" si="306"/>
        <v>1.19408695931821+2.03035896386319i</v>
      </c>
      <c r="BJ356" s="20">
        <f t="shared" si="354"/>
        <v>7.4415220104839142</v>
      </c>
      <c r="BK356" s="43">
        <f t="shared" si="307"/>
        <v>59.539525619132618</v>
      </c>
      <c r="BL356">
        <f t="shared" si="355"/>
        <v>5.7968273638571288</v>
      </c>
      <c r="BM356" s="43">
        <f t="shared" si="356"/>
        <v>10.862396008591629</v>
      </c>
    </row>
    <row r="357" spans="14:65" x14ac:dyDescent="0.25">
      <c r="N357" s="9">
        <v>39</v>
      </c>
      <c r="O357" s="34">
        <f t="shared" si="308"/>
        <v>24547.089156850321</v>
      </c>
      <c r="P357" s="33" t="str">
        <f t="shared" si="309"/>
        <v>16.5157725627975</v>
      </c>
      <c r="Q357" s="4" t="str">
        <f t="shared" si="310"/>
        <v>1+399.075774519108i</v>
      </c>
      <c r="R357" s="4">
        <f t="shared" si="322"/>
        <v>399.07702741203468</v>
      </c>
      <c r="S357" s="4">
        <f t="shared" si="323"/>
        <v>1.568290542252553</v>
      </c>
      <c r="T357" s="4" t="str">
        <f t="shared" si="311"/>
        <v>1+2.53714781825554i</v>
      </c>
      <c r="U357" s="4">
        <f t="shared" si="324"/>
        <v>2.7271081848138783</v>
      </c>
      <c r="V357" s="4">
        <f t="shared" si="325"/>
        <v>1.1953489393746963</v>
      </c>
      <c r="W357" t="str">
        <f t="shared" si="312"/>
        <v>1-38.5584774810872i</v>
      </c>
      <c r="X357" s="4">
        <f t="shared" si="326"/>
        <v>38.571442618334991</v>
      </c>
      <c r="Y357" s="4">
        <f t="shared" si="327"/>
        <v>-1.5448675050674288</v>
      </c>
      <c r="Z357" t="str">
        <f t="shared" si="313"/>
        <v>0.987550421775323+0.539818684735221i</v>
      </c>
      <c r="AA357" s="4">
        <f t="shared" si="328"/>
        <v>1.1254599272910086</v>
      </c>
      <c r="AB357" s="4">
        <f t="shared" si="329"/>
        <v>0.50024751787591371</v>
      </c>
      <c r="AC357" s="47" t="str">
        <f t="shared" si="330"/>
        <v>-2.89890712568968-2.56073076423362i</v>
      </c>
      <c r="AD357" s="20">
        <f t="shared" si="331"/>
        <v>11.74960755605721</v>
      </c>
      <c r="AE357" s="43">
        <f t="shared" si="332"/>
        <v>-138.54443928319913</v>
      </c>
      <c r="AF357" t="str">
        <f t="shared" si="314"/>
        <v>247.084651286898</v>
      </c>
      <c r="AG357" t="str">
        <f t="shared" si="315"/>
        <v>1+390.266560163673i</v>
      </c>
      <c r="AH357">
        <f t="shared" si="333"/>
        <v>390.26784133718445</v>
      </c>
      <c r="AI357">
        <f t="shared" si="334"/>
        <v>1.5682339811738901</v>
      </c>
      <c r="AJ357" t="str">
        <f t="shared" si="316"/>
        <v>1+2.53714781825554i</v>
      </c>
      <c r="AK357">
        <f t="shared" si="335"/>
        <v>2.7271081848138783</v>
      </c>
      <c r="AL357">
        <f t="shared" si="336"/>
        <v>1.1953489393746963</v>
      </c>
      <c r="AM357" t="str">
        <f t="shared" si="317"/>
        <v>1-2.52041736670008i</v>
      </c>
      <c r="AN357">
        <f t="shared" si="337"/>
        <v>2.7115500552937184</v>
      </c>
      <c r="AO357">
        <f t="shared" si="338"/>
        <v>-1.1930864422262439</v>
      </c>
      <c r="AP357" s="41" t="str">
        <f t="shared" si="339"/>
        <v>0.0225883482616162-4.68163918738695i</v>
      </c>
      <c r="AQ357">
        <f t="shared" si="340"/>
        <v>13.408059894212379</v>
      </c>
      <c r="AR357" s="43">
        <f t="shared" si="341"/>
        <v>-89.723556872495791</v>
      </c>
      <c r="AS357" t="str">
        <f t="shared" si="318"/>
        <v>-0.0000166666666666667</v>
      </c>
      <c r="AT357" t="str">
        <f t="shared" si="319"/>
        <v>0.000524395293742788i</v>
      </c>
      <c r="AU357">
        <f t="shared" si="342"/>
        <v>5.24395293742788E-4</v>
      </c>
      <c r="AV357">
        <f t="shared" si="343"/>
        <v>1.5707963267948966</v>
      </c>
      <c r="AW357" t="str">
        <f t="shared" si="320"/>
        <v>1+0.532923521703309i</v>
      </c>
      <c r="AX357">
        <f t="shared" si="344"/>
        <v>1.133140538496729</v>
      </c>
      <c r="AY357">
        <f t="shared" si="345"/>
        <v>0.48963821446579681</v>
      </c>
      <c r="AZ357" t="str">
        <f t="shared" si="321"/>
        <v>1+18.1193997379125i</v>
      </c>
      <c r="BA357">
        <f t="shared" si="346"/>
        <v>18.14697349042709</v>
      </c>
      <c r="BB357">
        <f t="shared" si="347"/>
        <v>1.5156627918267558</v>
      </c>
      <c r="BC357" s="41" t="str">
        <f t="shared" si="348"/>
        <v>-0.435312601671821+0.263770964396676i</v>
      </c>
      <c r="BD357">
        <f t="shared" si="349"/>
        <v>-5.8657921569291895</v>
      </c>
      <c r="BE357" s="43">
        <f t="shared" si="350"/>
        <v>148.78687795947695</v>
      </c>
      <c r="BF357" s="41" t="str">
        <f t="shared" si="351"/>
        <v>1.93737722613109+0.350070842920045i</v>
      </c>
      <c r="BG357" s="20">
        <f t="shared" si="352"/>
        <v>5.8838153991280029</v>
      </c>
      <c r="BH357" s="43">
        <f t="shared" si="353"/>
        <v>10.242438676277834</v>
      </c>
      <c r="BI357" s="41" t="str">
        <f t="shared" si="306"/>
        <v>1.22504749076509+2.04393468515526i</v>
      </c>
      <c r="BJ357" s="20">
        <f t="shared" si="354"/>
        <v>7.5422677372831881</v>
      </c>
      <c r="BK357" s="43">
        <f t="shared" si="307"/>
        <v>59.063321086981269</v>
      </c>
      <c r="BL357">
        <f t="shared" si="355"/>
        <v>5.8838153991280029</v>
      </c>
      <c r="BM357" s="43">
        <f t="shared" si="356"/>
        <v>10.242438676277834</v>
      </c>
    </row>
    <row r="358" spans="14:65" x14ac:dyDescent="0.25">
      <c r="N358" s="9">
        <v>40</v>
      </c>
      <c r="O358" s="34">
        <f t="shared" si="308"/>
        <v>25118.86431509586</v>
      </c>
      <c r="P358" s="33" t="str">
        <f t="shared" si="309"/>
        <v>16.5157725627975</v>
      </c>
      <c r="Q358" s="4" t="str">
        <f t="shared" si="310"/>
        <v>1+408.371443454419i</v>
      </c>
      <c r="R358" s="4">
        <f t="shared" si="322"/>
        <v>408.37266782810735</v>
      </c>
      <c r="S358" s="4">
        <f t="shared" si="323"/>
        <v>1.5683475806417515</v>
      </c>
      <c r="T358" s="4" t="str">
        <f t="shared" si="311"/>
        <v>1+2.59624558280131i</v>
      </c>
      <c r="U358" s="4">
        <f t="shared" si="324"/>
        <v>2.7821738130848894</v>
      </c>
      <c r="V358" s="4">
        <f t="shared" si="325"/>
        <v>1.2031380669944829</v>
      </c>
      <c r="W358" t="str">
        <f t="shared" si="312"/>
        <v>1-39.456619799412i</v>
      </c>
      <c r="X358" s="4">
        <f t="shared" si="326"/>
        <v>39.469289909945829</v>
      </c>
      <c r="Y358" s="4">
        <f t="shared" si="327"/>
        <v>-1.5454574615662591</v>
      </c>
      <c r="Z358" t="str">
        <f t="shared" si="313"/>
        <v>0.986963691229748+0.552392677191768i</v>
      </c>
      <c r="AA358" s="4">
        <f t="shared" si="328"/>
        <v>1.1310327128871818</v>
      </c>
      <c r="AB358" s="4">
        <f t="shared" si="329"/>
        <v>0.51025150247616646</v>
      </c>
      <c r="AC358" s="47" t="str">
        <f t="shared" si="330"/>
        <v>-2.95025320295135-2.59109347945168i</v>
      </c>
      <c r="AD358" s="20">
        <f t="shared" si="331"/>
        <v>11.880212635160261</v>
      </c>
      <c r="AE358" s="43">
        <f t="shared" si="332"/>
        <v>-138.70841131685555</v>
      </c>
      <c r="AF358" t="str">
        <f t="shared" si="314"/>
        <v>247.084651286898</v>
      </c>
      <c r="AG358" t="str">
        <f t="shared" si="315"/>
        <v>1+399.357036137004i</v>
      </c>
      <c r="AH358">
        <f t="shared" si="333"/>
        <v>399.35828814753842</v>
      </c>
      <c r="AI358">
        <f t="shared" si="334"/>
        <v>1.5682923070344492</v>
      </c>
      <c r="AJ358" t="str">
        <f t="shared" si="316"/>
        <v>1+2.59624558280131i</v>
      </c>
      <c r="AK358">
        <f t="shared" si="335"/>
        <v>2.7821738130848894</v>
      </c>
      <c r="AL358">
        <f t="shared" si="336"/>
        <v>1.2031380669944829</v>
      </c>
      <c r="AM358" t="str">
        <f t="shared" si="317"/>
        <v>1-2.57912542896691i</v>
      </c>
      <c r="AN358">
        <f t="shared" si="337"/>
        <v>2.7662046161381024</v>
      </c>
      <c r="AO358">
        <f t="shared" si="338"/>
        <v>-1.2009135308804164</v>
      </c>
      <c r="AP358" s="41" t="str">
        <f t="shared" si="339"/>
        <v>0.0225153412252112-4.7615326991628i</v>
      </c>
      <c r="AQ358">
        <f t="shared" si="340"/>
        <v>13.555032527975523</v>
      </c>
      <c r="AR358" s="43">
        <f t="shared" si="341"/>
        <v>-89.729073705198559</v>
      </c>
      <c r="AS358" t="str">
        <f t="shared" si="318"/>
        <v>-0.0000166666666666667</v>
      </c>
      <c r="AT358" t="str">
        <f t="shared" si="319"/>
        <v>0.000536610029272003i</v>
      </c>
      <c r="AU358">
        <f t="shared" si="342"/>
        <v>5.3661002927200298E-4</v>
      </c>
      <c r="AV358">
        <f t="shared" si="343"/>
        <v>1.5707963267948966</v>
      </c>
      <c r="AW358" t="str">
        <f t="shared" si="320"/>
        <v>1+0.545336905180579i</v>
      </c>
      <c r="AX358">
        <f t="shared" si="344"/>
        <v>1.1390313165808619</v>
      </c>
      <c r="AY358">
        <f t="shared" si="345"/>
        <v>0.49925605176232385</v>
      </c>
      <c r="AZ358" t="str">
        <f t="shared" si="321"/>
        <v>1+18.5414547761397i</v>
      </c>
      <c r="BA358">
        <f t="shared" si="346"/>
        <v>18.56840179486737</v>
      </c>
      <c r="BB358">
        <f t="shared" si="347"/>
        <v>1.5169153285638211</v>
      </c>
      <c r="BC358" s="41" t="str">
        <f t="shared" si="348"/>
        <v>-0.430821594501434+0.266002093497981i</v>
      </c>
      <c r="BD358">
        <f t="shared" si="349"/>
        <v>-5.9114235090200538</v>
      </c>
      <c r="BE358" s="43">
        <f t="shared" si="350"/>
        <v>148.30758154306139</v>
      </c>
      <c r="BF358" s="41" t="str">
        <f t="shared" si="351"/>
        <v>1.96026907906158+0.331525495985458i</v>
      </c>
      <c r="BG358" s="20">
        <f t="shared" si="352"/>
        <v>5.9687891261402157</v>
      </c>
      <c r="BH358" s="43">
        <f t="shared" si="353"/>
        <v>9.5991702262057981</v>
      </c>
      <c r="BI358" s="41" t="str">
        <f t="shared" si="306"/>
        <v>1.25687757102901+2.05736023762576i</v>
      </c>
      <c r="BJ358" s="20">
        <f t="shared" si="354"/>
        <v>7.6436090189554653</v>
      </c>
      <c r="BK358" s="43">
        <f t="shared" si="307"/>
        <v>58.578507837862752</v>
      </c>
      <c r="BL358">
        <f t="shared" si="355"/>
        <v>5.9687891261402157</v>
      </c>
      <c r="BM358" s="43">
        <f t="shared" si="356"/>
        <v>9.5991702262057981</v>
      </c>
    </row>
    <row r="359" spans="14:65" x14ac:dyDescent="0.25">
      <c r="N359" s="9">
        <v>41</v>
      </c>
      <c r="O359" s="34">
        <f t="shared" si="308"/>
        <v>25703.95782768865</v>
      </c>
      <c r="P359" s="33" t="str">
        <f t="shared" si="309"/>
        <v>16.5157725627975</v>
      </c>
      <c r="Q359" s="4" t="str">
        <f t="shared" si="310"/>
        <v>1+417.883636334482i</v>
      </c>
      <c r="R359" s="4">
        <f t="shared" si="322"/>
        <v>417.88483283810336</v>
      </c>
      <c r="S359" s="4">
        <f t="shared" si="323"/>
        <v>1.5684033206940959</v>
      </c>
      <c r="T359" s="4" t="str">
        <f t="shared" si="311"/>
        <v>1+2.65671991112044i</v>
      </c>
      <c r="U359" s="4">
        <f t="shared" si="324"/>
        <v>2.8386899594960697</v>
      </c>
      <c r="V359" s="4">
        <f t="shared" si="325"/>
        <v>1.2107953214151765</v>
      </c>
      <c r="W359" t="str">
        <f t="shared" si="312"/>
        <v>1-40.3756825398243i</v>
      </c>
      <c r="X359" s="4">
        <f t="shared" si="326"/>
        <v>40.388064332877761</v>
      </c>
      <c r="Y359" s="4">
        <f t="shared" si="327"/>
        <v>-1.5460340060634619</v>
      </c>
      <c r="Z359" t="str">
        <f t="shared" si="313"/>
        <v>0.986349308925463+0.565259555557539i</v>
      </c>
      <c r="AA359" s="4">
        <f t="shared" si="328"/>
        <v>1.1368391814002741</v>
      </c>
      <c r="AB359" s="4">
        <f t="shared" si="329"/>
        <v>0.52039205478369155</v>
      </c>
      <c r="AC359" s="47" t="str">
        <f t="shared" si="330"/>
        <v>-3.00294613924039-2.6208442661473i</v>
      </c>
      <c r="AD359" s="20">
        <f t="shared" si="331"/>
        <v>12.010285054574672</v>
      </c>
      <c r="AE359" s="43">
        <f t="shared" si="332"/>
        <v>-138.88692104118519</v>
      </c>
      <c r="AF359" t="str">
        <f t="shared" si="314"/>
        <v>247.084651286898</v>
      </c>
      <c r="AG359" t="str">
        <f t="shared" si="315"/>
        <v>1+408.659256497007i</v>
      </c>
      <c r="AH359">
        <f t="shared" si="333"/>
        <v>408.66048000838856</v>
      </c>
      <c r="AI359">
        <f t="shared" si="334"/>
        <v>1.5683493052527941</v>
      </c>
      <c r="AJ359" t="str">
        <f t="shared" si="316"/>
        <v>1+2.65671991112044i</v>
      </c>
      <c r="AK359">
        <f t="shared" si="335"/>
        <v>2.8386899594960697</v>
      </c>
      <c r="AL359">
        <f t="shared" si="336"/>
        <v>1.2107953214151765</v>
      </c>
      <c r="AM359" t="str">
        <f t="shared" si="317"/>
        <v>1-2.63920097767493i</v>
      </c>
      <c r="AN359">
        <f t="shared" si="337"/>
        <v>2.8223007990928797</v>
      </c>
      <c r="AO359">
        <f t="shared" si="338"/>
        <v>-1.2086086337836943</v>
      </c>
      <c r="AP359" s="41" t="str">
        <f t="shared" si="339"/>
        <v>0.0224456200064355-4.84395082214209i</v>
      </c>
      <c r="AQ359">
        <f t="shared" si="340"/>
        <v>13.704087755840151</v>
      </c>
      <c r="AR359" s="43">
        <f t="shared" si="341"/>
        <v>-89.734508020862549</v>
      </c>
      <c r="AS359" t="str">
        <f t="shared" si="318"/>
        <v>-0.0000166666666666667</v>
      </c>
      <c r="AT359" t="str">
        <f t="shared" si="319"/>
        <v>0.00054910928254161i</v>
      </c>
      <c r="AU359">
        <f t="shared" si="342"/>
        <v>5.4910928254161E-4</v>
      </c>
      <c r="AV359">
        <f t="shared" si="343"/>
        <v>1.5707963267948966</v>
      </c>
      <c r="AW359" t="str">
        <f t="shared" si="320"/>
        <v>1+0.558039433503359i</v>
      </c>
      <c r="AX359">
        <f t="shared" si="344"/>
        <v>1.1451672407752285</v>
      </c>
      <c r="AY359">
        <f t="shared" si="345"/>
        <v>0.50899456044837799</v>
      </c>
      <c r="AZ359" t="str">
        <f t="shared" si="321"/>
        <v>1+18.9733407391142i</v>
      </c>
      <c r="BA359">
        <f t="shared" si="346"/>
        <v>18.999675228869851</v>
      </c>
      <c r="BB359">
        <f t="shared" si="347"/>
        <v>1.5181395176262484</v>
      </c>
      <c r="BC359" s="41" t="str">
        <f t="shared" si="348"/>
        <v>-0.426217189993738+0.268198184504354i</v>
      </c>
      <c r="BD359">
        <f t="shared" si="349"/>
        <v>-5.958655485349917</v>
      </c>
      <c r="BE359" s="43">
        <f t="shared" si="350"/>
        <v>147.81974696320211</v>
      </c>
      <c r="BF359" s="41" t="str">
        <f t="shared" si="351"/>
        <v>1.98281293921894+0.311664175819871i</v>
      </c>
      <c r="BG359" s="20">
        <f t="shared" si="352"/>
        <v>6.0516295692247768</v>
      </c>
      <c r="BH359" s="43">
        <f t="shared" si="353"/>
        <v>8.9328259220169208</v>
      </c>
      <c r="BI359" s="41" t="str">
        <f t="shared" si="306"/>
        <v>1.28957210724007+2.07059498241706i</v>
      </c>
      <c r="BJ359" s="20">
        <f t="shared" si="354"/>
        <v>7.7454322704902347</v>
      </c>
      <c r="BK359" s="43">
        <f t="shared" si="307"/>
        <v>58.085238942339615</v>
      </c>
      <c r="BL359">
        <f t="shared" si="355"/>
        <v>6.0516295692247768</v>
      </c>
      <c r="BM359" s="43">
        <f t="shared" si="356"/>
        <v>8.9328259220169208</v>
      </c>
    </row>
    <row r="360" spans="14:65" x14ac:dyDescent="0.25">
      <c r="N360" s="9">
        <v>42</v>
      </c>
      <c r="O360" s="34">
        <f t="shared" si="308"/>
        <v>26302.679918953829</v>
      </c>
      <c r="P360" s="33" t="str">
        <f t="shared" si="309"/>
        <v>16.5157725627975</v>
      </c>
      <c r="Q360" s="4" t="str">
        <f t="shared" si="310"/>
        <v>1+427.617396649874i</v>
      </c>
      <c r="R360" s="4">
        <f t="shared" si="322"/>
        <v>427.61856591782316</v>
      </c>
      <c r="S360" s="4">
        <f t="shared" si="323"/>
        <v>1.5684577919623135</v>
      </c>
      <c r="T360" s="4" t="str">
        <f t="shared" si="311"/>
        <v>1+2.71860286750229i</v>
      </c>
      <c r="U360" s="4">
        <f t="shared" si="324"/>
        <v>2.8966880313888956</v>
      </c>
      <c r="V360" s="4">
        <f t="shared" si="325"/>
        <v>1.2183211698287861</v>
      </c>
      <c r="W360" t="str">
        <f t="shared" si="312"/>
        <v>1-41.3161530015545i</v>
      </c>
      <c r="X360" s="4">
        <f t="shared" si="326"/>
        <v>41.328253034066904</v>
      </c>
      <c r="Y360" s="4">
        <f t="shared" si="327"/>
        <v>-1.5465974427165192</v>
      </c>
      <c r="Z360" t="str">
        <f t="shared" si="313"/>
        <v>0.985705971675229+0.578426142021762i</v>
      </c>
      <c r="AA360" s="4">
        <f t="shared" si="328"/>
        <v>1.1428880366730536</v>
      </c>
      <c r="AB360" s="4">
        <f t="shared" si="329"/>
        <v>0.53066754732973376</v>
      </c>
      <c r="AC360" s="47" t="str">
        <f t="shared" si="330"/>
        <v>-3.05698144973492-2.64992111627611i</v>
      </c>
      <c r="AD360" s="20">
        <f t="shared" si="331"/>
        <v>12.139748538602401</v>
      </c>
      <c r="AE360" s="43">
        <f t="shared" si="332"/>
        <v>-139.07986756115321</v>
      </c>
      <c r="AF360" t="str">
        <f t="shared" si="314"/>
        <v>247.084651286898</v>
      </c>
      <c r="AG360" t="str">
        <f t="shared" si="315"/>
        <v>1+418.17815340405i</v>
      </c>
      <c r="AH360">
        <f t="shared" si="333"/>
        <v>418.17934906499289</v>
      </c>
      <c r="AI360">
        <f t="shared" si="334"/>
        <v>1.568405006048653</v>
      </c>
      <c r="AJ360" t="str">
        <f t="shared" si="316"/>
        <v>1+2.71860286750229i</v>
      </c>
      <c r="AK360">
        <f t="shared" si="335"/>
        <v>2.8966880313888956</v>
      </c>
      <c r="AL360">
        <f t="shared" si="336"/>
        <v>1.2183211698287861</v>
      </c>
      <c r="AM360" t="str">
        <f t="shared" si="317"/>
        <v>1-2.70067586567527i</v>
      </c>
      <c r="AN360">
        <f t="shared" si="337"/>
        <v>2.8798698115437213</v>
      </c>
      <c r="AO360">
        <f t="shared" si="338"/>
        <v>-1.2161721846671283</v>
      </c>
      <c r="AP360" s="41" t="str">
        <f t="shared" si="339"/>
        <v>0.0223790367226808-4.92893725660315i</v>
      </c>
      <c r="AQ360">
        <f t="shared" si="340"/>
        <v>13.855155323315092</v>
      </c>
      <c r="AR360" s="43">
        <f t="shared" si="341"/>
        <v>-89.739859633778934</v>
      </c>
      <c r="AS360" t="str">
        <f t="shared" si="318"/>
        <v>-0.0000166666666666667</v>
      </c>
      <c r="AT360" t="str">
        <f t="shared" si="319"/>
        <v>0.000561899680821142i</v>
      </c>
      <c r="AU360">
        <f t="shared" si="342"/>
        <v>5.6189968082114201E-4</v>
      </c>
      <c r="AV360">
        <f t="shared" si="343"/>
        <v>1.5707963267948966</v>
      </c>
      <c r="AW360" t="str">
        <f t="shared" si="320"/>
        <v>1+0.571037841720308i</v>
      </c>
      <c r="AX360">
        <f t="shared" si="344"/>
        <v>1.1515573006483819</v>
      </c>
      <c r="AY360">
        <f t="shared" si="345"/>
        <v>0.51885151458192946</v>
      </c>
      <c r="AZ360" t="str">
        <f t="shared" si="321"/>
        <v>1+19.4152866184905i</v>
      </c>
      <c r="BA360">
        <f t="shared" si="346"/>
        <v>19.441022464832869</v>
      </c>
      <c r="BB360">
        <f t="shared" si="347"/>
        <v>1.5193359934100241</v>
      </c>
      <c r="BC360" s="41" t="str">
        <f t="shared" si="348"/>
        <v>-0.421500105083084+0.270353795456009i</v>
      </c>
      <c r="BD360">
        <f t="shared" si="349"/>
        <v>-6.0075297337351135</v>
      </c>
      <c r="BE360" s="43">
        <f t="shared" si="350"/>
        <v>147.32353810519552</v>
      </c>
      <c r="BF360" s="41" t="str">
        <f t="shared" si="351"/>
        <v>2.00493423374458+0.290475491397815i</v>
      </c>
      <c r="BG360" s="20">
        <f t="shared" si="352"/>
        <v>6.1322188048672981</v>
      </c>
      <c r="BH360" s="43">
        <f t="shared" si="353"/>
        <v>8.2436705440422831</v>
      </c>
      <c r="BI360" s="41" t="str">
        <f t="shared" si="306"/>
        <v>1.32312412855692+2.08359782912278i</v>
      </c>
      <c r="BJ360" s="20">
        <f t="shared" si="354"/>
        <v>7.8476255895799714</v>
      </c>
      <c r="BK360" s="43">
        <f t="shared" si="307"/>
        <v>57.58367847141659</v>
      </c>
      <c r="BL360">
        <f t="shared" si="355"/>
        <v>6.1322188048672981</v>
      </c>
      <c r="BM360" s="43">
        <f t="shared" si="356"/>
        <v>8.2436705440422831</v>
      </c>
    </row>
    <row r="361" spans="14:65" x14ac:dyDescent="0.25">
      <c r="N361" s="9">
        <v>43</v>
      </c>
      <c r="O361" s="34">
        <f t="shared" si="308"/>
        <v>26915.348039269167</v>
      </c>
      <c r="P361" s="33" t="str">
        <f t="shared" si="309"/>
        <v>16.5157725627975</v>
      </c>
      <c r="Q361" s="4" t="str">
        <f t="shared" si="310"/>
        <v>1+437.577885369157i</v>
      </c>
      <c r="R361" s="4">
        <f t="shared" si="322"/>
        <v>437.57902802138852</v>
      </c>
      <c r="S361" s="4">
        <f t="shared" si="323"/>
        <v>1.5685110233264978</v>
      </c>
      <c r="T361" s="4" t="str">
        <f t="shared" si="311"/>
        <v>1+2.78192726310946i</v>
      </c>
      <c r="U361" s="4">
        <f t="shared" si="324"/>
        <v>2.9562001449887809</v>
      </c>
      <c r="V361" s="4">
        <f t="shared" si="325"/>
        <v>1.225716191531218</v>
      </c>
      <c r="W361" t="str">
        <f t="shared" si="312"/>
        <v>1-42.2785298344903i</v>
      </c>
      <c r="X361" s="4">
        <f t="shared" si="326"/>
        <v>42.29035451454488</v>
      </c>
      <c r="Y361" s="4">
        <f t="shared" si="327"/>
        <v>-1.5471480688352306</v>
      </c>
      <c r="Z361" t="str">
        <f t="shared" si="313"/>
        <v>0.985032314874484+0.591899417682863i</v>
      </c>
      <c r="AA361" s="4">
        <f t="shared" si="328"/>
        <v>1.1491882274024114</v>
      </c>
      <c r="AB361" s="4">
        <f t="shared" si="329"/>
        <v>0.54107615378546881</v>
      </c>
      <c r="AC361" s="47" t="str">
        <f t="shared" si="330"/>
        <v>-3.11235147631586-2.67826100214889i</v>
      </c>
      <c r="AD361" s="20">
        <f t="shared" si="331"/>
        <v>12.268527715852775</v>
      </c>
      <c r="AE361" s="43">
        <f t="shared" si="332"/>
        <v>-139.28713173391978</v>
      </c>
      <c r="AF361" t="str">
        <f t="shared" si="314"/>
        <v>247.084651286898</v>
      </c>
      <c r="AG361" t="str">
        <f t="shared" si="315"/>
        <v>1+427.918773903271i</v>
      </c>
      <c r="AH361">
        <f t="shared" si="333"/>
        <v>427.91994234772329</v>
      </c>
      <c r="AI361">
        <f t="shared" si="334"/>
        <v>1.5684594389539412</v>
      </c>
      <c r="AJ361" t="str">
        <f t="shared" si="316"/>
        <v>1+2.78192726310946i</v>
      </c>
      <c r="AK361">
        <f t="shared" si="335"/>
        <v>2.9562001449887809</v>
      </c>
      <c r="AL361">
        <f t="shared" si="336"/>
        <v>1.225716191531218</v>
      </c>
      <c r="AM361" t="str">
        <f t="shared" si="317"/>
        <v>1-2.76358268776727i</v>
      </c>
      <c r="AN361">
        <f t="shared" si="337"/>
        <v>2.9389435639574581</v>
      </c>
      <c r="AO361">
        <f t="shared" si="338"/>
        <v>-1.2236047313048743</v>
      </c>
      <c r="AP361" s="41" t="str">
        <f t="shared" si="339"/>
        <v>0.0223154501468396-5.01653706450378i</v>
      </c>
      <c r="AQ361">
        <f t="shared" si="340"/>
        <v>14.008166444877997</v>
      </c>
      <c r="AR361" s="43">
        <f t="shared" si="341"/>
        <v>-89.745128429938575</v>
      </c>
      <c r="AS361" t="str">
        <f t="shared" si="318"/>
        <v>-0.0000166666666666667</v>
      </c>
      <c r="AT361" t="str">
        <f t="shared" si="319"/>
        <v>0.000574988005749067i</v>
      </c>
      <c r="AU361">
        <f t="shared" si="342"/>
        <v>5.7498800574906704E-4</v>
      </c>
      <c r="AV361">
        <f t="shared" si="343"/>
        <v>1.5707963267948966</v>
      </c>
      <c r="AW361" t="str">
        <f t="shared" si="320"/>
        <v>1+0.584339021759519i</v>
      </c>
      <c r="AX361">
        <f t="shared" si="344"/>
        <v>1.1582107288187551</v>
      </c>
      <c r="AY361">
        <f t="shared" si="345"/>
        <v>0.52882447819490563</v>
      </c>
      <c r="AZ361" t="str">
        <f t="shared" si="321"/>
        <v>1+19.8675267398237i</v>
      </c>
      <c r="BA361">
        <f t="shared" si="346"/>
        <v>19.892677516051215</v>
      </c>
      <c r="BB361">
        <f t="shared" si="347"/>
        <v>1.5205053765921108</v>
      </c>
      <c r="BC361" s="41" t="str">
        <f t="shared" si="348"/>
        <v>-0.416671336878429+0.272463433270887i</v>
      </c>
      <c r="BD361">
        <f t="shared" si="349"/>
        <v>-6.0580875425624834</v>
      </c>
      <c r="BE361" s="43">
        <f t="shared" si="350"/>
        <v>146.81913010190169</v>
      </c>
      <c r="BF361" s="41" t="str">
        <f t="shared" si="351"/>
        <v>2.02655583831309+0.267952623492006i</v>
      </c>
      <c r="BG361" s="20">
        <f t="shared" si="352"/>
        <v>6.210440173290273</v>
      </c>
      <c r="BH361" s="43">
        <f t="shared" si="353"/>
        <v>7.5319983679819238</v>
      </c>
      <c r="BI361" s="41" t="str">
        <f t="shared" si="306"/>
        <v>1.35752470327963+2.09632734932897i</v>
      </c>
      <c r="BJ361" s="20">
        <f t="shared" si="354"/>
        <v>7.9500789023155063</v>
      </c>
      <c r="BK361" s="43">
        <f t="shared" si="307"/>
        <v>57.074001671963067</v>
      </c>
      <c r="BL361">
        <f t="shared" si="355"/>
        <v>6.210440173290273</v>
      </c>
      <c r="BM361" s="43">
        <f t="shared" si="356"/>
        <v>7.5319983679819238</v>
      </c>
    </row>
    <row r="362" spans="14:65" x14ac:dyDescent="0.25">
      <c r="N362" s="9">
        <v>44</v>
      </c>
      <c r="O362" s="34">
        <f t="shared" si="308"/>
        <v>27542.287033381719</v>
      </c>
      <c r="P362" s="33" t="str">
        <f t="shared" si="309"/>
        <v>16.5157725627975</v>
      </c>
      <c r="Q362" s="4" t="str">
        <f t="shared" si="310"/>
        <v>1+447.77038367529i</v>
      </c>
      <c r="R362" s="4">
        <f t="shared" si="322"/>
        <v>447.77150031764688</v>
      </c>
      <c r="S362" s="4">
        <f t="shared" si="323"/>
        <v>1.5685630430094157</v>
      </c>
      <c r="T362" s="4" t="str">
        <f t="shared" si="311"/>
        <v>1+2.84672667337469i</v>
      </c>
      <c r="U362" s="4">
        <f t="shared" si="324"/>
        <v>3.0172591457982079</v>
      </c>
      <c r="V362" s="4">
        <f t="shared" si="325"/>
        <v>1.2329810712336562</v>
      </c>
      <c r="W362" t="str">
        <f t="shared" si="312"/>
        <v>1-43.2633233035668i</v>
      </c>
      <c r="X362" s="4">
        <f t="shared" si="326"/>
        <v>43.274878893752501</v>
      </c>
      <c r="Y362" s="4">
        <f t="shared" si="327"/>
        <v>-1.5476861750325359</v>
      </c>
      <c r="Z362" t="str">
        <f t="shared" si="313"/>
        <v>0.984326909606835+0.605686526249934i</v>
      </c>
      <c r="AA362" s="4">
        <f t="shared" si="328"/>
        <v>1.1557489489750161</v>
      </c>
      <c r="AB362" s="4">
        <f t="shared" si="329"/>
        <v>0.55161584605303216</v>
      </c>
      <c r="AC362" s="47" t="str">
        <f t="shared" si="330"/>
        <v>-3.16904525245962-2.70580005787729i</v>
      </c>
      <c r="AD362" s="20">
        <f t="shared" si="331"/>
        <v>12.396548235308149</v>
      </c>
      <c r="AE362" s="43">
        <f t="shared" si="332"/>
        <v>-139.50857639491613</v>
      </c>
      <c r="AF362" t="str">
        <f t="shared" si="314"/>
        <v>247.084651286898</v>
      </c>
      <c r="AG362" t="str">
        <f t="shared" si="315"/>
        <v>1+437.886282600591i</v>
      </c>
      <c r="AH362">
        <f t="shared" si="333"/>
        <v>437.88742444807053</v>
      </c>
      <c r="AI362">
        <f t="shared" si="334"/>
        <v>1.5685126328284151</v>
      </c>
      <c r="AJ362" t="str">
        <f t="shared" si="316"/>
        <v>1+2.84672667337469i</v>
      </c>
      <c r="AK362">
        <f t="shared" si="335"/>
        <v>3.0172591457982079</v>
      </c>
      <c r="AL362">
        <f t="shared" si="336"/>
        <v>1.2329810712336562</v>
      </c>
      <c r="AM362" t="str">
        <f t="shared" si="317"/>
        <v>1-2.82795479798066i</v>
      </c>
      <c r="AN362">
        <f t="shared" si="337"/>
        <v>2.9995546901868342</v>
      </c>
      <c r="AO362">
        <f t="shared" si="338"/>
        <v>-1.2309069287978038</v>
      </c>
      <c r="AP362" s="41" t="str">
        <f t="shared" si="339"/>
        <v>0.022254725407789-5.1067966933785i</v>
      </c>
      <c r="AQ362">
        <f t="shared" si="340"/>
        <v>14.163053846135039</v>
      </c>
      <c r="AR362" s="43">
        <f t="shared" si="341"/>
        <v>-89.750314366337804</v>
      </c>
      <c r="AS362" t="str">
        <f t="shared" si="318"/>
        <v>-0.0000166666666666667</v>
      </c>
      <c r="AT362" t="str">
        <f t="shared" si="319"/>
        <v>0.000588381196928507i</v>
      </c>
      <c r="AU362">
        <f t="shared" si="342"/>
        <v>5.8838119692850705E-4</v>
      </c>
      <c r="AV362">
        <f t="shared" si="343"/>
        <v>1.5707963267948966</v>
      </c>
      <c r="AW362" t="str">
        <f t="shared" si="320"/>
        <v>1+0.597950026082708i</v>
      </c>
      <c r="AX362">
        <f t="shared" si="344"/>
        <v>1.1651370021127607</v>
      </c>
      <c r="AY362">
        <f t="shared" si="345"/>
        <v>0.5389108031854849</v>
      </c>
      <c r="AZ362" t="str">
        <f t="shared" si="321"/>
        <v>1+20.3303008868121i</v>
      </c>
      <c r="BA362">
        <f t="shared" si="346"/>
        <v>20.354879860817473</v>
      </c>
      <c r="BB362">
        <f t="shared" si="347"/>
        <v>1.5216482743950384</v>
      </c>
      <c r="BC362" s="41" t="str">
        <f t="shared" si="348"/>
        <v>-0.411732172555409+0.274521570742544i</v>
      </c>
      <c r="BD362">
        <f t="shared" si="349"/>
        <v>-6.1103697410749716</v>
      </c>
      <c r="BE362" s="43">
        <f t="shared" si="350"/>
        <v>146.30670946966663</v>
      </c>
      <c r="BF362" s="41" t="str">
        <f t="shared" si="351"/>
        <v>2.04759836872534+0.244093655870951i</v>
      </c>
      <c r="BG362" s="20">
        <f t="shared" si="352"/>
        <v>6.2861784942331598</v>
      </c>
      <c r="BH362" s="43">
        <f t="shared" si="353"/>
        <v>6.7981330747505018</v>
      </c>
      <c r="BI362" s="41" t="str">
        <f t="shared" si="306"/>
        <v>1.39276286328732+2.1087418995389i</v>
      </c>
      <c r="BJ362" s="20">
        <f t="shared" si="354"/>
        <v>8.0526841050600666</v>
      </c>
      <c r="BK362" s="43">
        <f t="shared" si="307"/>
        <v>56.55639510332891</v>
      </c>
      <c r="BL362">
        <f t="shared" si="355"/>
        <v>6.2861784942331598</v>
      </c>
      <c r="BM362" s="43">
        <f t="shared" si="356"/>
        <v>6.7981330747505018</v>
      </c>
    </row>
    <row r="363" spans="14:65" x14ac:dyDescent="0.25">
      <c r="N363" s="9">
        <v>45</v>
      </c>
      <c r="O363" s="34">
        <f t="shared" si="308"/>
        <v>28183.829312644593</v>
      </c>
      <c r="P363" s="33" t="str">
        <f t="shared" si="309"/>
        <v>16.5157725627975</v>
      </c>
      <c r="Q363" s="4" t="str">
        <f t="shared" si="310"/>
        <v>1+458.200295765789i</v>
      </c>
      <c r="R363" s="4">
        <f t="shared" si="322"/>
        <v>458.20138699032384</v>
      </c>
      <c r="S363" s="4">
        <f t="shared" si="323"/>
        <v>1.5686138785914645</v>
      </c>
      <c r="T363" s="4" t="str">
        <f t="shared" si="311"/>
        <v>1+2.91303545580303i</v>
      </c>
      <c r="U363" s="4">
        <f t="shared" si="324"/>
        <v>3.0798986293002515</v>
      </c>
      <c r="V363" s="4">
        <f t="shared" si="325"/>
        <v>1.2401165924849278</v>
      </c>
      <c r="W363" t="str">
        <f t="shared" si="312"/>
        <v>1-44.2710555593165i</v>
      </c>
      <c r="X363" s="4">
        <f t="shared" si="326"/>
        <v>44.28234818001512</v>
      </c>
      <c r="Y363" s="4">
        <f t="shared" si="327"/>
        <v>-1.5482120453722445</v>
      </c>
      <c r="Z363" t="str">
        <f t="shared" si="313"/>
        <v>0.983588259613135+0.61979477783043i</v>
      </c>
      <c r="AA363" s="4">
        <f t="shared" si="328"/>
        <v>1.1625796450457353</v>
      </c>
      <c r="AB363" s="4">
        <f t="shared" si="329"/>
        <v>0.56228439201899094</v>
      </c>
      <c r="AC363" s="47" t="str">
        <f t="shared" si="330"/>
        <v>-3.2270483790371-2.73247377629019i</v>
      </c>
      <c r="AD363" s="20">
        <f t="shared" si="331"/>
        <v>12.52373688265719</v>
      </c>
      <c r="AE363" s="43">
        <f t="shared" si="332"/>
        <v>-139.74404661531992</v>
      </c>
      <c r="AF363" t="str">
        <f t="shared" si="314"/>
        <v>247.084651286898</v>
      </c>
      <c r="AG363" t="str">
        <f t="shared" si="315"/>
        <v>1+448.085964401054i</v>
      </c>
      <c r="AH363">
        <f t="shared" si="333"/>
        <v>448.08708025697717</v>
      </c>
      <c r="AI363">
        <f t="shared" si="334"/>
        <v>1.5685646158749658</v>
      </c>
      <c r="AJ363" t="str">
        <f t="shared" si="316"/>
        <v>1+2.91303545580303i</v>
      </c>
      <c r="AK363">
        <f t="shared" si="335"/>
        <v>3.0798986293002515</v>
      </c>
      <c r="AL363">
        <f t="shared" si="336"/>
        <v>1.2401165924849278</v>
      </c>
      <c r="AM363" t="str">
        <f t="shared" si="317"/>
        <v>1-2.89382632726035i</v>
      </c>
      <c r="AN363">
        <f t="shared" si="337"/>
        <v>3.0617365680843815</v>
      </c>
      <c r="AO363">
        <f t="shared" si="338"/>
        <v>-1.2380795329617946</v>
      </c>
      <c r="AP363" s="41" t="str">
        <f t="shared" si="339"/>
        <v>0.0221967337043419-5.19976400097029i</v>
      </c>
      <c r="AQ363">
        <f t="shared" si="340"/>
        <v>14.319751798733369</v>
      </c>
      <c r="AR363" s="43">
        <f t="shared" si="341"/>
        <v>-89.755417469902241</v>
      </c>
      <c r="AS363" t="str">
        <f t="shared" si="318"/>
        <v>-0.0000166666666666667</v>
      </c>
      <c r="AT363" t="str">
        <f t="shared" si="319"/>
        <v>0.000602086355606704i</v>
      </c>
      <c r="AU363">
        <f t="shared" si="342"/>
        <v>6.0208635560670396E-4</v>
      </c>
      <c r="AV363">
        <f t="shared" si="343"/>
        <v>1.5707963267948966</v>
      </c>
      <c r="AW363" t="str">
        <f t="shared" si="320"/>
        <v>1+0.61187807142453i</v>
      </c>
      <c r="AX363">
        <f t="shared" si="344"/>
        <v>1.1723458424416415</v>
      </c>
      <c r="AY363">
        <f t="shared" si="345"/>
        <v>0.54910762794412304</v>
      </c>
      <c r="AZ363" t="str">
        <f t="shared" si="321"/>
        <v>1+20.803854428434i</v>
      </c>
      <c r="BA363">
        <f t="shared" si="346"/>
        <v>20.827874569419535</v>
      </c>
      <c r="BB363">
        <f t="shared" si="347"/>
        <v>1.5227652808486012</v>
      </c>
      <c r="BC363" s="41" t="str">
        <f t="shared" si="348"/>
        <v>-0.406684198116851+0.276522664769489i</v>
      </c>
      <c r="BD363">
        <f t="shared" si="349"/>
        <v>-6.1644165962147515</v>
      </c>
      <c r="BE363" s="43">
        <f t="shared" si="350"/>
        <v>145.78647420204013</v>
      </c>
      <c r="BF363" s="41" t="str">
        <f t="shared" si="351"/>
        <v>2.0679805123455+0.218901889474501i</v>
      </c>
      <c r="BG363" s="20">
        <f t="shared" si="352"/>
        <v>6.359320286442447</v>
      </c>
      <c r="BH363" s="43">
        <f t="shared" si="353"/>
        <v>6.0424275867202191</v>
      </c>
      <c r="BI363" s="41" t="str">
        <f t="shared" si="306"/>
        <v>1.4288255368734+2.12079975308457i</v>
      </c>
      <c r="BJ363" s="20">
        <f t="shared" si="354"/>
        <v>8.1553352025186019</v>
      </c>
      <c r="BK363" s="43">
        <f t="shared" si="307"/>
        <v>56.031056732137849</v>
      </c>
      <c r="BL363">
        <f t="shared" si="355"/>
        <v>6.359320286442447</v>
      </c>
      <c r="BM363" s="43">
        <f t="shared" si="356"/>
        <v>6.0424275867202191</v>
      </c>
    </row>
    <row r="364" spans="14:65" x14ac:dyDescent="0.25">
      <c r="N364" s="9">
        <v>46</v>
      </c>
      <c r="O364" s="34">
        <f t="shared" si="308"/>
        <v>28840.315031266062</v>
      </c>
      <c r="P364" s="33" t="str">
        <f t="shared" si="309"/>
        <v>16.5157725627975</v>
      </c>
      <c r="Q364" s="4" t="str">
        <f t="shared" si="310"/>
        <v>1+468.873151718098i</v>
      </c>
      <c r="R364" s="4">
        <f t="shared" si="322"/>
        <v>468.87421810338702</v>
      </c>
      <c r="S364" s="4">
        <f t="shared" si="323"/>
        <v>1.5686635570252914</v>
      </c>
      <c r="T364" s="4" t="str">
        <f t="shared" si="311"/>
        <v>1+2.98088876818859i</v>
      </c>
      <c r="U364" s="4">
        <f t="shared" si="324"/>
        <v>3.1441529619776594</v>
      </c>
      <c r="V364" s="4">
        <f t="shared" si="325"/>
        <v>1.2471236312250824</v>
      </c>
      <c r="W364" t="str">
        <f t="shared" si="312"/>
        <v>1-45.3022609147203i</v>
      </c>
      <c r="X364" s="4">
        <f t="shared" si="326"/>
        <v>45.313296547320356</v>
      </c>
      <c r="Y364" s="4">
        <f t="shared" si="327"/>
        <v>-1.5487259575137131</v>
      </c>
      <c r="Z364" t="str">
        <f t="shared" si="313"/>
        <v>0.982814798117714+0.634231652806083i</v>
      </c>
      <c r="AA364" s="4">
        <f t="shared" si="328"/>
        <v>1.1696900088571751</v>
      </c>
      <c r="AB364" s="4">
        <f t="shared" si="329"/>
        <v>0.57307935402290888</v>
      </c>
      <c r="AC364" s="47" t="str">
        <f t="shared" si="330"/>
        <v>-3.28634291278276-2.75821722076144i</v>
      </c>
      <c r="AD364" s="20">
        <f t="shared" si="331"/>
        <v>12.65002169674219</v>
      </c>
      <c r="AE364" s="43">
        <f t="shared" si="332"/>
        <v>-139.99336999279086</v>
      </c>
      <c r="AF364" t="str">
        <f t="shared" si="314"/>
        <v>247.084651286898</v>
      </c>
      <c r="AG364" t="str">
        <f t="shared" si="315"/>
        <v>1+458.52322731096i</v>
      </c>
      <c r="AH364">
        <f t="shared" si="333"/>
        <v>458.52431776696244</v>
      </c>
      <c r="AI364">
        <f t="shared" si="334"/>
        <v>1.5686154156545684</v>
      </c>
      <c r="AJ364" t="str">
        <f t="shared" si="316"/>
        <v>1+2.98088876818859i</v>
      </c>
      <c r="AK364">
        <f t="shared" si="335"/>
        <v>3.1441529619776594</v>
      </c>
      <c r="AL364">
        <f t="shared" si="336"/>
        <v>1.2471236312250824</v>
      </c>
      <c r="AM364" t="str">
        <f t="shared" si="317"/>
        <v>1-2.96123220156305i</v>
      </c>
      <c r="AN364">
        <f t="shared" si="337"/>
        <v>3.125523340430199</v>
      </c>
      <c r="AO364">
        <f t="shared" si="338"/>
        <v>-1.2451233938416859</v>
      </c>
      <c r="AP364" s="41" t="str">
        <f t="shared" si="339"/>
        <v>0.0221413520320827-5.29548828060951i</v>
      </c>
      <c r="AQ364">
        <f t="shared" si="340"/>
        <v>14.478196148433229</v>
      </c>
      <c r="AR364" s="43">
        <f t="shared" si="341"/>
        <v>-89.760437836073223</v>
      </c>
      <c r="AS364" t="str">
        <f t="shared" si="318"/>
        <v>-0.0000166666666666667</v>
      </c>
      <c r="AT364" t="str">
        <f t="shared" si="319"/>
        <v>0.000616110748440197i</v>
      </c>
      <c r="AU364">
        <f t="shared" si="342"/>
        <v>6.1611074844019698E-4</v>
      </c>
      <c r="AV364">
        <f t="shared" si="343"/>
        <v>1.5707963267948966</v>
      </c>
      <c r="AW364" t="str">
        <f t="shared" si="320"/>
        <v>1+0.62613054261898i</v>
      </c>
      <c r="AX364">
        <f t="shared" si="344"/>
        <v>1.1798472173973791</v>
      </c>
      <c r="AY364">
        <f t="shared" si="345"/>
        <v>0.55941187676241555</v>
      </c>
      <c r="AZ364" t="str">
        <f t="shared" si="321"/>
        <v>1+21.2884384490453i</v>
      </c>
      <c r="BA364">
        <f t="shared" si="346"/>
        <v>21.311912434101039</v>
      </c>
      <c r="BB364">
        <f t="shared" si="347"/>
        <v>1.5238569770485282</v>
      </c>
      <c r="BC364" s="41" t="str">
        <f t="shared" si="348"/>
        <v>-0.401529305874396+0.278461175743791i</v>
      </c>
      <c r="BD364">
        <f t="shared" si="349"/>
        <v>-6.2202677064596745</v>
      </c>
      <c r="BE364" s="43">
        <f t="shared" si="350"/>
        <v>145.25863381846571</v>
      </c>
      <c r="BF364" s="41" t="str">
        <f t="shared" si="351"/>
        <v>2.0876193988849+0.192386134712385i</v>
      </c>
      <c r="BG364" s="20">
        <f t="shared" si="352"/>
        <v>6.4297539902824994</v>
      </c>
      <c r="BH364" s="43">
        <f t="shared" si="353"/>
        <v>5.2652638256748494</v>
      </c>
      <c r="BI364" s="41" t="str">
        <f t="shared" si="306"/>
        <v>1.46569749104343+2.13245924049855i</v>
      </c>
      <c r="BJ364" s="20">
        <f t="shared" si="354"/>
        <v>8.2579284419735703</v>
      </c>
      <c r="BK364" s="43">
        <f t="shared" si="307"/>
        <v>55.498195982392488</v>
      </c>
      <c r="BL364">
        <f t="shared" si="355"/>
        <v>6.4297539902824994</v>
      </c>
      <c r="BM364" s="43">
        <f t="shared" si="356"/>
        <v>5.2652638256748494</v>
      </c>
    </row>
    <row r="365" spans="14:65" x14ac:dyDescent="0.25">
      <c r="N365" s="9">
        <v>47</v>
      </c>
      <c r="O365" s="34">
        <f t="shared" si="308"/>
        <v>29512.092266663854</v>
      </c>
      <c r="P365" s="33" t="str">
        <f t="shared" si="309"/>
        <v>16.5157725627975</v>
      </c>
      <c r="Q365" s="4" t="str">
        <f t="shared" si="310"/>
        <v>1+479.794610421723i</v>
      </c>
      <c r="R365" s="4">
        <f t="shared" si="322"/>
        <v>479.79565253317264</v>
      </c>
      <c r="S365" s="4">
        <f t="shared" si="323"/>
        <v>1.568712104650078</v>
      </c>
      <c r="T365" s="4" t="str">
        <f t="shared" si="311"/>
        <v>1+3.05032258725581i</v>
      </c>
      <c r="U365" s="4">
        <f t="shared" si="324"/>
        <v>3.2100573026541097</v>
      </c>
      <c r="V365" s="4">
        <f t="shared" si="325"/>
        <v>1.2540031494878507</v>
      </c>
      <c r="W365" t="str">
        <f t="shared" si="312"/>
        <v>1-46.3574861285078i</v>
      </c>
      <c r="X365" s="4">
        <f t="shared" si="326"/>
        <v>46.368270618546838</v>
      </c>
      <c r="Y365" s="4">
        <f t="shared" si="327"/>
        <v>-1.5492281828535219</v>
      </c>
      <c r="Z365" t="str">
        <f t="shared" si="313"/>
        <v>0.98200488450504+0.649004805799108i</v>
      </c>
      <c r="AA365" s="4">
        <f t="shared" si="328"/>
        <v>1.1770899843011555</v>
      </c>
      <c r="AB365" s="4">
        <f t="shared" si="329"/>
        <v>0.58399808809139364</v>
      </c>
      <c r="AC365" s="47" t="str">
        <f t="shared" si="330"/>
        <v>-3.34690726919507-2.78296525118229i</v>
      </c>
      <c r="AD365" s="20">
        <f t="shared" si="331"/>
        <v>12.775332085916402</v>
      </c>
      <c r="AE365" s="43">
        <f t="shared" si="332"/>
        <v>-140.25635697734219</v>
      </c>
      <c r="AF365" t="str">
        <f t="shared" si="314"/>
        <v>247.084651286898</v>
      </c>
      <c r="AG365" t="str">
        <f t="shared" si="315"/>
        <v>1+469.203605305263i</v>
      </c>
      <c r="AH365">
        <f t="shared" si="333"/>
        <v>469.20467093951339</v>
      </c>
      <c r="AI365">
        <f t="shared" si="334"/>
        <v>1.5686650591008893</v>
      </c>
      <c r="AJ365" t="str">
        <f t="shared" si="316"/>
        <v>1+3.05032258725581i</v>
      </c>
      <c r="AK365">
        <f t="shared" si="335"/>
        <v>3.2100573026541097</v>
      </c>
      <c r="AL365">
        <f t="shared" si="336"/>
        <v>1.2540031494878507</v>
      </c>
      <c r="AM365" t="str">
        <f t="shared" si="317"/>
        <v>1-3.03020816037559i</v>
      </c>
      <c r="AN365">
        <f t="shared" si="337"/>
        <v>3.1909499361799489</v>
      </c>
      <c r="AO365">
        <f t="shared" si="338"/>
        <v>-1.2520394493693048</v>
      </c>
      <c r="AP365" s="41" t="str">
        <f t="shared" si="339"/>
        <v>0.0220884629225009-5.39402028735417i</v>
      </c>
      <c r="AQ365">
        <f t="shared" si="340"/>
        <v>14.638324336753481</v>
      </c>
      <c r="AR365" s="43">
        <f t="shared" si="341"/>
        <v>-89.765375627098777</v>
      </c>
      <c r="AS365" t="str">
        <f t="shared" si="318"/>
        <v>-0.0000166666666666667</v>
      </c>
      <c r="AT365" t="str">
        <f t="shared" si="319"/>
        <v>0.000630461811347704i</v>
      </c>
      <c r="AU365">
        <f t="shared" si="342"/>
        <v>6.3046181134770399E-4</v>
      </c>
      <c r="AV365">
        <f t="shared" si="343"/>
        <v>1.5707963267948966</v>
      </c>
      <c r="AW365" t="str">
        <f t="shared" si="320"/>
        <v>1+0.640714996514952i</v>
      </c>
      <c r="AX365">
        <f t="shared" si="344"/>
        <v>1.1876513405706048</v>
      </c>
      <c r="AY365">
        <f t="shared" si="345"/>
        <v>0.56982026007061271</v>
      </c>
      <c r="AZ365" t="str">
        <f t="shared" si="321"/>
        <v>1+21.7843098815084i</v>
      </c>
      <c r="BA365">
        <f t="shared" si="346"/>
        <v>21.807250102055153</v>
      </c>
      <c r="BB365">
        <f t="shared" si="347"/>
        <v>1.5249239314120047</v>
      </c>
      <c r="BC365" s="41" t="str">
        <f t="shared" si="348"/>
        <v>-0.396269700507237+0.280331588008572i</v>
      </c>
      <c r="BD365">
        <f t="shared" si="349"/>
        <v>-6.2779618931402599</v>
      </c>
      <c r="BE365" s="43">
        <f t="shared" si="350"/>
        <v>144.7234093653118</v>
      </c>
      <c r="BF365" s="41" t="str">
        <f t="shared" si="351"/>
        <v>2.10643100942603+0.164560976917166i</v>
      </c>
      <c r="BG365" s="20">
        <f t="shared" si="352"/>
        <v>6.49737019277614</v>
      </c>
      <c r="BH365" s="43">
        <f t="shared" si="353"/>
        <v>4.4670523879696127</v>
      </c>
      <c r="BI365" s="41" t="str">
        <f t="shared" si="306"/>
        <v>1.50336128431748+2.14367889768753i</v>
      </c>
      <c r="BJ365" s="20">
        <f t="shared" si="354"/>
        <v>8.360362443613214</v>
      </c>
      <c r="BK365" s="43">
        <f t="shared" si="307"/>
        <v>54.958033738213089</v>
      </c>
      <c r="BL365">
        <f t="shared" si="355"/>
        <v>6.49737019277614</v>
      </c>
      <c r="BM365" s="43">
        <f t="shared" si="356"/>
        <v>4.4670523879696127</v>
      </c>
    </row>
    <row r="366" spans="14:65" x14ac:dyDescent="0.25">
      <c r="N366" s="9">
        <v>48</v>
      </c>
      <c r="O366" s="34">
        <f t="shared" si="308"/>
        <v>30199.517204020212</v>
      </c>
      <c r="P366" s="33" t="str">
        <f t="shared" si="309"/>
        <v>16.5157725627975</v>
      </c>
      <c r="Q366" s="4" t="str">
        <f t="shared" si="310"/>
        <v>1+490.970462578623i</v>
      </c>
      <c r="R366" s="4">
        <f t="shared" si="322"/>
        <v>490.97148096876981</v>
      </c>
      <c r="S366" s="4">
        <f t="shared" si="323"/>
        <v>1.5687595472055018</v>
      </c>
      <c r="T366" s="4" t="str">
        <f t="shared" si="311"/>
        <v>1+3.12137372773457i</v>
      </c>
      <c r="U366" s="4">
        <f t="shared" si="324"/>
        <v>3.2776476241645631</v>
      </c>
      <c r="V366" s="4">
        <f t="shared" si="325"/>
        <v>1.2607561892670909</v>
      </c>
      <c r="W366" t="str">
        <f t="shared" si="312"/>
        <v>1-47.4372906950543i</v>
      </c>
      <c r="X366" s="4">
        <f t="shared" si="326"/>
        <v>47.447829755291075</v>
      </c>
      <c r="Y366" s="4">
        <f t="shared" si="327"/>
        <v>-1.5497189866642012</v>
      </c>
      <c r="Z366" t="str">
        <f t="shared" si="313"/>
        <v>0.981156800839754+0.664122069730759i</v>
      </c>
      <c r="AA366" s="4">
        <f t="shared" si="328"/>
        <v>1.1847897667255436</v>
      </c>
      <c r="AB366" s="4">
        <f t="shared" si="329"/>
        <v>0.59503774398494413</v>
      </c>
      <c r="AC366" s="47" t="str">
        <f t="shared" si="330"/>
        <v>-3.40871614160159-2.80665276309584i</v>
      </c>
      <c r="AD366" s="20">
        <f t="shared" si="331"/>
        <v>12.899598944053366</v>
      </c>
      <c r="AE366" s="43">
        <f t="shared" si="332"/>
        <v>-140.53280123420095</v>
      </c>
      <c r="AF366" t="str">
        <f t="shared" si="314"/>
        <v>247.084651286898</v>
      </c>
      <c r="AG366" t="str">
        <f t="shared" si="315"/>
        <v>1+480.13276126174i</v>
      </c>
      <c r="AH366">
        <f t="shared" si="333"/>
        <v>480.13380263924654</v>
      </c>
      <c r="AI366">
        <f t="shared" si="334"/>
        <v>1.5687135725345613</v>
      </c>
      <c r="AJ366" t="str">
        <f t="shared" si="316"/>
        <v>1+3.12137372773457i</v>
      </c>
      <c r="AK366">
        <f t="shared" si="335"/>
        <v>3.2776476241645631</v>
      </c>
      <c r="AL366">
        <f t="shared" si="336"/>
        <v>1.2607561892670909</v>
      </c>
      <c r="AM366" t="str">
        <f t="shared" si="317"/>
        <v>1-3.1007907756643i</v>
      </c>
      <c r="AN366">
        <f t="shared" si="337"/>
        <v>3.2580520920397831</v>
      </c>
      <c r="AO366">
        <f t="shared" si="338"/>
        <v>-1.2588287191813738</v>
      </c>
      <c r="AP366" s="41" t="str">
        <f t="shared" si="339"/>
        <v>0.022037954193827-5.49541226490426i</v>
      </c>
      <c r="AQ366">
        <f t="shared" si="340"/>
        <v>14.800075416602301</v>
      </c>
      <c r="AR366" s="43">
        <f t="shared" si="341"/>
        <v>-89.770231070070594</v>
      </c>
      <c r="AS366" t="str">
        <f t="shared" si="318"/>
        <v>-0.0000166666666666667</v>
      </c>
      <c r="AT366" t="str">
        <f t="shared" si="319"/>
        <v>0.000645147153452738i</v>
      </c>
      <c r="AU366">
        <f t="shared" si="342"/>
        <v>6.4514715345273803E-4</v>
      </c>
      <c r="AV366">
        <f t="shared" si="343"/>
        <v>1.5707963267948966</v>
      </c>
      <c r="AW366" t="str">
        <f t="shared" si="320"/>
        <v>1+0.655639165982938i</v>
      </c>
      <c r="AX366">
        <f t="shared" si="344"/>
        <v>1.1957686715961422</v>
      </c>
      <c r="AY366">
        <f t="shared" si="345"/>
        <v>0.5803292755454007</v>
      </c>
      <c r="AZ366" t="str">
        <f t="shared" si="321"/>
        <v>1+22.2917316434199i</v>
      </c>
      <c r="BA366">
        <f t="shared" si="346"/>
        <v>22.314150211519326</v>
      </c>
      <c r="BB366">
        <f t="shared" si="347"/>
        <v>1.5259666999299335</v>
      </c>
      <c r="BC366" s="41" t="str">
        <f t="shared" si="348"/>
        <v>-0.390907903559614+0.282128431275531i</v>
      </c>
      <c r="BD366">
        <f t="shared" si="349"/>
        <v>-6.3375370897756689</v>
      </c>
      <c r="BE366" s="43">
        <f t="shared" si="350"/>
        <v>144.18103336685527</v>
      </c>
      <c r="BF366" s="41" t="str">
        <f t="shared" si="351"/>
        <v>2.12433062193066+0.135447009947956i</v>
      </c>
      <c r="BG366" s="20">
        <f t="shared" si="352"/>
        <v>6.5620618542777054</v>
      </c>
      <c r="BH366" s="43">
        <f t="shared" si="353"/>
        <v>3.6482321326543596</v>
      </c>
      <c r="BI366" s="41" t="str">
        <f t="shared" si="306"/>
        <v>1.5417972310371+2.15441762111474i</v>
      </c>
      <c r="BJ366" s="20">
        <f t="shared" si="354"/>
        <v>8.4625383268266283</v>
      </c>
      <c r="BK366" s="43">
        <f t="shared" si="307"/>
        <v>54.410802296784688</v>
      </c>
      <c r="BL366">
        <f t="shared" si="355"/>
        <v>6.5620618542777054</v>
      </c>
      <c r="BM366" s="43">
        <f t="shared" si="356"/>
        <v>3.6482321326543596</v>
      </c>
    </row>
    <row r="367" spans="14:65" x14ac:dyDescent="0.25">
      <c r="N367" s="9">
        <v>49</v>
      </c>
      <c r="O367" s="34">
        <f t="shared" si="308"/>
        <v>30902.954325135954</v>
      </c>
      <c r="P367" s="33" t="str">
        <f t="shared" si="309"/>
        <v>16.5157725627975</v>
      </c>
      <c r="Q367" s="4" t="str">
        <f t="shared" si="310"/>
        <v>1+502.406633773545i</v>
      </c>
      <c r="R367" s="4">
        <f t="shared" si="322"/>
        <v>502.4076289823484</v>
      </c>
      <c r="S367" s="4">
        <f t="shared" si="323"/>
        <v>1.5688059098453786</v>
      </c>
      <c r="T367" s="4" t="str">
        <f t="shared" si="311"/>
        <v>1+3.19407986188004i</v>
      </c>
      <c r="U367" s="4">
        <f t="shared" si="324"/>
        <v>3.3469607353638939</v>
      </c>
      <c r="V367" s="4">
        <f t="shared" si="325"/>
        <v>1.2673838665601349</v>
      </c>
      <c r="W367" t="str">
        <f t="shared" si="312"/>
        <v>1-48.542247141034i</v>
      </c>
      <c r="X367" s="4">
        <f t="shared" si="326"/>
        <v>48.552546354452133</v>
      </c>
      <c r="Y367" s="4">
        <f t="shared" si="327"/>
        <v>-1.5501986282300544</v>
      </c>
      <c r="Z367" t="str">
        <f t="shared" si="313"/>
        <v>0.980268748222697+0.679591459974475i</v>
      </c>
      <c r="AA367" s="4">
        <f t="shared" si="328"/>
        <v>1.1927998034927454</v>
      </c>
      <c r="AB367" s="4">
        <f t="shared" si="329"/>
        <v>0.60619526610123953</v>
      </c>
      <c r="AC367" s="47" t="str">
        <f t="shared" si="330"/>
        <v>-3.47174043806721-2.82921493879381i</v>
      </c>
      <c r="AD367" s="20">
        <f t="shared" si="331"/>
        <v>13.022754765900403</v>
      </c>
      <c r="AE367" s="43">
        <f t="shared" si="332"/>
        <v>-140.82248004541685</v>
      </c>
      <c r="AF367" t="str">
        <f t="shared" si="314"/>
        <v>247.084651286898</v>
      </c>
      <c r="AG367" t="str">
        <f t="shared" si="315"/>
        <v>1+491.316489963547i</v>
      </c>
      <c r="AH367">
        <f t="shared" si="333"/>
        <v>491.31750763645715</v>
      </c>
      <c r="AI367">
        <f t="shared" si="334"/>
        <v>1.5687609816771351</v>
      </c>
      <c r="AJ367" t="str">
        <f t="shared" si="316"/>
        <v>1+3.19407986188004i</v>
      </c>
      <c r="AK367">
        <f t="shared" si="335"/>
        <v>3.3469607353638939</v>
      </c>
      <c r="AL367">
        <f t="shared" si="336"/>
        <v>1.2673838665601349</v>
      </c>
      <c r="AM367" t="str">
        <f t="shared" si="317"/>
        <v>1-3.17301747126608i</v>
      </c>
      <c r="AN367">
        <f t="shared" si="337"/>
        <v>3.3268663743769133</v>
      </c>
      <c r="AO367">
        <f t="shared" si="338"/>
        <v>-1.2654922986108534</v>
      </c>
      <c r="AP367" s="41" t="str">
        <f t="shared" si="339"/>
        <v>0.0219897187131377-5.59971797330579i</v>
      </c>
      <c r="AQ367">
        <f t="shared" si="340"/>
        <v>14.963390062306887</v>
      </c>
      <c r="AR367" s="43">
        <f t="shared" si="341"/>
        <v>-89.775004454743666</v>
      </c>
      <c r="AS367" t="str">
        <f t="shared" si="318"/>
        <v>-0.0000166666666666667</v>
      </c>
      <c r="AT367" t="str">
        <f t="shared" si="319"/>
        <v>0.000660174561118063i</v>
      </c>
      <c r="AU367">
        <f t="shared" si="342"/>
        <v>6.6017456111806296E-4</v>
      </c>
      <c r="AV367">
        <f t="shared" si="343"/>
        <v>1.5707963267948966</v>
      </c>
      <c r="AW367" t="str">
        <f t="shared" si="320"/>
        <v>1+0.670910964015138i</v>
      </c>
      <c r="AX367">
        <f t="shared" si="344"/>
        <v>1.2042099159348099</v>
      </c>
      <c r="AY367">
        <f t="shared" si="345"/>
        <v>0.59093521012488115</v>
      </c>
      <c r="AZ367" t="str">
        <f t="shared" si="321"/>
        <v>1+22.8109727765147i</v>
      </c>
      <c r="BA367">
        <f t="shared" si="346"/>
        <v>22.832881531048479</v>
      </c>
      <c r="BB367">
        <f t="shared" si="347"/>
        <v>1.5269858264158542</v>
      </c>
      <c r="BC367" s="41" t="str">
        <f t="shared" si="348"/>
        <v>-0.385446756246827+0.283846302875524i</v>
      </c>
      <c r="BD367">
        <f t="shared" si="349"/>
        <v>-6.3990302300132491</v>
      </c>
      <c r="BE367" s="43">
        <f t="shared" si="350"/>
        <v>143.63174972409243</v>
      </c>
      <c r="BF367" s="41" t="str">
        <f t="shared" si="351"/>
        <v>2.14123329080077+0.10507103299431i</v>
      </c>
      <c r="BG367" s="20">
        <f t="shared" si="352"/>
        <v>6.6237245358871562</v>
      </c>
      <c r="BH367" s="43">
        <f t="shared" si="353"/>
        <v>2.8092696786755811</v>
      </c>
      <c r="BI367" s="41" t="str">
        <f t="shared" si="306"/>
        <v>1.58098337811971+2.16463482906577i</v>
      </c>
      <c r="BJ367" s="20">
        <f t="shared" si="354"/>
        <v>8.5643598322936363</v>
      </c>
      <c r="BK367" s="43">
        <f t="shared" si="307"/>
        <v>53.856745269348806</v>
      </c>
      <c r="BL367">
        <f t="shared" si="355"/>
        <v>6.6237245358871562</v>
      </c>
      <c r="BM367" s="43">
        <f t="shared" si="356"/>
        <v>2.8092696786755811</v>
      </c>
    </row>
    <row r="368" spans="14:65" x14ac:dyDescent="0.25">
      <c r="N368" s="9">
        <v>50</v>
      </c>
      <c r="O368" s="34">
        <f t="shared" si="308"/>
        <v>31622.77660168384</v>
      </c>
      <c r="P368" s="33" t="str">
        <f t="shared" si="309"/>
        <v>16.5157725627975</v>
      </c>
      <c r="Q368" s="4" t="str">
        <f t="shared" si="310"/>
        <v>1+514.109187615831i</v>
      </c>
      <c r="R368" s="4">
        <f t="shared" si="322"/>
        <v>514.11016017095972</v>
      </c>
      <c r="S368" s="4">
        <f t="shared" si="323"/>
        <v>1.5688512171509965</v>
      </c>
      <c r="T368" s="4" t="str">
        <f t="shared" si="311"/>
        <v>1+3.26847953944692i</v>
      </c>
      <c r="U368" s="4">
        <f t="shared" si="324"/>
        <v>3.418034303482508</v>
      </c>
      <c r="V368" s="4">
        <f t="shared" si="325"/>
        <v>1.2738873655986016</v>
      </c>
      <c r="W368" t="str">
        <f t="shared" si="312"/>
        <v>1-49.6729413289805i</v>
      </c>
      <c r="X368" s="4">
        <f t="shared" si="326"/>
        <v>49.683006151724946</v>
      </c>
      <c r="Y368" s="4">
        <f t="shared" si="327"/>
        <v>-1.5506673609801269</v>
      </c>
      <c r="Z368" t="str">
        <f t="shared" si="313"/>
        <v>0.979338842975207+0.695421178605726i</v>
      </c>
      <c r="AA368" s="4">
        <f t="shared" si="328"/>
        <v>1.2011307942990199</v>
      </c>
      <c r="AB368" s="4">
        <f t="shared" si="329"/>
        <v>0.6174673952738392</v>
      </c>
      <c r="AC368" s="47" t="str">
        <f t="shared" si="330"/>
        <v>-3.53594723773945-2.8505875089555i</v>
      </c>
      <c r="AD368" s="20">
        <f t="shared" si="331"/>
        <v>13.144733761413267</v>
      </c>
      <c r="AE368" s="43">
        <f t="shared" si="332"/>
        <v>-141.1251547518533</v>
      </c>
      <c r="AF368" t="str">
        <f t="shared" si="314"/>
        <v>247.084651286898</v>
      </c>
      <c r="AG368" t="str">
        <f t="shared" si="315"/>
        <v>1+502.760721171674i</v>
      </c>
      <c r="AH368">
        <f t="shared" si="333"/>
        <v>502.76171567956692</v>
      </c>
      <c r="AI368">
        <f t="shared" si="334"/>
        <v>1.5688073116647128</v>
      </c>
      <c r="AJ368" t="str">
        <f t="shared" si="316"/>
        <v>1+3.26847953944692i</v>
      </c>
      <c r="AK368">
        <f t="shared" si="335"/>
        <v>3.418034303482508</v>
      </c>
      <c r="AL368">
        <f t="shared" si="336"/>
        <v>1.2738873655986016</v>
      </c>
      <c r="AM368" t="str">
        <f t="shared" si="317"/>
        <v>1-3.24692654273097i</v>
      </c>
      <c r="AN368">
        <f t="shared" si="337"/>
        <v>3.3974302014744748</v>
      </c>
      <c r="AO368">
        <f t="shared" si="338"/>
        <v>-1.2720313528629177</v>
      </c>
      <c r="AP368" s="41" t="str">
        <f t="shared" si="339"/>
        <v>0.0219436541691156-5.70699271745817i</v>
      </c>
      <c r="AQ368">
        <f t="shared" si="340"/>
        <v>15.128210574446797</v>
      </c>
      <c r="AR368" s="43">
        <f t="shared" si="341"/>
        <v>-89.779696131175584</v>
      </c>
      <c r="AS368" t="str">
        <f t="shared" si="318"/>
        <v>-0.0000166666666666667</v>
      </c>
      <c r="AT368" t="str">
        <f t="shared" si="319"/>
        <v>0.000675552002074136i</v>
      </c>
      <c r="AU368">
        <f t="shared" si="342"/>
        <v>6.7555200207413595E-4</v>
      </c>
      <c r="AV368">
        <f t="shared" si="343"/>
        <v>1.5707963267948966</v>
      </c>
      <c r="AW368" t="str">
        <f t="shared" si="320"/>
        <v>1+0.686538487921015i</v>
      </c>
      <c r="AX368">
        <f t="shared" si="344"/>
        <v>1.21298602440295</v>
      </c>
      <c r="AY368">
        <f t="shared" si="345"/>
        <v>0.60163414296187578</v>
      </c>
      <c r="AZ368" t="str">
        <f t="shared" si="321"/>
        <v>1+23.3423085893145i</v>
      </c>
      <c r="BA368">
        <f t="shared" si="346"/>
        <v>23.363719102034793</v>
      </c>
      <c r="BB368">
        <f t="shared" si="347"/>
        <v>1.5279818427514276</v>
      </c>
      <c r="BC368" s="41" t="str">
        <f t="shared" si="348"/>
        <v>-0.379889420450092+0.285479890697157i</v>
      </c>
      <c r="BD368">
        <f t="shared" si="349"/>
        <v>-6.4624771348042751</v>
      </c>
      <c r="BE368" s="43">
        <f t="shared" si="350"/>
        <v>143.07581355959314</v>
      </c>
      <c r="BF368" s="41" t="str">
        <f t="shared" si="351"/>
        <v>2.15705435736624+0.073466205778604i</v>
      </c>
      <c r="BG368" s="20">
        <f t="shared" si="352"/>
        <v>6.6822566266089911</v>
      </c>
      <c r="BH368" s="43">
        <f t="shared" si="353"/>
        <v>1.950658807739851</v>
      </c>
      <c r="BI368" s="41" t="str">
        <f t="shared" si="306"/>
        <v>1.62089549512457+2.17429062794178i</v>
      </c>
      <c r="BJ368" s="20">
        <f t="shared" si="354"/>
        <v>8.6657334396425405</v>
      </c>
      <c r="BK368" s="43">
        <f t="shared" si="307"/>
        <v>53.296117428417567</v>
      </c>
      <c r="BL368">
        <f t="shared" si="355"/>
        <v>6.6822566266089911</v>
      </c>
      <c r="BM368" s="43">
        <f t="shared" si="356"/>
        <v>1.950658807739851</v>
      </c>
    </row>
    <row r="369" spans="14:65" x14ac:dyDescent="0.25">
      <c r="N369" s="9">
        <v>51</v>
      </c>
      <c r="O369" s="34">
        <f t="shared" si="308"/>
        <v>32359.365692962871</v>
      </c>
      <c r="P369" s="33" t="str">
        <f t="shared" si="309"/>
        <v>16.5157725627975</v>
      </c>
      <c r="Q369" s="4" t="str">
        <f t="shared" si="310"/>
        <v>1+526.084328954431i</v>
      </c>
      <c r="R369" s="4">
        <f t="shared" si="322"/>
        <v>526.08527937154258</v>
      </c>
      <c r="S369" s="4">
        <f t="shared" si="323"/>
        <v>1.5688954931441441</v>
      </c>
      <c r="T369" s="4" t="str">
        <f t="shared" si="311"/>
        <v>1+3.34461220812905i</v>
      </c>
      <c r="U369" s="4">
        <f t="shared" si="324"/>
        <v>3.4909068768395812</v>
      </c>
      <c r="V369" s="4">
        <f t="shared" si="325"/>
        <v>1.2802679332753015</v>
      </c>
      <c r="W369" t="str">
        <f t="shared" si="312"/>
        <v>1-50.8299727679187i</v>
      </c>
      <c r="X369" s="4">
        <f t="shared" si="326"/>
        <v>50.839808532166565</v>
      </c>
      <c r="Y369" s="4">
        <f t="shared" si="327"/>
        <v>-1.551125432618371</v>
      </c>
      <c r="Z369" t="str">
        <f t="shared" si="313"/>
        <v>0.978365112643577+0.711619618750862i</v>
      </c>
      <c r="AA369" s="4">
        <f t="shared" si="328"/>
        <v>1.2097936912669041</v>
      </c>
      <c r="AB369" s="4">
        <f t="shared" si="329"/>
        <v>0.62885067150009399</v>
      </c>
      <c r="AC369" s="47" t="str">
        <f t="shared" si="330"/>
        <v>-3.60129976811159-2.87070702319478i</v>
      </c>
      <c r="AD369" s="20">
        <f t="shared" si="331"/>
        <v>13.265471968661062</v>
      </c>
      <c r="AE369" s="43">
        <f t="shared" si="332"/>
        <v>-141.44057123700398</v>
      </c>
      <c r="AF369" t="str">
        <f t="shared" si="314"/>
        <v>247.084651286898</v>
      </c>
      <c r="AG369" t="str">
        <f t="shared" si="315"/>
        <v>1+514.471522768992i</v>
      </c>
      <c r="AH369">
        <f t="shared" si="333"/>
        <v>514.47249463916478</v>
      </c>
      <c r="AI369">
        <f t="shared" si="334"/>
        <v>1.5688525870612711</v>
      </c>
      <c r="AJ369" t="str">
        <f t="shared" si="316"/>
        <v>1+3.34461220812905i</v>
      </c>
      <c r="AK369">
        <f t="shared" si="335"/>
        <v>3.4909068768395812</v>
      </c>
      <c r="AL369">
        <f t="shared" si="336"/>
        <v>1.2802679332753015</v>
      </c>
      <c r="AM369" t="str">
        <f t="shared" si="317"/>
        <v>1-3.32255717762698i</v>
      </c>
      <c r="AN369">
        <f t="shared" si="337"/>
        <v>3.4697818661409481</v>
      </c>
      <c r="AO369">
        <f t="shared" si="338"/>
        <v>-1.2784471113847546</v>
      </c>
      <c r="AP369" s="41" t="str">
        <f t="shared" si="339"/>
        <v>0.021899662855053-5.81729337644073i</v>
      </c>
      <c r="AQ369">
        <f t="shared" si="340"/>
        <v>15.294480879890592</v>
      </c>
      <c r="AR369" s="43">
        <f t="shared" si="341"/>
        <v>-89.784306507218005</v>
      </c>
      <c r="AS369" t="str">
        <f t="shared" si="318"/>
        <v>-0.0000166666666666667</v>
      </c>
      <c r="AT369" t="str">
        <f t="shared" si="319"/>
        <v>0.000691287629643697i</v>
      </c>
      <c r="AU369">
        <f t="shared" si="342"/>
        <v>6.9128762964369695E-4</v>
      </c>
      <c r="AV369">
        <f t="shared" si="343"/>
        <v>1.5707963267948966</v>
      </c>
      <c r="AW369" t="str">
        <f t="shared" si="320"/>
        <v>1+0.702530023620599i</v>
      </c>
      <c r="AX369">
        <f t="shared" si="344"/>
        <v>1.2221081924643002</v>
      </c>
      <c r="AY369">
        <f t="shared" si="345"/>
        <v>0.61242194934051775</v>
      </c>
      <c r="AZ369" t="str">
        <f t="shared" si="321"/>
        <v>1+23.8860208031004i</v>
      </c>
      <c r="BA369">
        <f t="shared" si="346"/>
        <v>23.906944384553732</v>
      </c>
      <c r="BB369">
        <f t="shared" si="347"/>
        <v>1.5289552691284236</v>
      </c>
      <c r="BC369" s="41" t="str">
        <f t="shared" si="348"/>
        <v>-0.374239377793846+0.287023996651604i</v>
      </c>
      <c r="BD369">
        <f t="shared" si="349"/>
        <v>-6.5279123994847978</v>
      </c>
      <c r="BE369" s="43">
        <f t="shared" si="350"/>
        <v>142.51349100696126</v>
      </c>
      <c r="BF369" s="41" t="str">
        <f t="shared" si="351"/>
        <v>2.1717099874804+0.0406721576049551i</v>
      </c>
      <c r="BG369" s="20">
        <f t="shared" si="352"/>
        <v>6.737559569176276</v>
      </c>
      <c r="BH369" s="43">
        <f t="shared" si="353"/>
        <v>1.0729197699572632</v>
      </c>
      <c r="BI369" s="41" t="str">
        <f t="shared" si="306"/>
        <v>1.66150707840015+2.18334598240142i</v>
      </c>
      <c r="BJ369" s="20">
        <f t="shared" si="354"/>
        <v>8.7665684804057911</v>
      </c>
      <c r="BK369" s="43">
        <f t="shared" si="307"/>
        <v>52.729184499743297</v>
      </c>
      <c r="BL369">
        <f t="shared" si="355"/>
        <v>6.737559569176276</v>
      </c>
      <c r="BM369" s="43">
        <f t="shared" si="356"/>
        <v>1.0729197699572632</v>
      </c>
    </row>
    <row r="370" spans="14:65" x14ac:dyDescent="0.25">
      <c r="N370" s="9">
        <v>52</v>
      </c>
      <c r="O370" s="34">
        <f t="shared" si="308"/>
        <v>33113.11214825909</v>
      </c>
      <c r="P370" s="33" t="str">
        <f t="shared" si="309"/>
        <v>16.5157725627975</v>
      </c>
      <c r="Q370" s="4" t="str">
        <f t="shared" si="310"/>
        <v>1+538.338407167792i</v>
      </c>
      <c r="R370" s="4">
        <f t="shared" si="322"/>
        <v>538.33933595080646</v>
      </c>
      <c r="S370" s="4">
        <f t="shared" si="323"/>
        <v>1.5689387612998438</v>
      </c>
      <c r="T370" s="4" t="str">
        <f t="shared" si="311"/>
        <v>1+3.42251823447512i</v>
      </c>
      <c r="U370" s="4">
        <f t="shared" si="324"/>
        <v>3.5656179079248935</v>
      </c>
      <c r="V370" s="4">
        <f t="shared" si="325"/>
        <v>1.2865268737739222</v>
      </c>
      <c r="W370" t="str">
        <f t="shared" si="312"/>
        <v>1-52.0139549312328i</v>
      </c>
      <c r="X370" s="4">
        <f t="shared" si="326"/>
        <v>52.023566847999923</v>
      </c>
      <c r="Y370" s="4">
        <f t="shared" si="327"/>
        <v>-1.5515730852510561</v>
      </c>
      <c r="Z370" t="str">
        <f t="shared" si="313"/>
        <v>0.977345491815224+0.728195369037258i</v>
      </c>
      <c r="AA370" s="4">
        <f t="shared" si="328"/>
        <v>1.218799698826206</v>
      </c>
      <c r="AB370" s="4">
        <f t="shared" si="329"/>
        <v>0.64034143762598661</v>
      </c>
      <c r="AC370" s="47" t="str">
        <f t="shared" si="330"/>
        <v>-3.66775740453971-2.88951112767307i</v>
      </c>
      <c r="AD370" s="20">
        <f t="shared" si="331"/>
        <v>13.384907364841077</v>
      </c>
      <c r="AE370" s="43">
        <f t="shared" si="332"/>
        <v>-141.76846045384465</v>
      </c>
      <c r="AF370" t="str">
        <f t="shared" si="314"/>
        <v>247.084651286898</v>
      </c>
      <c r="AG370" t="str">
        <f t="shared" si="315"/>
        <v>1+526.455103977517i</v>
      </c>
      <c r="AH370">
        <f t="shared" si="333"/>
        <v>526.45605372526404</v>
      </c>
      <c r="AI370">
        <f t="shared" si="334"/>
        <v>1.5688968318716814</v>
      </c>
      <c r="AJ370" t="str">
        <f t="shared" si="316"/>
        <v>1+3.42251823447512i</v>
      </c>
      <c r="AK370">
        <f t="shared" si="335"/>
        <v>3.5656179079248935</v>
      </c>
      <c r="AL370">
        <f t="shared" si="336"/>
        <v>1.2865268737739222</v>
      </c>
      <c r="AM370" t="str">
        <f t="shared" si="317"/>
        <v>1-3.3999494763178i</v>
      </c>
      <c r="AN370">
        <f t="shared" si="337"/>
        <v>3.5439605586848288</v>
      </c>
      <c r="AO370">
        <f t="shared" si="338"/>
        <v>-1.2847408624363992</v>
      </c>
      <c r="AP370" s="41" t="str">
        <f t="shared" si="339"/>
        <v>0.0218576514616611-5.9306784336735i</v>
      </c>
      <c r="AQ370">
        <f t="shared" si="340"/>
        <v>15.462146527423888</v>
      </c>
      <c r="AR370" s="43">
        <f t="shared" si="341"/>
        <v>-89.788836045890662</v>
      </c>
      <c r="AS370" t="str">
        <f t="shared" si="318"/>
        <v>-0.0000166666666666667</v>
      </c>
      <c r="AT370" t="str">
        <f t="shared" si="319"/>
        <v>0.000707389787064767i</v>
      </c>
      <c r="AU370">
        <f t="shared" si="342"/>
        <v>7.0738978706476698E-4</v>
      </c>
      <c r="AV370">
        <f t="shared" si="343"/>
        <v>1.5707963267948966</v>
      </c>
      <c r="AW370" t="str">
        <f t="shared" si="320"/>
        <v>1+0.718894050037791i</v>
      </c>
      <c r="AX370">
        <f t="shared" si="344"/>
        <v>1.2315878593018601</v>
      </c>
      <c r="AY370">
        <f t="shared" si="345"/>
        <v>0.62329430557402632</v>
      </c>
      <c r="AZ370" t="str">
        <f t="shared" si="321"/>
        <v>1+24.4423977012849i</v>
      </c>
      <c r="BA370">
        <f t="shared" si="346"/>
        <v>24.462845406611585</v>
      </c>
      <c r="BB370">
        <f t="shared" si="347"/>
        <v>1.5299066142871576</v>
      </c>
      <c r="BC370" s="41" t="str">
        <f t="shared" si="348"/>
        <v>-0.368500426714646+0.288473560485901i</v>
      </c>
      <c r="BD370">
        <f t="shared" si="349"/>
        <v>-6.5953692814694476</v>
      </c>
      <c r="BE370" s="43">
        <f t="shared" si="350"/>
        <v>141.94505894387416</v>
      </c>
      <c r="BF370" s="41" t="str">
        <f t="shared" si="351"/>
        <v>2.18511773172217+0.00673504605814679i</v>
      </c>
      <c r="BG370" s="20">
        <f t="shared" si="352"/>
        <v>6.7895380833716414</v>
      </c>
      <c r="BH370" s="43">
        <f t="shared" si="353"/>
        <v>0.17659849002949468</v>
      </c>
      <c r="BI370" s="41" t="str">
        <f t="shared" ref="BI370:BI433" si="357">IMPRODUCT(AP370,BC370)</f>
        <v>1.70278936996814+2.19176288805704i</v>
      </c>
      <c r="BJ370" s="20">
        <f t="shared" si="354"/>
        <v>8.8667772459544469</v>
      </c>
      <c r="BK370" s="43">
        <f t="shared" ref="BK370:BK433" si="358">(180/PI())*IMARGUMENT(BI370)</f>
        <v>52.156222897983511</v>
      </c>
      <c r="BL370">
        <f t="shared" si="355"/>
        <v>6.7895380833716414</v>
      </c>
      <c r="BM370" s="43">
        <f t="shared" si="356"/>
        <v>0.17659849002949468</v>
      </c>
    </row>
    <row r="371" spans="14:65" x14ac:dyDescent="0.25">
      <c r="N371" s="9">
        <v>53</v>
      </c>
      <c r="O371" s="34">
        <f t="shared" si="308"/>
        <v>33884.41561392029</v>
      </c>
      <c r="P371" s="33" t="str">
        <f t="shared" si="309"/>
        <v>16.5157725627975</v>
      </c>
      <c r="Q371" s="4" t="str">
        <f t="shared" si="310"/>
        <v>1+550.877919530388i</v>
      </c>
      <c r="R371" s="4">
        <f t="shared" si="322"/>
        <v>550.87882717175523</v>
      </c>
      <c r="S371" s="4">
        <f t="shared" si="323"/>
        <v>1.5689810445587966</v>
      </c>
      <c r="T371" s="4" t="str">
        <f t="shared" si="311"/>
        <v>1+3.5022389252915i</v>
      </c>
      <c r="U371" s="4">
        <f t="shared" si="324"/>
        <v>3.6422077768610293</v>
      </c>
      <c r="V371" s="4">
        <f t="shared" si="325"/>
        <v>1.2926655434064347</v>
      </c>
      <c r="W371" t="str">
        <f t="shared" si="312"/>
        <v>1-53.2255155819377i</v>
      </c>
      <c r="X371" s="4">
        <f t="shared" si="326"/>
        <v>53.234908743822345</v>
      </c>
      <c r="Y371" s="4">
        <f t="shared" si="327"/>
        <v>-1.55201055551147</v>
      </c>
      <c r="Z371" t="str">
        <f t="shared" si="313"/>
        <v>0.976277817737668+0.745157218147128i</v>
      </c>
      <c r="AA371" s="4">
        <f t="shared" si="328"/>
        <v>1.2281602734022092</v>
      </c>
      <c r="AB371" s="4">
        <f t="shared" si="329"/>
        <v>0.65193584400894478</v>
      </c>
      <c r="AC371" s="47" t="str">
        <f t="shared" si="330"/>
        <v>-3.73527569317607-2.90693884774172i</v>
      </c>
      <c r="AD371" s="20">
        <f t="shared" si="331"/>
        <v>13.502979974900187</v>
      </c>
      <c r="AE371" s="43">
        <f t="shared" si="332"/>
        <v>-142.10853899564597</v>
      </c>
      <c r="AF371" t="str">
        <f t="shared" si="314"/>
        <v>247.084651286898</v>
      </c>
      <c r="AG371" t="str">
        <f t="shared" si="315"/>
        <v>1+538.717818650632i</v>
      </c>
      <c r="AH371">
        <f t="shared" si="333"/>
        <v>538.71874677951882</v>
      </c>
      <c r="AI371">
        <f t="shared" si="334"/>
        <v>1.5689400695544347</v>
      </c>
      <c r="AJ371" t="str">
        <f t="shared" si="316"/>
        <v>1+3.5022389252915i</v>
      </c>
      <c r="AK371">
        <f t="shared" si="335"/>
        <v>3.6422077768610293</v>
      </c>
      <c r="AL371">
        <f t="shared" si="336"/>
        <v>1.2926655434064347</v>
      </c>
      <c r="AM371" t="str">
        <f t="shared" si="317"/>
        <v>1-3.47914447322465i</v>
      </c>
      <c r="AN371">
        <f t="shared" si="337"/>
        <v>3.6200063902664077</v>
      </c>
      <c r="AO371">
        <f t="shared" si="338"/>
        <v>-1.2909139478680542</v>
      </c>
      <c r="AP371" s="41" t="str">
        <f t="shared" si="339"/>
        <v>0.0218175308790935-6.04720800792851i</v>
      </c>
      <c r="AQ371">
        <f t="shared" si="340"/>
        <v>15.631154679346135</v>
      </c>
      <c r="AR371" s="43">
        <f t="shared" si="341"/>
        <v>-89.793285262667794</v>
      </c>
      <c r="AS371" t="str">
        <f t="shared" si="318"/>
        <v>-0.0000166666666666667</v>
      </c>
      <c r="AT371" t="str">
        <f t="shared" si="319"/>
        <v>0.000723867011914352i</v>
      </c>
      <c r="AU371">
        <f t="shared" si="342"/>
        <v>7.2386701191435199E-4</v>
      </c>
      <c r="AV371">
        <f t="shared" si="343"/>
        <v>1.5707963267948966</v>
      </c>
      <c r="AW371" t="str">
        <f t="shared" si="320"/>
        <v>1+0.735639243596005i</v>
      </c>
      <c r="AX371">
        <f t="shared" si="344"/>
        <v>1.241436706690479</v>
      </c>
      <c r="AY371">
        <f t="shared" si="345"/>
        <v>0.63424669489396446</v>
      </c>
      <c r="AZ371" t="str">
        <f t="shared" si="321"/>
        <v>1+25.0117342822642i</v>
      </c>
      <c r="BA371">
        <f t="shared" si="346"/>
        <v>25.031716916875482</v>
      </c>
      <c r="BB371">
        <f t="shared" si="347"/>
        <v>1.5308363757513217</v>
      </c>
      <c r="BC371" s="41" t="str">
        <f t="shared" si="348"/>
        <v>-0.362676677448981+0.289823683752911i</v>
      </c>
      <c r="BD371">
        <f t="shared" si="349"/>
        <v>-6.6648795892922035</v>
      </c>
      <c r="BE371" s="43">
        <f t="shared" si="350"/>
        <v>141.37080466810792</v>
      </c>
      <c r="BF371" s="41" t="str">
        <f t="shared" si="351"/>
        <v>2.19719710305398-0.0282924383826602i</v>
      </c>
      <c r="BG371" s="20">
        <f t="shared" si="352"/>
        <v>6.8381003856079676</v>
      </c>
      <c r="BH371" s="43">
        <f t="shared" si="353"/>
        <v>-0.73773432753802859</v>
      </c>
      <c r="BI371" s="41" t="str">
        <f t="shared" si="357"/>
        <v>1.74471139166857+2.19950454532816i</v>
      </c>
      <c r="BJ371" s="20">
        <f t="shared" si="354"/>
        <v>8.9662750900539372</v>
      </c>
      <c r="BK371" s="43">
        <f t="shared" si="358"/>
        <v>51.577519405440242</v>
      </c>
      <c r="BL371">
        <f t="shared" si="355"/>
        <v>6.8381003856079676</v>
      </c>
      <c r="BM371" s="43">
        <f t="shared" si="356"/>
        <v>-0.73773432753802859</v>
      </c>
    </row>
    <row r="372" spans="14:65" x14ac:dyDescent="0.25">
      <c r="N372" s="9">
        <v>54</v>
      </c>
      <c r="O372" s="34">
        <f t="shared" si="308"/>
        <v>34673.685045253202</v>
      </c>
      <c r="P372" s="33" t="str">
        <f t="shared" si="309"/>
        <v>16.5157725627975</v>
      </c>
      <c r="Q372" s="4" t="str">
        <f t="shared" si="310"/>
        <v>1+563.709514657644i</v>
      </c>
      <c r="R372" s="4">
        <f t="shared" si="322"/>
        <v>563.71040163860425</v>
      </c>
      <c r="S372" s="4">
        <f t="shared" si="323"/>
        <v>1.5690223653395408</v>
      </c>
      <c r="T372" s="4" t="str">
        <f t="shared" si="311"/>
        <v>1+3.58381654954366i</v>
      </c>
      <c r="U372" s="4">
        <f t="shared" si="324"/>
        <v>3.7207178152586398</v>
      </c>
      <c r="V372" s="4">
        <f t="shared" si="325"/>
        <v>1.2986853456615841</v>
      </c>
      <c r="W372" t="str">
        <f t="shared" si="312"/>
        <v>1-54.4652971055268i</v>
      </c>
      <c r="X372" s="4">
        <f t="shared" si="326"/>
        <v>54.474476489391861</v>
      </c>
      <c r="Y372" s="4">
        <f t="shared" si="327"/>
        <v>-1.5524380746819666</v>
      </c>
      <c r="Z372" t="str">
        <f t="shared" si="313"/>
        <v>0.975159825731045+0.762514159477374i</v>
      </c>
      <c r="AA372" s="4">
        <f t="shared" si="328"/>
        <v>1.2378871229329789</v>
      </c>
      <c r="AB372" s="4">
        <f t="shared" si="329"/>
        <v>0.66362985417225462</v>
      </c>
      <c r="AC372" s="47" t="str">
        <f t="shared" si="330"/>
        <v>-3.80380639827809-2.92293087340054i</v>
      </c>
      <c r="AD372" s="20">
        <f t="shared" si="331"/>
        <v>13.619631977221889</v>
      </c>
      <c r="AE372" s="43">
        <f t="shared" si="332"/>
        <v>-142.46050971133653</v>
      </c>
      <c r="AF372" t="str">
        <f t="shared" si="314"/>
        <v>247.084651286898</v>
      </c>
      <c r="AG372" t="str">
        <f t="shared" si="315"/>
        <v>1+551.266168641963i</v>
      </c>
      <c r="AH372">
        <f t="shared" si="333"/>
        <v>551.26707564409207</v>
      </c>
      <c r="AI372">
        <f t="shared" si="334"/>
        <v>1.5689823230340756</v>
      </c>
      <c r="AJ372" t="str">
        <f t="shared" si="316"/>
        <v>1+3.58381654954366i</v>
      </c>
      <c r="AK372">
        <f t="shared" si="335"/>
        <v>3.7207178152586398</v>
      </c>
      <c r="AL372">
        <f t="shared" si="336"/>
        <v>1.2986853456615841</v>
      </c>
      <c r="AM372" t="str">
        <f t="shared" si="317"/>
        <v>1-3.56018415858308i</v>
      </c>
      <c r="AN372">
        <f t="shared" si="337"/>
        <v>3.697960416638598</v>
      </c>
      <c r="AO372">
        <f t="shared" si="338"/>
        <v>-1.296967758107662</v>
      </c>
      <c r="AP372" s="41" t="str">
        <f t="shared" si="339"/>
        <v>0.0217792160080412-6.16694388520801i</v>
      </c>
      <c r="AQ372">
        <f t="shared" si="340"/>
        <v>15.80145409939977</v>
      </c>
      <c r="AR372" s="43">
        <f t="shared" si="341"/>
        <v>-89.797654722700159</v>
      </c>
      <c r="AS372" t="str">
        <f t="shared" si="318"/>
        <v>-0.0000166666666666667</v>
      </c>
      <c r="AT372" t="str">
        <f t="shared" si="319"/>
        <v>0.000740728040635165i</v>
      </c>
      <c r="AU372">
        <f t="shared" si="342"/>
        <v>7.4072804063516501E-4</v>
      </c>
      <c r="AV372">
        <f t="shared" si="343"/>
        <v>1.5707963267948966</v>
      </c>
      <c r="AW372" t="str">
        <f t="shared" si="320"/>
        <v>1+0.752774482818504i</v>
      </c>
      <c r="AX372">
        <f t="shared" si="344"/>
        <v>1.251666657693919</v>
      </c>
      <c r="AY372">
        <f t="shared" si="345"/>
        <v>0.64527441433310184</v>
      </c>
      <c r="AZ372" t="str">
        <f t="shared" si="321"/>
        <v>1+25.5943324158291i</v>
      </c>
      <c r="BA372">
        <f t="shared" si="346"/>
        <v>25.613860540964147</v>
      </c>
      <c r="BB372">
        <f t="shared" si="347"/>
        <v>1.5317450400591783</v>
      </c>
      <c r="BC372" s="41" t="str">
        <f t="shared" si="348"/>
        <v>-0.356772544887511+0.291069653733857i</v>
      </c>
      <c r="BD372">
        <f t="shared" si="349"/>
        <v>-6.7364735737529537</v>
      </c>
      <c r="BE372" s="43">
        <f t="shared" si="350"/>
        <v>140.79102551642555</v>
      </c>
      <c r="BF372" s="41" t="str">
        <f t="shared" si="351"/>
        <v>2.20787016618177-0.0643511249840476i</v>
      </c>
      <c r="BG372" s="20">
        <f t="shared" si="352"/>
        <v>6.883158403468947</v>
      </c>
      <c r="BH372" s="43">
        <f t="shared" si="353"/>
        <v>-1.6694841949109624</v>
      </c>
      <c r="BI372" s="41" t="str">
        <f t="shared" si="357"/>
        <v>1.78723999494278+2.20653553296619i</v>
      </c>
      <c r="BJ372" s="20">
        <f t="shared" si="354"/>
        <v>9.064980525646817</v>
      </c>
      <c r="BK372" s="43">
        <f t="shared" si="358"/>
        <v>50.993370793725369</v>
      </c>
      <c r="BL372">
        <f t="shared" si="355"/>
        <v>6.883158403468947</v>
      </c>
      <c r="BM372" s="43">
        <f t="shared" si="356"/>
        <v>-1.6694841949109624</v>
      </c>
    </row>
    <row r="373" spans="14:65" x14ac:dyDescent="0.25">
      <c r="N373" s="9">
        <v>55</v>
      </c>
      <c r="O373" s="34">
        <f t="shared" si="308"/>
        <v>35481.33892335758</v>
      </c>
      <c r="P373" s="33" t="str">
        <f t="shared" si="309"/>
        <v>16.5157725627975</v>
      </c>
      <c r="Q373" s="4" t="str">
        <f t="shared" si="310"/>
        <v>1+576.839996031155i</v>
      </c>
      <c r="R373" s="4">
        <f t="shared" si="322"/>
        <v>576.84086282199439</v>
      </c>
      <c r="S373" s="4">
        <f t="shared" si="323"/>
        <v>1.5690627455503363</v>
      </c>
      <c r="T373" s="4" t="str">
        <f t="shared" si="311"/>
        <v>1+3.66729436076784i</v>
      </c>
      <c r="U373" s="4">
        <f t="shared" si="324"/>
        <v>3.8011903304780206</v>
      </c>
      <c r="V373" s="4">
        <f t="shared" si="325"/>
        <v>1.304587726466373</v>
      </c>
      <c r="W373" t="str">
        <f t="shared" si="312"/>
        <v>1-55.733956850575i</v>
      </c>
      <c r="X373" s="4">
        <f t="shared" si="326"/>
        <v>55.742927320170011</v>
      </c>
      <c r="Y373" s="4">
        <f t="shared" si="327"/>
        <v>-1.5528558688133995</v>
      </c>
      <c r="Z373" t="str">
        <f t="shared" si="313"/>
        <v>0.973989144384418+0.780275395908049i</v>
      </c>
      <c r="AA373" s="4">
        <f t="shared" si="328"/>
        <v>1.2479922062409496</v>
      </c>
      <c r="AB373" s="4">
        <f t="shared" si="329"/>
        <v>0.67541925145687309</v>
      </c>
      <c r="AC373" s="47" t="str">
        <f t="shared" si="330"/>
        <v>-3.87329757462102-2.93742984520157i</v>
      </c>
      <c r="AD373" s="20">
        <f t="shared" si="331"/>
        <v>13.73480780580241</v>
      </c>
      <c r="AE373" s="43">
        <f t="shared" si="332"/>
        <v>-142.82406236564546</v>
      </c>
      <c r="AF373" t="str">
        <f t="shared" si="314"/>
        <v>247.084651286898</v>
      </c>
      <c r="AG373" t="str">
        <f t="shared" si="315"/>
        <v>1+564.106807252784i</v>
      </c>
      <c r="AH373">
        <f t="shared" si="333"/>
        <v>564.10769360905692</v>
      </c>
      <c r="AI373">
        <f t="shared" si="334"/>
        <v>1.5690236147133547</v>
      </c>
      <c r="AJ373" t="str">
        <f t="shared" si="316"/>
        <v>1+3.66729436076784i</v>
      </c>
      <c r="AK373">
        <f t="shared" si="335"/>
        <v>3.8011903304780206</v>
      </c>
      <c r="AL373">
        <f t="shared" si="336"/>
        <v>1.304587726466373</v>
      </c>
      <c r="AM373" t="str">
        <f t="shared" si="317"/>
        <v>1-3.64311150070703i</v>
      </c>
      <c r="AN373">
        <f t="shared" si="337"/>
        <v>3.7778646622905678</v>
      </c>
      <c r="AO373">
        <f t="shared" si="338"/>
        <v>-1.302903727361086</v>
      </c>
      <c r="AP373" s="41" t="str">
        <f t="shared" si="339"/>
        <v>0.0217426255791584-6.28994955150666i</v>
      </c>
      <c r="AQ373">
        <f t="shared" si="340"/>
        <v>15.972995137381091</v>
      </c>
      <c r="AR373" s="43">
        <f t="shared" si="341"/>
        <v>-89.801945037999047</v>
      </c>
      <c r="AS373" t="str">
        <f t="shared" si="318"/>
        <v>-0.0000166666666666667</v>
      </c>
      <c r="AT373" t="str">
        <f t="shared" si="319"/>
        <v>0.000757981813167818i</v>
      </c>
      <c r="AU373">
        <f t="shared" si="342"/>
        <v>7.5798181316781804E-4</v>
      </c>
      <c r="AV373">
        <f t="shared" si="343"/>
        <v>1.5707963267948966</v>
      </c>
      <c r="AW373" t="str">
        <f t="shared" si="320"/>
        <v>1+0.770308853035947i</v>
      </c>
      <c r="AX373">
        <f t="shared" si="344"/>
        <v>1.2622898752131209</v>
      </c>
      <c r="AY373">
        <f t="shared" si="345"/>
        <v>0.65637258259545705</v>
      </c>
      <c r="AZ373" t="str">
        <f t="shared" si="321"/>
        <v>1+26.1905010032222i</v>
      </c>
      <c r="BA373">
        <f t="shared" si="346"/>
        <v>26.209584941387053</v>
      </c>
      <c r="BB373">
        <f t="shared" si="347"/>
        <v>1.5326330829910881</v>
      </c>
      <c r="BC373" s="41" t="str">
        <f t="shared" si="348"/>
        <v>-0.350792739265584+0.292206967099587i</v>
      </c>
      <c r="BD373">
        <f t="shared" si="349"/>
        <v>-6.8101798219411647</v>
      </c>
      <c r="BE373" s="43">
        <f t="shared" si="350"/>
        <v>140.20602842669123</v>
      </c>
      <c r="BF373" s="41" t="str">
        <f t="shared" si="351"/>
        <v>2.21706213232621-0.101375475155455i</v>
      </c>
      <c r="BG373" s="20">
        <f t="shared" si="352"/>
        <v>6.9246279838612415</v>
      </c>
      <c r="BH373" s="43">
        <f t="shared" si="353"/>
        <v>-2.6180339389542473</v>
      </c>
      <c r="BI373" s="41" t="str">
        <f t="shared" si="357"/>
        <v>1.83033992646943+2.21282197969262i</v>
      </c>
      <c r="BJ373" s="20">
        <f t="shared" si="354"/>
        <v>9.1628153154399232</v>
      </c>
      <c r="BK373" s="43">
        <f t="shared" si="358"/>
        <v>50.404083388692172</v>
      </c>
      <c r="BL373">
        <f t="shared" si="355"/>
        <v>6.9246279838612415</v>
      </c>
      <c r="BM373" s="43">
        <f t="shared" si="356"/>
        <v>-2.6180339389542473</v>
      </c>
    </row>
    <row r="374" spans="14:65" x14ac:dyDescent="0.25">
      <c r="N374" s="9">
        <v>56</v>
      </c>
      <c r="O374" s="34">
        <f t="shared" si="308"/>
        <v>36307.805477010232</v>
      </c>
      <c r="P374" s="33" t="str">
        <f t="shared" si="309"/>
        <v>16.5157725627975</v>
      </c>
      <c r="Q374" s="4" t="str">
        <f t="shared" si="310"/>
        <v>1+590.276325605938i</v>
      </c>
      <c r="R374" s="4">
        <f t="shared" si="322"/>
        <v>590.27717266623768</v>
      </c>
      <c r="S374" s="4">
        <f t="shared" si="323"/>
        <v>1.5691022066007787</v>
      </c>
      <c r="T374" s="4" t="str">
        <f t="shared" si="311"/>
        <v>1+3.75271662000445i</v>
      </c>
      <c r="U374" s="4">
        <f t="shared" si="324"/>
        <v>3.8836686303104728</v>
      </c>
      <c r="V374" s="4">
        <f t="shared" si="325"/>
        <v>1.3103741696610955</v>
      </c>
      <c r="W374" t="str">
        <f t="shared" si="312"/>
        <v>1-57.0321674772713i</v>
      </c>
      <c r="X374" s="4">
        <f t="shared" si="326"/>
        <v>57.040933785795644</v>
      </c>
      <c r="Y374" s="4">
        <f t="shared" si="327"/>
        <v>-1.5532641588419986</v>
      </c>
      <c r="Z374" t="str">
        <f t="shared" si="313"/>
        <v>0.972763290525694+0.798450344681797i</v>
      </c>
      <c r="AA374" s="4">
        <f t="shared" si="328"/>
        <v>1.2584877322869923</v>
      </c>
      <c r="AB374" s="4">
        <f t="shared" si="329"/>
        <v>0.68729964666782606</v>
      </c>
      <c r="AC374" s="47" t="str">
        <f t="shared" si="330"/>
        <v>-3.943693665487-2.95038063809913i</v>
      </c>
      <c r="AD374" s="20">
        <f t="shared" si="331"/>
        <v>13.848454248316017</v>
      </c>
      <c r="AE374" s="43">
        <f t="shared" si="332"/>
        <v>-143.19887434383222</v>
      </c>
      <c r="AF374" t="str">
        <f t="shared" si="314"/>
        <v>247.084651286898</v>
      </c>
      <c r="AG374" t="str">
        <f t="shared" si="315"/>
        <v>1+577.246542759643i</v>
      </c>
      <c r="AH374">
        <f t="shared" si="333"/>
        <v>577.24740894001457</v>
      </c>
      <c r="AI374">
        <f t="shared" si="334"/>
        <v>1.5690639664851029</v>
      </c>
      <c r="AJ374" t="str">
        <f t="shared" si="316"/>
        <v>1+3.75271662000445i</v>
      </c>
      <c r="AK374">
        <f t="shared" si="335"/>
        <v>3.8836686303104728</v>
      </c>
      <c r="AL374">
        <f t="shared" si="336"/>
        <v>1.3103741696610955</v>
      </c>
      <c r="AM374" t="str">
        <f t="shared" si="317"/>
        <v>1-3.72797046877093i</v>
      </c>
      <c r="AN374">
        <f t="shared" si="337"/>
        <v>3.8597621450068846</v>
      </c>
      <c r="AO374">
        <f t="shared" si="338"/>
        <v>-1.3087233290257851</v>
      </c>
      <c r="AP374" s="41" t="str">
        <f t="shared" si="339"/>
        <v>0.0217076819807291-6.41629022647455i</v>
      </c>
      <c r="AQ374">
        <f t="shared" si="340"/>
        <v>16.145729710765934</v>
      </c>
      <c r="AR374" s="43">
        <f t="shared" si="341"/>
        <v>-89.806156864600865</v>
      </c>
      <c r="AS374" t="str">
        <f t="shared" si="318"/>
        <v>-0.0000166666666666667</v>
      </c>
      <c r="AT374" t="str">
        <f t="shared" si="319"/>
        <v>0.00077563747769089i</v>
      </c>
      <c r="AU374">
        <f t="shared" si="342"/>
        <v>7.7563747769089002E-4</v>
      </c>
      <c r="AV374">
        <f t="shared" si="343"/>
        <v>1.5707963267948966</v>
      </c>
      <c r="AW374" t="str">
        <f t="shared" si="320"/>
        <v>1+0.788251651203509i</v>
      </c>
      <c r="AX374">
        <f t="shared" si="344"/>
        <v>1.2733187604151046</v>
      </c>
      <c r="AY374">
        <f t="shared" si="345"/>
        <v>0.66753614889799107</v>
      </c>
      <c r="AZ374" t="str">
        <f t="shared" si="321"/>
        <v>1+26.8005561409193i</v>
      </c>
      <c r="BA374">
        <f t="shared" si="346"/>
        <v>26.819205981209947</v>
      </c>
      <c r="BB374">
        <f t="shared" si="347"/>
        <v>1.5335009697933415</v>
      </c>
      <c r="BC374" s="41" t="str">
        <f t="shared" si="348"/>
        <v>-0.344742254683852+0.293231353089356i</v>
      </c>
      <c r="BD374">
        <f t="shared" si="349"/>
        <v>-6.8860251549171885</v>
      </c>
      <c r="BE374" s="43">
        <f t="shared" si="350"/>
        <v>139.61612944410578</v>
      </c>
      <c r="BF374" s="41" t="str">
        <f t="shared" si="351"/>
        <v>2.22470195266086-0.139293756346799i</v>
      </c>
      <c r="BG374" s="20">
        <f t="shared" si="352"/>
        <v>6.9624290933988355</v>
      </c>
      <c r="BH374" s="43">
        <f t="shared" si="353"/>
        <v>-3.5827448997264195</v>
      </c>
      <c r="BI374" s="41" t="str">
        <f t="shared" si="357"/>
        <v>1.87397390969315+2.21833173234044i</v>
      </c>
      <c r="BJ374" s="20">
        <f t="shared" si="354"/>
        <v>9.2597045558487494</v>
      </c>
      <c r="BK374" s="43">
        <f t="shared" si="358"/>
        <v>49.809972579504837</v>
      </c>
      <c r="BL374">
        <f t="shared" si="355"/>
        <v>6.9624290933988355</v>
      </c>
      <c r="BM374" s="43">
        <f t="shared" si="356"/>
        <v>-3.5827448997264195</v>
      </c>
    </row>
    <row r="375" spans="14:65" x14ac:dyDescent="0.25">
      <c r="N375" s="9">
        <v>57</v>
      </c>
      <c r="O375" s="34">
        <f t="shared" si="308"/>
        <v>37153.522909717351</v>
      </c>
      <c r="P375" s="33" t="str">
        <f t="shared" si="309"/>
        <v>16.5157725627975</v>
      </c>
      <c r="Q375" s="4" t="str">
        <f t="shared" si="310"/>
        <v>1+604.025627501789i</v>
      </c>
      <c r="R375" s="4">
        <f t="shared" si="322"/>
        <v>604.02645528066898</v>
      </c>
      <c r="S375" s="4">
        <f t="shared" si="323"/>
        <v>1.5691407694131472</v>
      </c>
      <c r="T375" s="4" t="str">
        <f t="shared" si="311"/>
        <v>1+3.84012861926607i</v>
      </c>
      <c r="U375" s="4">
        <f t="shared" si="324"/>
        <v>3.9681970480945545</v>
      </c>
      <c r="V375" s="4">
        <f t="shared" si="325"/>
        <v>1.3160461926874076</v>
      </c>
      <c r="W375" t="str">
        <f t="shared" si="312"/>
        <v>1-58.360617314074i</v>
      </c>
      <c r="X375" s="4">
        <f t="shared" si="326"/>
        <v>58.369184106682468</v>
      </c>
      <c r="Y375" s="4">
        <f t="shared" si="327"/>
        <v>-1.553663160703731</v>
      </c>
      <c r="Z375" t="str">
        <f t="shared" si="313"/>
        <v>0.971479663954486+0.817048642397035i</v>
      </c>
      <c r="AA375" s="4">
        <f t="shared" si="328"/>
        <v>1.2693861593384257</v>
      </c>
      <c r="AB375" s="4">
        <f t="shared" si="329"/>
        <v>0.69926648670376268</v>
      </c>
      <c r="AC375" s="47" t="str">
        <f t="shared" si="330"/>
        <v>-4.01493562642534-2.96173064064664i</v>
      </c>
      <c r="AD375" s="20">
        <f t="shared" si="331"/>
        <v>13.960520539449925</v>
      </c>
      <c r="AE375" s="43">
        <f t="shared" si="332"/>
        <v>-143.58461140038094</v>
      </c>
      <c r="AF375" t="str">
        <f t="shared" si="314"/>
        <v>247.084651286898</v>
      </c>
      <c r="AG375" t="str">
        <f t="shared" si="315"/>
        <v>1+590.692342024235i</v>
      </c>
      <c r="AH375">
        <f t="shared" si="333"/>
        <v>590.69318848796274</v>
      </c>
      <c r="AI375">
        <f t="shared" si="334"/>
        <v>1.5691033997438384</v>
      </c>
      <c r="AJ375" t="str">
        <f t="shared" si="316"/>
        <v>1+3.84012861926607i</v>
      </c>
      <c r="AK375">
        <f t="shared" si="335"/>
        <v>3.9681970480945545</v>
      </c>
      <c r="AL375">
        <f t="shared" si="336"/>
        <v>1.3160461926874076</v>
      </c>
      <c r="AM375" t="str">
        <f t="shared" si="317"/>
        <v>1-3.81480605612289i</v>
      </c>
      <c r="AN375">
        <f t="shared" si="337"/>
        <v>3.943696900857351</v>
      </c>
      <c r="AO375">
        <f t="shared" si="338"/>
        <v>-1.314428071317798</v>
      </c>
      <c r="AP375" s="41" t="str">
        <f t="shared" si="339"/>
        <v>0.021674311094078-6.54603289799967i</v>
      </c>
      <c r="AQ375">
        <f t="shared" si="340"/>
        <v>16.31961128366893</v>
      </c>
      <c r="AR375" s="43">
        <f t="shared" si="341"/>
        <v>-89.81029089973228</v>
      </c>
      <c r="AS375" t="str">
        <f t="shared" si="318"/>
        <v>-0.0000166666666666667</v>
      </c>
      <c r="AT375" t="str">
        <f t="shared" si="319"/>
        <v>0.000793704395471407i</v>
      </c>
      <c r="AU375">
        <f t="shared" si="342"/>
        <v>7.9370439547140703E-4</v>
      </c>
      <c r="AV375">
        <f t="shared" si="343"/>
        <v>1.5707963267948966</v>
      </c>
      <c r="AW375" t="str">
        <f t="shared" si="320"/>
        <v>1+0.806612390830284i</v>
      </c>
      <c r="AX375">
        <f t="shared" si="344"/>
        <v>1.2847659510747267</v>
      </c>
      <c r="AY375">
        <f t="shared" si="345"/>
        <v>0.67875990275940712</v>
      </c>
      <c r="AZ375" t="str">
        <f t="shared" si="321"/>
        <v>1+27.4248212882296i</v>
      </c>
      <c r="BA375">
        <f t="shared" si="346"/>
        <v>27.443046891541243</v>
      </c>
      <c r="BB375">
        <f t="shared" si="347"/>
        <v>1.5343491553982946</v>
      </c>
      <c r="BC375" s="41" t="str">
        <f t="shared" si="348"/>
        <v>-0.338626355478184+0.294138795982014i</v>
      </c>
      <c r="BD375">
        <f t="shared" si="349"/>
        <v>-6.9640345298252724</v>
      </c>
      <c r="BE375" s="43">
        <f t="shared" si="350"/>
        <v>139.02165317296055</v>
      </c>
      <c r="BF375" s="41" t="str">
        <f t="shared" si="351"/>
        <v>2.23072290331877-0.178028278351804i</v>
      </c>
      <c r="BG375" s="20">
        <f t="shared" si="352"/>
        <v>6.9964860096246371</v>
      </c>
      <c r="BH375" s="43">
        <f t="shared" si="353"/>
        <v>-4.5629582274203946</v>
      </c>
      <c r="BI375" s="41" t="str">
        <f t="shared" si="357"/>
        <v>1.91810274210299+2.22303451885887i</v>
      </c>
      <c r="BJ375" s="20">
        <f t="shared" si="354"/>
        <v>9.3555767538436516</v>
      </c>
      <c r="BK375" s="43">
        <f t="shared" si="358"/>
        <v>49.211362273228197</v>
      </c>
      <c r="BL375">
        <f t="shared" si="355"/>
        <v>6.9964860096246371</v>
      </c>
      <c r="BM375" s="43">
        <f t="shared" si="356"/>
        <v>-4.5629582274203946</v>
      </c>
    </row>
    <row r="376" spans="14:65" x14ac:dyDescent="0.25">
      <c r="N376" s="9">
        <v>58</v>
      </c>
      <c r="O376" s="34">
        <f t="shared" si="308"/>
        <v>38018.939632056143</v>
      </c>
      <c r="P376" s="33" t="str">
        <f t="shared" si="309"/>
        <v>16.5157725627975</v>
      </c>
      <c r="Q376" s="4" t="str">
        <f t="shared" si="310"/>
        <v>1+618.095191780566i</v>
      </c>
      <c r="R376" s="4">
        <f t="shared" si="322"/>
        <v>618.09600071692319</v>
      </c>
      <c r="S376" s="4">
        <f t="shared" si="323"/>
        <v>1.5691784544334964</v>
      </c>
      <c r="T376" s="4" t="str">
        <f t="shared" si="311"/>
        <v>1+3.92957670555174i</v>
      </c>
      <c r="U376" s="4">
        <f t="shared" si="324"/>
        <v>4.0548209682814438</v>
      </c>
      <c r="V376" s="4">
        <f t="shared" si="325"/>
        <v>1.3216053424877479</v>
      </c>
      <c r="W376" t="str">
        <f t="shared" si="312"/>
        <v>1-59.7200107226708i</v>
      </c>
      <c r="X376" s="4">
        <f t="shared" si="326"/>
        <v>59.728382538922936</v>
      </c>
      <c r="Y376" s="4">
        <f t="shared" si="327"/>
        <v>-1.5540530854461971</v>
      </c>
      <c r="Z376" t="str">
        <f t="shared" si="313"/>
        <v>0.970135541926737+0.83608015011739i</v>
      </c>
      <c r="AA376" s="4">
        <f t="shared" si="328"/>
        <v>1.2807001940851737</v>
      </c>
      <c r="AB376" s="4">
        <f t="shared" si="329"/>
        <v>0.71131506414892609</v>
      </c>
      <c r="AC376" s="47" t="str">
        <f t="shared" si="330"/>
        <v>-4.08696107468309-2.9714300268754i</v>
      </c>
      <c r="AD376" s="20">
        <f t="shared" si="331"/>
        <v>14.070958448879452</v>
      </c>
      <c r="AE376" s="43">
        <f t="shared" si="332"/>
        <v>-143.98092845057272</v>
      </c>
      <c r="AF376" t="str">
        <f t="shared" si="314"/>
        <v>247.084651286898</v>
      </c>
      <c r="AG376" t="str">
        <f t="shared" si="315"/>
        <v>1+604.451334187306i</v>
      </c>
      <c r="AH376">
        <f t="shared" si="333"/>
        <v>604.45216138319358</v>
      </c>
      <c r="AI376">
        <f t="shared" si="334"/>
        <v>1.5691419353971054</v>
      </c>
      <c r="AJ376" t="str">
        <f t="shared" si="316"/>
        <v>1+3.92957670555174i</v>
      </c>
      <c r="AK376">
        <f t="shared" si="335"/>
        <v>4.0548209682814438</v>
      </c>
      <c r="AL376">
        <f t="shared" si="336"/>
        <v>1.3216053424877479</v>
      </c>
      <c r="AM376" t="str">
        <f t="shared" si="317"/>
        <v>1-3.90366430414073i</v>
      </c>
      <c r="AN376">
        <f t="shared" si="337"/>
        <v>4.0297140096317667</v>
      </c>
      <c r="AO376">
        <f t="shared" si="338"/>
        <v>-1.3200194931106584</v>
      </c>
      <c r="AP376" s="41" t="str">
        <f t="shared" si="339"/>
        <v>0.0216424421363249-6.67924635772762i</v>
      </c>
      <c r="AQ376">
        <f t="shared" si="340"/>
        <v>16.494594843436687</v>
      </c>
      <c r="AR376" s="43">
        <f t="shared" si="341"/>
        <v>-89.814347878993146</v>
      </c>
      <c r="AS376" t="str">
        <f t="shared" si="318"/>
        <v>-0.0000166666666666667</v>
      </c>
      <c r="AT376" t="str">
        <f t="shared" si="319"/>
        <v>0.000812192145828322i</v>
      </c>
      <c r="AU376">
        <f t="shared" si="342"/>
        <v>8.1219214582832196E-4</v>
      </c>
      <c r="AV376">
        <f t="shared" si="343"/>
        <v>1.5707963267948966</v>
      </c>
      <c r="AW376" t="str">
        <f t="shared" si="320"/>
        <v>1+0.825400807023454i</v>
      </c>
      <c r="AX376">
        <f t="shared" si="344"/>
        <v>1.2966443198637663</v>
      </c>
      <c r="AY376">
        <f t="shared" si="345"/>
        <v>0.69003848470202245</v>
      </c>
      <c r="AZ376" t="str">
        <f t="shared" si="321"/>
        <v>1+28.0636274387974i</v>
      </c>
      <c r="BA376">
        <f t="shared" si="346"/>
        <v>28.081438442922089</v>
      </c>
      <c r="BB376">
        <f t="shared" si="347"/>
        <v>1.5351780846407901</v>
      </c>
      <c r="BC376" s="41" t="str">
        <f t="shared" si="348"/>
        <v>-0.332450560484302+0.294925556633189i</v>
      </c>
      <c r="BD376">
        <f t="shared" si="349"/>
        <v>-7.0442309472057456</v>
      </c>
      <c r="BE376" s="43">
        <f t="shared" si="350"/>
        <v>138.42293217586621</v>
      </c>
      <c r="BF376" s="41" t="str">
        <f t="shared" si="351"/>
        <v>2.23506315462872-0.217495692014475i</v>
      </c>
      <c r="BG376" s="20">
        <f t="shared" si="352"/>
        <v>7.0267275016737187</v>
      </c>
      <c r="BH376" s="43">
        <f t="shared" si="353"/>
        <v>-5.5579962747065084</v>
      </c>
      <c r="BI376" s="41" t="str">
        <f t="shared" si="357"/>
        <v>1.96268540792455+2.22690210453324i</v>
      </c>
      <c r="BJ376" s="20">
        <f t="shared" si="354"/>
        <v>9.4503638962309466</v>
      </c>
      <c r="BK376" s="43">
        <f t="shared" si="358"/>
        <v>48.608584296873076</v>
      </c>
      <c r="BL376">
        <f t="shared" si="355"/>
        <v>7.0267275016737187</v>
      </c>
      <c r="BM376" s="43">
        <f t="shared" si="356"/>
        <v>-5.5579962747065084</v>
      </c>
    </row>
    <row r="377" spans="14:65" x14ac:dyDescent="0.25">
      <c r="N377" s="9">
        <v>59</v>
      </c>
      <c r="O377" s="34">
        <f t="shared" si="308"/>
        <v>38904.514499428085</v>
      </c>
      <c r="P377" s="33" t="str">
        <f t="shared" si="309"/>
        <v>16.5157725627975</v>
      </c>
      <c r="Q377" s="4" t="str">
        <f t="shared" si="310"/>
        <v>1+632.492478311482i</v>
      </c>
      <c r="R377" s="4">
        <f t="shared" si="322"/>
        <v>632.49326883422293</v>
      </c>
      <c r="S377" s="4">
        <f t="shared" si="323"/>
        <v>1.5692152816424942</v>
      </c>
      <c r="T377" s="4" t="str">
        <f t="shared" si="311"/>
        <v>1+4.02110830542079i</v>
      </c>
      <c r="U377" s="4">
        <f t="shared" si="324"/>
        <v>4.1435868524653925</v>
      </c>
      <c r="V377" s="4">
        <f t="shared" si="325"/>
        <v>1.3270531916136235</v>
      </c>
      <c r="W377" t="str">
        <f t="shared" si="312"/>
        <v>1-61.1110684714405i</v>
      </c>
      <c r="X377" s="4">
        <f t="shared" si="326"/>
        <v>61.119249747694774</v>
      </c>
      <c r="Y377" s="4">
        <f t="shared" si="327"/>
        <v>-1.5544341393381074</v>
      </c>
      <c r="Z377" t="str">
        <f t="shared" si="313"/>
        <v>0.968728073379417+0.855554958600166i</v>
      </c>
      <c r="AA377" s="4">
        <f t="shared" si="328"/>
        <v>1.2924427907411333</v>
      </c>
      <c r="AB377" s="4">
        <f t="shared" si="329"/>
        <v>0.72344052779763468</v>
      </c>
      <c r="AC377" s="47" t="str">
        <f t="shared" si="330"/>
        <v>-4.1597044638958-2.97943201816248i</v>
      </c>
      <c r="AD377" s="20">
        <f t="shared" si="331"/>
        <v>14.179722363253397</v>
      </c>
      <c r="AE377" s="43">
        <f t="shared" si="332"/>
        <v>-144.38747040336668</v>
      </c>
      <c r="AF377" t="str">
        <f t="shared" si="314"/>
        <v>247.084651286898</v>
      </c>
      <c r="AG377" t="str">
        <f t="shared" si="315"/>
        <v>1+618.530814448623i</v>
      </c>
      <c r="AH377">
        <f t="shared" si="333"/>
        <v>618.53162281525817</v>
      </c>
      <c r="AI377">
        <f t="shared" si="334"/>
        <v>1.5691795938765598</v>
      </c>
      <c r="AJ377" t="str">
        <f t="shared" si="316"/>
        <v>1+4.02110830542079i</v>
      </c>
      <c r="AK377">
        <f t="shared" si="335"/>
        <v>4.1435868524653925</v>
      </c>
      <c r="AL377">
        <f t="shared" si="336"/>
        <v>1.3270531916136235</v>
      </c>
      <c r="AM377" t="str">
        <f t="shared" si="317"/>
        <v>1-3.99459232664374i</v>
      </c>
      <c r="AN377">
        <f t="shared" si="337"/>
        <v>4.1178596207351514</v>
      </c>
      <c r="AO377">
        <f t="shared" si="338"/>
        <v>-1.3254991599839769</v>
      </c>
      <c r="AP377" s="41" t="str">
        <f t="shared" si="339"/>
        <v>0.0216120075102679-6.81600123753756i</v>
      </c>
      <c r="AQ377">
        <f t="shared" si="340"/>
        <v>16.670636875159367</v>
      </c>
      <c r="AR377" s="43">
        <f t="shared" si="341"/>
        <v>-89.818328573570852</v>
      </c>
      <c r="AS377" t="str">
        <f t="shared" si="318"/>
        <v>-0.0000166666666666667</v>
      </c>
      <c r="AT377" t="str">
        <f t="shared" si="319"/>
        <v>0.00083111053121159i</v>
      </c>
      <c r="AU377">
        <f t="shared" si="342"/>
        <v>8.3111053121159005E-4</v>
      </c>
      <c r="AV377">
        <f t="shared" si="343"/>
        <v>1.5707963267948966</v>
      </c>
      <c r="AW377" t="str">
        <f t="shared" si="320"/>
        <v>1+0.84462686164998i</v>
      </c>
      <c r="AX377">
        <f t="shared" si="344"/>
        <v>1.3089669726240973</v>
      </c>
      <c r="AY377">
        <f t="shared" si="345"/>
        <v>0.70136639782353183</v>
      </c>
      <c r="AZ377" t="str">
        <f t="shared" si="321"/>
        <v>1+28.7173132960993i</v>
      </c>
      <c r="BA377">
        <f t="shared" si="346"/>
        <v>28.734719120713912</v>
      </c>
      <c r="BB377">
        <f t="shared" si="347"/>
        <v>1.5359881924708669</v>
      </c>
      <c r="BC377" s="41" t="str">
        <f t="shared" si="348"/>
        <v>-0.326220625269452+0.295588192854784i</v>
      </c>
      <c r="BD377">
        <f t="shared" si="349"/>
        <v>-7.1266353642477229</v>
      </c>
      <c r="BE377" s="43">
        <f t="shared" si="350"/>
        <v>137.82030632292674</v>
      </c>
      <c r="BF377" s="41" t="str">
        <f t="shared" si="351"/>
        <v>2.23766631713055-0.257607349380148i</v>
      </c>
      <c r="BG377" s="20">
        <f t="shared" si="352"/>
        <v>7.0530869990056821</v>
      </c>
      <c r="BH377" s="43">
        <f t="shared" si="353"/>
        <v>-6.5671640804399223</v>
      </c>
      <c r="BI377" s="41" t="str">
        <f t="shared" si="357"/>
        <v>2.00767920569637+2.22990843979079i</v>
      </c>
      <c r="BJ377" s="20">
        <f t="shared" si="354"/>
        <v>9.5440015109116505</v>
      </c>
      <c r="BK377" s="43">
        <f t="shared" si="358"/>
        <v>48.001977749355966</v>
      </c>
      <c r="BL377">
        <f t="shared" si="355"/>
        <v>7.0530869990056821</v>
      </c>
      <c r="BM377" s="43">
        <f t="shared" si="356"/>
        <v>-6.5671640804399223</v>
      </c>
    </row>
    <row r="378" spans="14:65" x14ac:dyDescent="0.25">
      <c r="N378" s="9">
        <v>60</v>
      </c>
      <c r="O378" s="34">
        <f t="shared" si="308"/>
        <v>39810.717055349742</v>
      </c>
      <c r="P378" s="33" t="str">
        <f t="shared" si="309"/>
        <v>16.5157725627975</v>
      </c>
      <c r="Q378" s="4" t="str">
        <f t="shared" si="310"/>
        <v>1+647.225120726425i</v>
      </c>
      <c r="R378" s="4">
        <f t="shared" si="322"/>
        <v>647.22589325469301</v>
      </c>
      <c r="S378" s="4">
        <f t="shared" si="323"/>
        <v>1.5692512705660151</v>
      </c>
      <c r="T378" s="4" t="str">
        <f t="shared" si="311"/>
        <v>1+4.11477195013902i</v>
      </c>
      <c r="U378" s="4">
        <f t="shared" si="324"/>
        <v>4.2345422658949659</v>
      </c>
      <c r="V378" s="4">
        <f t="shared" si="325"/>
        <v>1.3323913345393987</v>
      </c>
      <c r="W378" t="str">
        <f t="shared" si="312"/>
        <v>1-62.5345281176143i</v>
      </c>
      <c r="X378" s="4">
        <f t="shared" si="326"/>
        <v>62.542523189368481</v>
      </c>
      <c r="Y378" s="4">
        <f t="shared" si="327"/>
        <v>-1.554806523976386</v>
      </c>
      <c r="Z378" t="str">
        <f t="shared" si="313"/>
        <v>0.967254272883035+0.875483393646599i</v>
      </c>
      <c r="AA378" s="4">
        <f t="shared" si="328"/>
        <v>1.3046271501702909</v>
      </c>
      <c r="AB378" s="4">
        <f t="shared" si="329"/>
        <v>0.73563789407201208</v>
      </c>
      <c r="AC378" s="47" t="str">
        <f t="shared" si="330"/>
        <v>-4.23309728331096-2.9856931324065i</v>
      </c>
      <c r="AD378" s="20">
        <f t="shared" si="331"/>
        <v>14.286769361567986</v>
      </c>
      <c r="AE378" s="43">
        <f t="shared" si="332"/>
        <v>-144.80387303353498</v>
      </c>
      <c r="AF378" t="str">
        <f t="shared" si="314"/>
        <v>247.084651286898</v>
      </c>
      <c r="AG378" t="str">
        <f t="shared" si="315"/>
        <v>1+632.938247934982i</v>
      </c>
      <c r="AH378">
        <f t="shared" si="333"/>
        <v>632.93903790096942</v>
      </c>
      <c r="AI378">
        <f t="shared" si="334"/>
        <v>1.5692163951487983</v>
      </c>
      <c r="AJ378" t="str">
        <f t="shared" si="316"/>
        <v>1+4.11477195013902i</v>
      </c>
      <c r="AK378">
        <f t="shared" si="335"/>
        <v>4.2345422658949659</v>
      </c>
      <c r="AL378">
        <f t="shared" si="336"/>
        <v>1.3323913345393987</v>
      </c>
      <c r="AM378" t="str">
        <f t="shared" si="317"/>
        <v>1-4.087638334873i</v>
      </c>
      <c r="AN378">
        <f t="shared" si="337"/>
        <v>4.2081809795591383</v>
      </c>
      <c r="AO378">
        <f t="shared" si="338"/>
        <v>-1.3308686604785631</v>
      </c>
      <c r="AP378" s="41" t="str">
        <f t="shared" si="339"/>
        <v>0.0215829426610264-6.95637004699374i</v>
      </c>
      <c r="AQ378">
        <f t="shared" si="340"/>
        <v>16.847695334368279</v>
      </c>
      <c r="AR378" s="43">
        <f t="shared" si="341"/>
        <v>-89.822233787499485</v>
      </c>
      <c r="AS378" t="str">
        <f t="shared" si="318"/>
        <v>-0.0000166666666666667</v>
      </c>
      <c r="AT378" t="str">
        <f t="shared" si="319"/>
        <v>0.000850469582399555i</v>
      </c>
      <c r="AU378">
        <f t="shared" si="342"/>
        <v>8.5046958239955498E-4</v>
      </c>
      <c r="AV378">
        <f t="shared" si="343"/>
        <v>1.5707963267948966</v>
      </c>
      <c r="AW378" t="str">
        <f t="shared" si="320"/>
        <v>1+0.864300748618508i</v>
      </c>
      <c r="AX378">
        <f t="shared" si="344"/>
        <v>1.3217472466634888</v>
      </c>
      <c r="AY378">
        <f t="shared" si="345"/>
        <v>0.71273802018629895</v>
      </c>
      <c r="AZ378" t="str">
        <f t="shared" si="321"/>
        <v>1+29.3862254530293i</v>
      </c>
      <c r="BA378">
        <f t="shared" si="346"/>
        <v>29.403235304576047</v>
      </c>
      <c r="BB378">
        <f t="shared" si="347"/>
        <v>1.5367799041627637</v>
      </c>
      <c r="BC378" s="41" t="str">
        <f t="shared" si="348"/>
        <v>-0.319942522430124+0.296123578418907i</v>
      </c>
      <c r="BD378">
        <f t="shared" si="349"/>
        <v>-7.2112666146966609</v>
      </c>
      <c r="BE378" s="43">
        <f t="shared" si="350"/>
        <v>137.21412209386054</v>
      </c>
      <c r="BF378" s="41" t="str">
        <f t="shared" si="351"/>
        <v>2.23848195694358-0.298269723344962i</v>
      </c>
      <c r="BG378" s="20">
        <f t="shared" si="352"/>
        <v>7.0755027468713152</v>
      </c>
      <c r="BH378" s="43">
        <f t="shared" si="353"/>
        <v>-7.5897509396744667</v>
      </c>
      <c r="BI378" s="41" t="str">
        <f t="shared" si="357"/>
        <v>2.05303989000545+2.23202979800613i</v>
      </c>
      <c r="BJ378" s="20">
        <f t="shared" si="354"/>
        <v>9.6364287196716134</v>
      </c>
      <c r="BK378" s="43">
        <f t="shared" si="358"/>
        <v>47.391888306361075</v>
      </c>
      <c r="BL378">
        <f t="shared" si="355"/>
        <v>7.0755027468713152</v>
      </c>
      <c r="BM378" s="43">
        <f t="shared" si="356"/>
        <v>-7.5897509396744667</v>
      </c>
    </row>
    <row r="379" spans="14:65" x14ac:dyDescent="0.25">
      <c r="N379" s="9">
        <v>61</v>
      </c>
      <c r="O379" s="34">
        <f t="shared" si="308"/>
        <v>40738.027780411358</v>
      </c>
      <c r="P379" s="33" t="str">
        <f t="shared" si="309"/>
        <v>16.5157725627975</v>
      </c>
      <c r="Q379" s="4" t="str">
        <f t="shared" si="310"/>
        <v>1+662.300930467416i</v>
      </c>
      <c r="R379" s="4">
        <f t="shared" si="322"/>
        <v>662.30168541081412</v>
      </c>
      <c r="S379" s="4">
        <f t="shared" si="323"/>
        <v>1.5692864402854891</v>
      </c>
      <c r="T379" s="4" t="str">
        <f t="shared" si="311"/>
        <v>1+4.21061730141067i</v>
      </c>
      <c r="U379" s="4">
        <f t="shared" si="324"/>
        <v>4.3277359044815649</v>
      </c>
      <c r="V379" s="4">
        <f t="shared" si="325"/>
        <v>1.3376213841775721</v>
      </c>
      <c r="W379" t="str">
        <f t="shared" si="312"/>
        <v>1-63.9911443983385i</v>
      </c>
      <c r="X379" s="4">
        <f t="shared" si="326"/>
        <v>63.998957502517243</v>
      </c>
      <c r="Y379" s="4">
        <f t="shared" si="327"/>
        <v>-1.5551704363909513</v>
      </c>
      <c r="Z379" t="str">
        <f t="shared" si="313"/>
        <v>0.965711014309141+0.895876021576738i</v>
      </c>
      <c r="AA379" s="4">
        <f t="shared" si="328"/>
        <v>1.3172667190793799</v>
      </c>
      <c r="AB379" s="4">
        <f t="shared" si="329"/>
        <v>0.7479020592845057</v>
      </c>
      <c r="AC379" s="47" t="str">
        <f t="shared" si="330"/>
        <v>-4.30706828049649-2.99017341788312i</v>
      </c>
      <c r="AD379" s="20">
        <f t="shared" si="331"/>
        <v>14.392059283325661</v>
      </c>
      <c r="AE379" s="43">
        <f t="shared" si="332"/>
        <v>-145.2297638905103</v>
      </c>
      <c r="AF379" t="str">
        <f t="shared" si="314"/>
        <v>247.084651286898</v>
      </c>
      <c r="AG379" t="str">
        <f t="shared" si="315"/>
        <v>1+647.681273658326i</v>
      </c>
      <c r="AH379">
        <f t="shared" si="333"/>
        <v>647.68204564251369</v>
      </c>
      <c r="AI379">
        <f t="shared" si="334"/>
        <v>1.5692523587259435</v>
      </c>
      <c r="AJ379" t="str">
        <f t="shared" si="316"/>
        <v>1+4.21061730141067i</v>
      </c>
      <c r="AK379">
        <f t="shared" si="335"/>
        <v>4.3277359044815649</v>
      </c>
      <c r="AL379">
        <f t="shared" si="336"/>
        <v>1.3376213841775721</v>
      </c>
      <c r="AM379" t="str">
        <f t="shared" si="317"/>
        <v>1-4.18285166305371i</v>
      </c>
      <c r="AN379">
        <f t="shared" si="337"/>
        <v>4.3007264543459618</v>
      </c>
      <c r="AO379">
        <f t="shared" si="338"/>
        <v>-1.3361296025542619</v>
      </c>
      <c r="AP379" s="41" t="str">
        <f t="shared" si="339"/>
        <v>0.0215551859391029-7.10042721179268i</v>
      </c>
      <c r="AQ379">
        <f t="shared" si="340"/>
        <v>17.025729618170129</v>
      </c>
      <c r="AR379" s="43">
        <f t="shared" si="341"/>
        <v>-89.826064354975159</v>
      </c>
      <c r="AS379" t="str">
        <f t="shared" si="318"/>
        <v>-0.0000166666666666667</v>
      </c>
      <c r="AT379" t="str">
        <f t="shared" si="319"/>
        <v>0.000870279563817405i</v>
      </c>
      <c r="AU379">
        <f t="shared" si="342"/>
        <v>8.7027956381740504E-4</v>
      </c>
      <c r="AV379">
        <f t="shared" si="343"/>
        <v>1.5707963267948966</v>
      </c>
      <c r="AW379" t="str">
        <f t="shared" si="320"/>
        <v>1+0.88443289928433i</v>
      </c>
      <c r="AX379">
        <f t="shared" si="344"/>
        <v>1.3349987091141646</v>
      </c>
      <c r="AY379">
        <f t="shared" si="345"/>
        <v>0.72414761796307736</v>
      </c>
      <c r="AZ379" t="str">
        <f t="shared" si="321"/>
        <v>1+30.0707185756672i</v>
      </c>
      <c r="BA379">
        <f t="shared" si="346"/>
        <v>30.087341452128609</v>
      </c>
      <c r="BB379">
        <f t="shared" si="347"/>
        <v>1.5375536355202251</v>
      </c>
      <c r="BC379" s="41" t="str">
        <f t="shared" si="348"/>
        <v>-0.313622420081164+0.296528920478002i</v>
      </c>
      <c r="BD379">
        <f t="shared" si="349"/>
        <v>-7.2981413360888698</v>
      </c>
      <c r="BE379" s="43">
        <f t="shared" si="350"/>
        <v>136.60473183656867</v>
      </c>
      <c r="BF379" s="41" t="str">
        <f t="shared" si="351"/>
        <v>2.23746607323103-0.339384883861799i</v>
      </c>
      <c r="BG379" s="20">
        <f t="shared" si="352"/>
        <v>7.0939179472368084</v>
      </c>
      <c r="BH379" s="43">
        <f t="shared" si="353"/>
        <v>-8.6250320539415917</v>
      </c>
      <c r="BI379" s="41" t="str">
        <f t="shared" si="357"/>
        <v>2.09872182646599+2.2332449017898i</v>
      </c>
      <c r="BJ379" s="20">
        <f t="shared" si="354"/>
        <v>9.727588282081264</v>
      </c>
      <c r="BK379" s="43">
        <f t="shared" si="358"/>
        <v>46.778667481593601</v>
      </c>
      <c r="BL379">
        <f t="shared" si="355"/>
        <v>7.0939179472368084</v>
      </c>
      <c r="BM379" s="43">
        <f t="shared" si="356"/>
        <v>-8.6250320539415917</v>
      </c>
    </row>
    <row r="380" spans="14:65" x14ac:dyDescent="0.25">
      <c r="N380" s="9">
        <v>62</v>
      </c>
      <c r="O380" s="34">
        <f t="shared" si="308"/>
        <v>41686.938347033625</v>
      </c>
      <c r="P380" s="33" t="str">
        <f t="shared" si="309"/>
        <v>16.5157725627975</v>
      </c>
      <c r="Q380" s="4" t="str">
        <f t="shared" si="310"/>
        <v>1+677.727900928332i</v>
      </c>
      <c r="R380" s="4">
        <f t="shared" si="322"/>
        <v>677.72863868713921</v>
      </c>
      <c r="S380" s="4">
        <f t="shared" si="323"/>
        <v>1.5693208094480189</v>
      </c>
      <c r="T380" s="4" t="str">
        <f t="shared" si="311"/>
        <v>1+4.30869517770965i</v>
      </c>
      <c r="U380" s="4">
        <f t="shared" si="324"/>
        <v>4.4232176223218307</v>
      </c>
      <c r="V380" s="4">
        <f t="shared" si="325"/>
        <v>1.342744968590913</v>
      </c>
      <c r="W380" t="str">
        <f t="shared" si="312"/>
        <v>1-65.4816896308458i</v>
      </c>
      <c r="X380" s="4">
        <f t="shared" si="326"/>
        <v>65.489324908036878</v>
      </c>
      <c r="Y380" s="4">
        <f t="shared" si="327"/>
        <v>-1.555526069147211</v>
      </c>
      <c r="Z380" t="str">
        <f t="shared" si="313"/>
        <v>0.964095024199393+0.91674365483184i</v>
      </c>
      <c r="AA380" s="4">
        <f t="shared" si="328"/>
        <v>1.3303751893208426</v>
      </c>
      <c r="AB380" s="4">
        <f t="shared" si="329"/>
        <v>0.76022781268777773</v>
      </c>
      <c r="AC380" s="47" t="str">
        <f t="shared" si="330"/>
        <v>-4.38154370616991-2.99283666924811i</v>
      </c>
      <c r="AD380" s="20">
        <f t="shared" si="331"/>
        <v>14.495554788902812</v>
      </c>
      <c r="AE380" s="43">
        <f t="shared" si="332"/>
        <v>-145.66476324092196</v>
      </c>
      <c r="AF380" t="str">
        <f t="shared" si="314"/>
        <v>247.084651286898</v>
      </c>
      <c r="AG380" t="str">
        <f t="shared" si="315"/>
        <v>1+662.76770856604i</v>
      </c>
      <c r="AH380">
        <f t="shared" si="333"/>
        <v>662.76846297774262</v>
      </c>
      <c r="AI380">
        <f t="shared" si="334"/>
        <v>1.5692875036759875</v>
      </c>
      <c r="AJ380" t="str">
        <f t="shared" si="316"/>
        <v>1+4.30869517770965i</v>
      </c>
      <c r="AK380">
        <f t="shared" si="335"/>
        <v>4.4232176223218307</v>
      </c>
      <c r="AL380">
        <f t="shared" si="336"/>
        <v>1.342744968590913</v>
      </c>
      <c r="AM380" t="str">
        <f t="shared" si="317"/>
        <v>1-4.28028279455277i</v>
      </c>
      <c r="AN380">
        <f t="shared" si="337"/>
        <v>4.3955455635614182</v>
      </c>
      <c r="AO380">
        <f t="shared" si="338"/>
        <v>-1.341283610246025</v>
      </c>
      <c r="AP380" s="41" t="str">
        <f t="shared" si="339"/>
        <v>0.0215286784696323-7.24824911322594i</v>
      </c>
      <c r="AQ380">
        <f t="shared" si="340"/>
        <v>17.204700535051487</v>
      </c>
      <c r="AR380" s="43">
        <f t="shared" si="341"/>
        <v>-89.829821137736459</v>
      </c>
      <c r="AS380" t="str">
        <f t="shared" si="318"/>
        <v>-0.0000166666666666667</v>
      </c>
      <c r="AT380" t="str">
        <f t="shared" si="319"/>
        <v>0.000890550978979502i</v>
      </c>
      <c r="AU380">
        <f t="shared" si="342"/>
        <v>8.90550978979502E-4</v>
      </c>
      <c r="AV380">
        <f t="shared" si="343"/>
        <v>1.5707963267948966</v>
      </c>
      <c r="AW380" t="str">
        <f t="shared" si="320"/>
        <v>1+0.905033987980207i</v>
      </c>
      <c r="AX380">
        <f t="shared" si="344"/>
        <v>1.3487351553953641</v>
      </c>
      <c r="AY380">
        <f t="shared" si="345"/>
        <v>0.73558935926968594</v>
      </c>
      <c r="AZ380" t="str">
        <f t="shared" si="321"/>
        <v>1+30.771155591327i</v>
      </c>
      <c r="BA380">
        <f t="shared" si="346"/>
        <v>30.787400286897476</v>
      </c>
      <c r="BB380">
        <f t="shared" si="347"/>
        <v>1.5383097930781229</v>
      </c>
      <c r="BC380" s="41" t="str">
        <f t="shared" si="348"/>
        <v>-0.307266658686887+0.296801775205997i</v>
      </c>
      <c r="BD380">
        <f t="shared" si="349"/>
        <v>-7.3872739049359968</v>
      </c>
      <c r="BE380" s="43">
        <f t="shared" si="350"/>
        <v>135.99249298613401</v>
      </c>
      <c r="BF380" s="41" t="str">
        <f t="shared" si="351"/>
        <v>2.23458153081983-0.380851026778434i</v>
      </c>
      <c r="BG380" s="20">
        <f t="shared" si="352"/>
        <v>7.1082808839668141</v>
      </c>
      <c r="BH380" s="43">
        <f t="shared" si="353"/>
        <v>-9.6722702547879749</v>
      </c>
      <c r="BI380" s="41" t="str">
        <f t="shared" si="357"/>
        <v>2.14467815884144+2.23353503633875i</v>
      </c>
      <c r="BJ380" s="20">
        <f t="shared" si="354"/>
        <v>9.8174266301154756</v>
      </c>
      <c r="BK380" s="43">
        <f t="shared" si="358"/>
        <v>46.162671848397586</v>
      </c>
      <c r="BL380">
        <f t="shared" si="355"/>
        <v>7.1082808839668141</v>
      </c>
      <c r="BM380" s="43">
        <f t="shared" si="356"/>
        <v>-9.6722702547879749</v>
      </c>
    </row>
    <row r="381" spans="14:65" x14ac:dyDescent="0.25">
      <c r="N381" s="9">
        <v>63</v>
      </c>
      <c r="O381" s="34">
        <f t="shared" si="308"/>
        <v>42657.951880159271</v>
      </c>
      <c r="P381" s="33" t="str">
        <f t="shared" si="309"/>
        <v>16.5157725627975</v>
      </c>
      <c r="Q381" s="4" t="str">
        <f t="shared" si="310"/>
        <v>1+693.514211693107i</v>
      </c>
      <c r="R381" s="4">
        <f t="shared" si="322"/>
        <v>693.51493265849115</v>
      </c>
      <c r="S381" s="4">
        <f t="shared" si="323"/>
        <v>1.5693543962762646</v>
      </c>
      <c r="T381" s="4" t="str">
        <f t="shared" si="311"/>
        <v>1+4.40905758122416i</v>
      </c>
      <c r="U381" s="4">
        <f t="shared" si="324"/>
        <v>4.5210384597512814</v>
      </c>
      <c r="V381" s="4">
        <f t="shared" si="325"/>
        <v>1.3477637278963523</v>
      </c>
      <c r="W381" t="str">
        <f t="shared" si="312"/>
        <v>1-67.0069541219478i</v>
      </c>
      <c r="X381" s="4">
        <f t="shared" si="326"/>
        <v>67.014415618587734</v>
      </c>
      <c r="Y381" s="4">
        <f t="shared" si="327"/>
        <v>-1.5558736104463251</v>
      </c>
      <c r="Z381" t="str">
        <f t="shared" si="313"/>
        <v>0.962402874822108+0.938097357707268i</v>
      </c>
      <c r="AA381" s="4">
        <f t="shared" si="328"/>
        <v>1.343966497351484</v>
      </c>
      <c r="AB381" s="4">
        <f t="shared" si="329"/>
        <v>0.77260985024603768</v>
      </c>
      <c r="AC381" s="47" t="str">
        <f t="shared" si="330"/>
        <v>-4.45644757947698-2.99365062329374i</v>
      </c>
      <c r="AD381" s="20">
        <f t="shared" si="331"/>
        <v>14.597221411587727</v>
      </c>
      <c r="AE381" s="43">
        <f t="shared" si="332"/>
        <v>-146.10848504134046</v>
      </c>
      <c r="AF381" t="str">
        <f t="shared" si="314"/>
        <v>247.084651286898</v>
      </c>
      <c r="AG381" t="str">
        <f t="shared" si="315"/>
        <v>1+678.205551685601i</v>
      </c>
      <c r="AH381">
        <f t="shared" si="333"/>
        <v>678.20628892481557</v>
      </c>
      <c r="AI381">
        <f t="shared" si="334"/>
        <v>1.569321848632901</v>
      </c>
      <c r="AJ381" t="str">
        <f t="shared" si="316"/>
        <v>1+4.40905758122416i</v>
      </c>
      <c r="AK381">
        <f t="shared" si="335"/>
        <v>4.5210384597512814</v>
      </c>
      <c r="AL381">
        <f t="shared" si="336"/>
        <v>1.3477637278963523</v>
      </c>
      <c r="AM381" t="str">
        <f t="shared" si="317"/>
        <v>1-4.37998338864573i</v>
      </c>
      <c r="AN381">
        <f t="shared" si="337"/>
        <v>4.4926890037941121</v>
      </c>
      <c r="AO381">
        <f t="shared" si="338"/>
        <v>-1.3463323205132574</v>
      </c>
      <c r="AP381" s="41" t="str">
        <f t="shared" si="339"/>
        <v>0.0215033640275038-7.39991412867987i</v>
      </c>
      <c r="AQ381">
        <f t="shared" si="340"/>
        <v>17.384570273571754</v>
      </c>
      <c r="AR381" s="43">
        <f t="shared" si="341"/>
        <v>-89.833505022518224</v>
      </c>
      <c r="AS381" t="str">
        <f t="shared" si="318"/>
        <v>-0.0000166666666666667</v>
      </c>
      <c r="AT381" t="str">
        <f t="shared" si="319"/>
        <v>0.000911294576058488i</v>
      </c>
      <c r="AU381">
        <f t="shared" si="342"/>
        <v>9.1129457605848801E-4</v>
      </c>
      <c r="AV381">
        <f t="shared" si="343"/>
        <v>1.5707963267948966</v>
      </c>
      <c r="AW381" t="str">
        <f t="shared" si="320"/>
        <v>1+0.926114937676049i</v>
      </c>
      <c r="AX381">
        <f t="shared" si="344"/>
        <v>1.3629706078220147</v>
      </c>
      <c r="AY381">
        <f t="shared" si="345"/>
        <v>0.74705732860752583</v>
      </c>
      <c r="AZ381" t="str">
        <f t="shared" si="321"/>
        <v>1+31.4879078809857i</v>
      </c>
      <c r="BA381">
        <f t="shared" si="346"/>
        <v>31.503782990641636</v>
      </c>
      <c r="BB381">
        <f t="shared" si="347"/>
        <v>1.5390487743004149</v>
      </c>
      <c r="BC381" s="41" t="str">
        <f t="shared" si="348"/>
        <v>-0.300881726408429+0.296940061481811i</v>
      </c>
      <c r="BD381">
        <f t="shared" si="349"/>
        <v>-7.4786763804246199</v>
      </c>
      <c r="BE381" s="43">
        <f t="shared" si="350"/>
        <v>135.37776724866711</v>
      </c>
      <c r="BF381" s="41" t="str">
        <f t="shared" si="351"/>
        <v>2.2297984414976-0.422563050440072i</v>
      </c>
      <c r="BG381" s="20">
        <f t="shared" si="352"/>
        <v>7.1185450311630918</v>
      </c>
      <c r="BH381" s="43">
        <f t="shared" si="353"/>
        <v>-10.730717792673357</v>
      </c>
      <c r="BI381" s="41" t="str">
        <f t="shared" si="357"/>
        <v>2.19086098703814+2.23288414854772i</v>
      </c>
      <c r="BJ381" s="20">
        <f t="shared" si="354"/>
        <v>9.905893893147141</v>
      </c>
      <c r="BK381" s="43">
        <f t="shared" si="358"/>
        <v>45.544262226148902</v>
      </c>
      <c r="BL381">
        <f t="shared" si="355"/>
        <v>7.1185450311630918</v>
      </c>
      <c r="BM381" s="43">
        <f t="shared" si="356"/>
        <v>-10.730717792673357</v>
      </c>
    </row>
    <row r="382" spans="14:65" x14ac:dyDescent="0.25">
      <c r="N382" s="9">
        <v>64</v>
      </c>
      <c r="O382" s="34">
        <f t="shared" si="308"/>
        <v>43651.583224016598</v>
      </c>
      <c r="P382" s="33" t="str">
        <f t="shared" si="309"/>
        <v>16.5157725627975</v>
      </c>
      <c r="Q382" s="4" t="str">
        <f t="shared" si="310"/>
        <v>1+709.668232872666i</v>
      </c>
      <c r="R382" s="4">
        <f t="shared" si="322"/>
        <v>709.66893742689092</v>
      </c>
      <c r="S382" s="4">
        <f t="shared" si="323"/>
        <v>1.5693872185781035</v>
      </c>
      <c r="T382" s="4" t="str">
        <f t="shared" si="311"/>
        <v>1+4.51175772542901i</v>
      </c>
      <c r="U382" s="4">
        <f t="shared" si="324"/>
        <v>4.6212506719467576</v>
      </c>
      <c r="V382" s="4">
        <f t="shared" si="325"/>
        <v>1.3526793113551123</v>
      </c>
      <c r="W382" t="str">
        <f t="shared" si="312"/>
        <v>1-68.567746587067i</v>
      </c>
      <c r="X382" s="4">
        <f t="shared" si="326"/>
        <v>68.57503825757766</v>
      </c>
      <c r="Y382" s="4">
        <f t="shared" si="327"/>
        <v>-1.5562132442232757</v>
      </c>
      <c r="Z382" t="str">
        <f t="shared" si="313"/>
        <v>0.960630976901586+0.959948452218937i</v>
      </c>
      <c r="AA382" s="4">
        <f t="shared" si="328"/>
        <v>1.3580548238935084</v>
      </c>
      <c r="AB382" s="4">
        <f t="shared" si="329"/>
        <v>0.78504278905386837</v>
      </c>
      <c r="AC382" s="47" t="str">
        <f t="shared" si="330"/>
        <v>-4.53170197175753-2.99258713224425i</v>
      </c>
      <c r="AD382" s="20">
        <f t="shared" si="331"/>
        <v>14.697027600797099</v>
      </c>
      <c r="AE382" s="43">
        <f t="shared" si="332"/>
        <v>-146.56053793731095</v>
      </c>
      <c r="AF382" t="str">
        <f t="shared" si="314"/>
        <v>247.084651286898</v>
      </c>
      <c r="AG382" t="str">
        <f t="shared" si="315"/>
        <v>1+694.002988365777i</v>
      </c>
      <c r="AH382">
        <f t="shared" si="333"/>
        <v>694.00370882339587</v>
      </c>
      <c r="AI382">
        <f t="shared" si="334"/>
        <v>1.5693554118065101</v>
      </c>
      <c r="AJ382" t="str">
        <f t="shared" si="316"/>
        <v>1+4.51175772542901i</v>
      </c>
      <c r="AK382">
        <f t="shared" si="335"/>
        <v>4.6212506719467576</v>
      </c>
      <c r="AL382">
        <f t="shared" si="336"/>
        <v>1.3526793113551123</v>
      </c>
      <c r="AM382" t="str">
        <f t="shared" si="317"/>
        <v>1-4.48200630790728i</v>
      </c>
      <c r="AN382">
        <f t="shared" si="337"/>
        <v>4.5922086781983946</v>
      </c>
      <c r="AO382">
        <f t="shared" si="338"/>
        <v>-1.3512773802770193</v>
      </c>
      <c r="AP382" s="41" t="str">
        <f t="shared" si="339"/>
        <v>0.0214791889181095-7.55550267319349i</v>
      </c>
      <c r="AQ382">
        <f t="shared" si="340"/>
        <v>17.565302370146011</v>
      </c>
      <c r="AR382" s="43">
        <f t="shared" si="341"/>
        <v>-89.837116918585366</v>
      </c>
      <c r="AS382" t="str">
        <f t="shared" si="318"/>
        <v>-0.0000166666666666667</v>
      </c>
      <c r="AT382" t="str">
        <f t="shared" si="319"/>
        <v>0.000932521353584111i</v>
      </c>
      <c r="AU382">
        <f t="shared" si="342"/>
        <v>9.3252135358411095E-4</v>
      </c>
      <c r="AV382">
        <f t="shared" si="343"/>
        <v>1.5707963267948966</v>
      </c>
      <c r="AW382" t="str">
        <f t="shared" si="320"/>
        <v>1+0.947686925770427i</v>
      </c>
      <c r="AX382">
        <f t="shared" si="344"/>
        <v>1.3777193144019586</v>
      </c>
      <c r="AY382">
        <f t="shared" si="345"/>
        <v>0.75854554183181055</v>
      </c>
      <c r="AZ382" t="str">
        <f t="shared" si="321"/>
        <v>1+32.2213554761945i</v>
      </c>
      <c r="BA382">
        <f t="shared" si="346"/>
        <v>32.236869400164927</v>
      </c>
      <c r="BB382">
        <f t="shared" si="347"/>
        <v>1.5397709677744591</v>
      </c>
      <c r="BC382" s="41" t="str">
        <f t="shared" si="348"/>
        <v>-0.294474233163242+0.296942072456221i</v>
      </c>
      <c r="BD382">
        <f t="shared" si="349"/>
        <v>-7.5723584571295133</v>
      </c>
      <c r="BE382" s="43">
        <f t="shared" si="350"/>
        <v>134.7609197548237</v>
      </c>
      <c r="BF382" s="41" t="str">
        <f t="shared" si="351"/>
        <v>2.22309448811208-0.464413174305813i</v>
      </c>
      <c r="BG382" s="20">
        <f t="shared" si="352"/>
        <v>7.124669143667596</v>
      </c>
      <c r="BH382" s="43">
        <f t="shared" si="353"/>
        <v>-11.799618182487219</v>
      </c>
      <c r="BI382" s="41" t="str">
        <f t="shared" si="357"/>
        <v>2.23722155454096+2.2312789307235i</v>
      </c>
      <c r="BJ382" s="20">
        <f t="shared" si="354"/>
        <v>9.9929439130164912</v>
      </c>
      <c r="BK382" s="43">
        <f t="shared" si="358"/>
        <v>44.923802836238394</v>
      </c>
      <c r="BL382">
        <f t="shared" si="355"/>
        <v>7.124669143667596</v>
      </c>
      <c r="BM382" s="43">
        <f t="shared" si="356"/>
        <v>-11.799618182487219</v>
      </c>
    </row>
    <row r="383" spans="14:65" x14ac:dyDescent="0.25">
      <c r="N383" s="9">
        <v>65</v>
      </c>
      <c r="O383" s="34">
        <f t="shared" si="308"/>
        <v>44668.359215096389</v>
      </c>
      <c r="P383" s="33" t="str">
        <f t="shared" si="309"/>
        <v>16.5157725627975</v>
      </c>
      <c r="Q383" s="4" t="str">
        <f t="shared" si="310"/>
        <v>1+726.198529542868i</v>
      </c>
      <c r="R383" s="4">
        <f t="shared" si="322"/>
        <v>726.19921805949616</v>
      </c>
      <c r="S383" s="4">
        <f t="shared" si="323"/>
        <v>1.5694192937560718</v>
      </c>
      <c r="T383" s="4" t="str">
        <f t="shared" si="311"/>
        <v>1+4.61685006330008i</v>
      </c>
      <c r="U383" s="4">
        <f t="shared" si="324"/>
        <v>4.7239077580954056</v>
      </c>
      <c r="V383" s="4">
        <f t="shared" si="325"/>
        <v>1.3574933746432063</v>
      </c>
      <c r="W383" t="str">
        <f t="shared" si="312"/>
        <v>1-70.1648945790285i</v>
      </c>
      <c r="X383" s="4">
        <f t="shared" si="326"/>
        <v>70.172020287905241</v>
      </c>
      <c r="Y383" s="4">
        <f t="shared" si="327"/>
        <v>-1.5565451502427905</v>
      </c>
      <c r="Z383" t="str">
        <f t="shared" si="313"/>
        <v>0.958775572004775+0.982308524106398i</v>
      </c>
      <c r="AA383" s="4">
        <f t="shared" si="328"/>
        <v>1.372654593845507</v>
      </c>
      <c r="AB383" s="4">
        <f t="shared" si="329"/>
        <v>0.79752118232129088</v>
      </c>
      <c r="AC383" s="47" t="str">
        <f t="shared" si="330"/>
        <v>-4.60722730656683-2.98962231259446i</v>
      </c>
      <c r="AD383" s="20">
        <f t="shared" si="331"/>
        <v>14.794944756033408</v>
      </c>
      <c r="AE383" s="43">
        <f t="shared" si="332"/>
        <v>-147.02052628436002</v>
      </c>
      <c r="AF383" t="str">
        <f t="shared" si="314"/>
        <v>247.084651286898</v>
      </c>
      <c r="AG383" t="str">
        <f t="shared" si="315"/>
        <v>1+710.168394616604i</v>
      </c>
      <c r="AH383">
        <f t="shared" si="333"/>
        <v>710.16909867462175</v>
      </c>
      <c r="AI383">
        <f t="shared" si="334"/>
        <v>1.5693882109921513</v>
      </c>
      <c r="AJ383" t="str">
        <f t="shared" si="316"/>
        <v>1+4.61685006330008i</v>
      </c>
      <c r="AK383">
        <f t="shared" si="335"/>
        <v>4.7239077580954056</v>
      </c>
      <c r="AL383">
        <f t="shared" si="336"/>
        <v>1.3574933746432063</v>
      </c>
      <c r="AM383" t="str">
        <f t="shared" si="317"/>
        <v>1-4.58640564623967i</v>
      </c>
      <c r="AN383">
        <f t="shared" si="337"/>
        <v>4.694157725498699</v>
      </c>
      <c r="AO383">
        <f t="shared" si="338"/>
        <v>-1.3561204436393164</v>
      </c>
      <c r="AP383" s="41" t="str">
        <f t="shared" si="339"/>
        <v>0.0214561018634568-7.71509724209696i</v>
      </c>
      <c r="AQ383">
        <f t="shared" si="340"/>
        <v>17.746861676104658</v>
      </c>
      <c r="AR383" s="43">
        <f t="shared" si="341"/>
        <v>-89.840657755351472</v>
      </c>
      <c r="AS383" t="str">
        <f t="shared" si="318"/>
        <v>-0.0000166666666666667</v>
      </c>
      <c r="AT383" t="str">
        <f t="shared" si="319"/>
        <v>0.000954242566274786i</v>
      </c>
      <c r="AU383">
        <f t="shared" si="342"/>
        <v>9.5424256627478596E-4</v>
      </c>
      <c r="AV383">
        <f t="shared" si="343"/>
        <v>1.5707963267948966</v>
      </c>
      <c r="AW383" t="str">
        <f t="shared" si="320"/>
        <v>1+0.969761390016973i</v>
      </c>
      <c r="AX383">
        <f t="shared" si="344"/>
        <v>1.3929957478641677</v>
      </c>
      <c r="AY383">
        <f t="shared" si="345"/>
        <v>0.77004796155529953</v>
      </c>
      <c r="AZ383" t="str">
        <f t="shared" si="321"/>
        <v>1+32.9718872605771i</v>
      </c>
      <c r="BA383">
        <f t="shared" si="346"/>
        <v>32.9870482087168</v>
      </c>
      <c r="BB383">
        <f t="shared" si="347"/>
        <v>1.5404767534017147</v>
      </c>
      <c r="BC383" s="41" t="str">
        <f t="shared" si="348"/>
        <v>-0.288050883611736+0.296806484865732i</v>
      </c>
      <c r="BD383">
        <f t="shared" si="349"/>
        <v>-7.6683274271645443</v>
      </c>
      <c r="BE383" s="43">
        <f t="shared" si="350"/>
        <v>134.14231818816256</v>
      </c>
      <c r="BF383" s="41" t="str">
        <f t="shared" si="351"/>
        <v>2.21445518633402-0.506291593031319i</v>
      </c>
      <c r="BG383" s="20">
        <f t="shared" si="352"/>
        <v>7.1266173288688783</v>
      </c>
      <c r="BH383" s="43">
        <f t="shared" si="353"/>
        <v>-12.878208096197419</v>
      </c>
      <c r="BI383" s="41" t="str">
        <f t="shared" si="357"/>
        <v>2.28371044372347+2.22870888790951i</v>
      </c>
      <c r="BJ383" s="20">
        <f t="shared" si="354"/>
        <v>10.078534248940114</v>
      </c>
      <c r="BK383" s="43">
        <f t="shared" si="358"/>
        <v>44.301660432811111</v>
      </c>
      <c r="BL383">
        <f t="shared" si="355"/>
        <v>7.1266173288688783</v>
      </c>
      <c r="BM383" s="43">
        <f t="shared" si="356"/>
        <v>-12.878208096197419</v>
      </c>
    </row>
    <row r="384" spans="14:65" x14ac:dyDescent="0.25">
      <c r="N384" s="9">
        <v>66</v>
      </c>
      <c r="O384" s="34">
        <f t="shared" ref="O384:O418" si="359">10^(4+(N384/100))</f>
        <v>45708.818961487581</v>
      </c>
      <c r="P384" s="33" t="str">
        <f t="shared" si="309"/>
        <v>16.5157725627975</v>
      </c>
      <c r="Q384" s="4" t="str">
        <f t="shared" si="310"/>
        <v>1+743.113866285803i</v>
      </c>
      <c r="R384" s="4">
        <f t="shared" si="322"/>
        <v>743.11453912989373</v>
      </c>
      <c r="S384" s="4">
        <f t="shared" si="323"/>
        <v>1.569450638816589</v>
      </c>
      <c r="T384" s="4" t="str">
        <f t="shared" si="311"/>
        <v>1+4.72439031618591i</v>
      </c>
      <c r="U384" s="4">
        <f t="shared" si="324"/>
        <v>4.8290644911484879</v>
      </c>
      <c r="V384" s="4">
        <f t="shared" si="325"/>
        <v>1.362207577296211</v>
      </c>
      <c r="W384" t="str">
        <f t="shared" si="312"/>
        <v>1-71.7992449268375i</v>
      </c>
      <c r="X384" s="4">
        <f t="shared" si="326"/>
        <v>71.806208450690391</v>
      </c>
      <c r="Y384" s="4">
        <f t="shared" si="327"/>
        <v>-1.5568695041931595</v>
      </c>
      <c r="Z384" t="str">
        <f t="shared" si="313"/>
        <v>0.956832724569131+1.00518942897572i</v>
      </c>
      <c r="AA384" s="4">
        <f t="shared" si="328"/>
        <v>1.3877804764914803</v>
      </c>
      <c r="AB384" s="4">
        <f t="shared" si="329"/>
        <v>0.81003953483731994</v>
      </c>
      <c r="AC384" s="47" t="str">
        <f t="shared" si="330"/>
        <v>-4.68294267348021-2.98473666775131i</v>
      </c>
      <c r="AD384" s="20">
        <f t="shared" si="331"/>
        <v>14.890947251209909</v>
      </c>
      <c r="AE384" s="43">
        <f t="shared" si="332"/>
        <v>-147.48805118629963</v>
      </c>
      <c r="AF384" t="str">
        <f t="shared" si="314"/>
        <v>247.084651286898</v>
      </c>
      <c r="AG384" t="str">
        <f t="shared" si="315"/>
        <v>1+726.710341550442i</v>
      </c>
      <c r="AH384">
        <f t="shared" si="333"/>
        <v>726.71102958215783</v>
      </c>
      <c r="AI384">
        <f t="shared" si="334"/>
        <v>1.5694202635801044</v>
      </c>
      <c r="AJ384" t="str">
        <f t="shared" si="316"/>
        <v>1+4.72439031618591i</v>
      </c>
      <c r="AK384">
        <f t="shared" si="335"/>
        <v>4.8290644911484879</v>
      </c>
      <c r="AL384">
        <f t="shared" si="336"/>
        <v>1.362207577296211</v>
      </c>
      <c r="AM384" t="str">
        <f t="shared" si="317"/>
        <v>1-4.69323675755392i</v>
      </c>
      <c r="AN384">
        <f t="shared" si="337"/>
        <v>4.7985905495734098</v>
      </c>
      <c r="AO384">
        <f t="shared" si="338"/>
        <v>-1.3608631692784343</v>
      </c>
      <c r="AP384" s="41" t="str">
        <f t="shared" si="339"/>
        <v>0.0214340538934004-7.87878245475241i</v>
      </c>
      <c r="AQ384">
        <f t="shared" si="340"/>
        <v>17.929214324200487</v>
      </c>
      <c r="AR384" s="43">
        <f t="shared" si="341"/>
        <v>-89.844128480087051</v>
      </c>
      <c r="AS384" t="str">
        <f t="shared" si="318"/>
        <v>-0.0000166666666666667</v>
      </c>
      <c r="AT384" t="str">
        <f t="shared" si="319"/>
        <v>0.000976469731004992i</v>
      </c>
      <c r="AU384">
        <f t="shared" si="342"/>
        <v>9.7646973100499199E-4</v>
      </c>
      <c r="AV384">
        <f t="shared" si="343"/>
        <v>1.5707963267948966</v>
      </c>
      <c r="AW384" t="str">
        <f t="shared" si="320"/>
        <v>1+0.992350034588808i</v>
      </c>
      <c r="AX384">
        <f t="shared" si="344"/>
        <v>1.4088146049599317</v>
      </c>
      <c r="AY384">
        <f t="shared" si="345"/>
        <v>0.78155851289222567</v>
      </c>
      <c r="AZ384" t="str">
        <f t="shared" si="321"/>
        <v>1+33.7399011760195i</v>
      </c>
      <c r="BA384">
        <f t="shared" si="346"/>
        <v>33.754717172086657</v>
      </c>
      <c r="BB384">
        <f t="shared" si="347"/>
        <v>1.5411665025848509</v>
      </c>
      <c r="BC384" s="41" t="str">
        <f t="shared" si="348"/>
        <v>-0.281618449302082+0.296532365982157i</v>
      </c>
      <c r="BD384">
        <f t="shared" si="349"/>
        <v>-7.7665881521174587</v>
      </c>
      <c r="BE384" s="43">
        <f t="shared" si="350"/>
        <v>133.52233189380425</v>
      </c>
      <c r="BF384" s="41" t="str">
        <f t="shared" si="351"/>
        <v>2.20387407979804-0.548087158778707i</v>
      </c>
      <c r="BG384" s="20">
        <f t="shared" si="352"/>
        <v>7.1243590990924579</v>
      </c>
      <c r="BH384" s="43">
        <f t="shared" si="353"/>
        <v>-13.965719292495383</v>
      </c>
      <c r="BI384" s="41" t="str">
        <f t="shared" si="357"/>
        <v>2.33027777734672+2.22516638800942i</v>
      </c>
      <c r="BJ384" s="20">
        <f t="shared" si="354"/>
        <v>10.162626172083016</v>
      </c>
      <c r="BK384" s="43">
        <f t="shared" si="358"/>
        <v>43.678203413717185</v>
      </c>
      <c r="BL384">
        <f t="shared" si="355"/>
        <v>7.1243590990924579</v>
      </c>
      <c r="BM384" s="43">
        <f t="shared" si="356"/>
        <v>-13.965719292495383</v>
      </c>
    </row>
    <row r="385" spans="14:65" x14ac:dyDescent="0.25">
      <c r="N385" s="9">
        <v>67</v>
      </c>
      <c r="O385" s="34">
        <f t="shared" si="359"/>
        <v>46773.514128719893</v>
      </c>
      <c r="P385" s="33" t="str">
        <f t="shared" si="309"/>
        <v>16.5157725627975</v>
      </c>
      <c r="Q385" s="4" t="str">
        <f t="shared" si="310"/>
        <v>1+760.423211836921i</v>
      </c>
      <c r="R385" s="4">
        <f t="shared" si="322"/>
        <v>760.42386936522371</v>
      </c>
      <c r="S385" s="4">
        <f t="shared" si="323"/>
        <v>1.5694812703789747</v>
      </c>
      <c r="T385" s="4" t="str">
        <f t="shared" si="311"/>
        <v>1+4.83443550335211i</v>
      </c>
      <c r="U385" s="4">
        <f t="shared" si="324"/>
        <v>4.9367769481789807</v>
      </c>
      <c r="V385" s="4">
        <f t="shared" si="325"/>
        <v>1.3668235803220179</v>
      </c>
      <c r="W385" t="str">
        <f t="shared" si="312"/>
        <v>1-73.4716641846825i</v>
      </c>
      <c r="X385" s="4">
        <f t="shared" si="326"/>
        <v>73.478469214231438</v>
      </c>
      <c r="Y385" s="4">
        <f t="shared" si="327"/>
        <v>-1.5571864777779936</v>
      </c>
      <c r="Z385" t="str">
        <f t="shared" si="313"/>
        <v>0.954798313554761+1.02860329858555i</v>
      </c>
      <c r="AA385" s="4">
        <f t="shared" si="328"/>
        <v>1.4034473860562389</v>
      </c>
      <c r="AB385" s="4">
        <f t="shared" si="329"/>
        <v>0.8225923188187888</v>
      </c>
      <c r="AC385" s="47" t="str">
        <f t="shared" si="330"/>
        <v>-4.75876615300073-2.97791518302456i</v>
      </c>
      <c r="AD385" s="20">
        <f t="shared" si="331"/>
        <v>14.985012449039255</v>
      </c>
      <c r="AE385" s="43">
        <f t="shared" si="332"/>
        <v>-147.96271154585156</v>
      </c>
      <c r="AF385" t="str">
        <f t="shared" si="314"/>
        <v>247.084651286898</v>
      </c>
      <c r="AG385" t="str">
        <f t="shared" si="315"/>
        <v>1+743.637599926523i</v>
      </c>
      <c r="AH385">
        <f t="shared" si="333"/>
        <v>743.63827229673939</v>
      </c>
      <c r="AI385">
        <f t="shared" si="334"/>
        <v>1.5694515865648124</v>
      </c>
      <c r="AJ385" t="str">
        <f t="shared" si="316"/>
        <v>1+4.83443550335211i</v>
      </c>
      <c r="AK385">
        <f t="shared" si="335"/>
        <v>4.9367769481789807</v>
      </c>
      <c r="AL385">
        <f t="shared" si="336"/>
        <v>1.3668235803220179</v>
      </c>
      <c r="AM385" t="str">
        <f t="shared" si="317"/>
        <v>1-4.80255628511939i</v>
      </c>
      <c r="AN385">
        <f t="shared" si="337"/>
        <v>4.9055628496371098</v>
      </c>
      <c r="AO385">
        <f t="shared" si="338"/>
        <v>-1.3655072180140824</v>
      </c>
      <c r="AP385" s="41" t="str">
        <f t="shared" si="339"/>
        <v>0.0214129982417855-8.04664509942174i</v>
      </c>
      <c r="AQ385">
        <f t="shared" si="340"/>
        <v>18.112327694722122</v>
      </c>
      <c r="AR385" s="43">
        <f t="shared" si="341"/>
        <v>-89.847530055719915</v>
      </c>
      <c r="AS385" t="str">
        <f t="shared" si="318"/>
        <v>-0.0000166666666666667</v>
      </c>
      <c r="AT385" t="str">
        <f t="shared" si="319"/>
        <v>0.000999214632911681i</v>
      </c>
      <c r="AU385">
        <f t="shared" si="342"/>
        <v>9.9921463291168097E-4</v>
      </c>
      <c r="AV385">
        <f t="shared" si="343"/>
        <v>1.5707963267948966</v>
      </c>
      <c r="AW385" t="str">
        <f t="shared" si="320"/>
        <v>1+1.01546483628429i</v>
      </c>
      <c r="AX385">
        <f t="shared" si="344"/>
        <v>1.4251908060782177</v>
      </c>
      <c r="AY385">
        <f t="shared" si="345"/>
        <v>0.79307109944312126</v>
      </c>
      <c r="AZ385" t="str">
        <f t="shared" si="321"/>
        <v>1+34.525804433666i</v>
      </c>
      <c r="BA385">
        <f t="shared" si="346"/>
        <v>34.540283319506102</v>
      </c>
      <c r="BB385">
        <f t="shared" si="347"/>
        <v>1.5418405784113058</v>
      </c>
      <c r="BC385" s="41" t="str">
        <f t="shared" si="348"/>
        <v>-0.275183740217104+0.296119178113904i</v>
      </c>
      <c r="BD385">
        <f t="shared" si="349"/>
        <v>-7.8671430450266886</v>
      </c>
      <c r="BE385" s="43">
        <f t="shared" si="350"/>
        <v>132.90133097308654</v>
      </c>
      <c r="BF385" s="41" t="str">
        <f t="shared" si="351"/>
        <v>2.19135286529145-0.589688083948841i</v>
      </c>
      <c r="BG385" s="20">
        <f t="shared" si="352"/>
        <v>7.1178694040125681</v>
      </c>
      <c r="BH385" s="43">
        <f t="shared" si="353"/>
        <v>-15.061380572765019</v>
      </c>
      <c r="BI385" s="41" t="str">
        <f t="shared" si="357"/>
        <v>2.3768734244696+2.22064669409882i</v>
      </c>
      <c r="BJ385" s="20">
        <f t="shared" si="354"/>
        <v>10.245184649695434</v>
      </c>
      <c r="BK385" s="43">
        <f t="shared" si="358"/>
        <v>43.053800917366715</v>
      </c>
      <c r="BL385">
        <f t="shared" si="355"/>
        <v>7.1178694040125681</v>
      </c>
      <c r="BM385" s="43">
        <f t="shared" si="356"/>
        <v>-15.061380572765019</v>
      </c>
    </row>
    <row r="386" spans="14:65" x14ac:dyDescent="0.25">
      <c r="N386" s="9">
        <v>68</v>
      </c>
      <c r="O386" s="34">
        <f t="shared" si="359"/>
        <v>47863.009232263823</v>
      </c>
      <c r="P386" s="33" t="str">
        <f t="shared" si="309"/>
        <v>16.5157725627975</v>
      </c>
      <c r="Q386" s="4" t="str">
        <f t="shared" si="310"/>
        <v>1+778.135743840343i</v>
      </c>
      <c r="R386" s="4">
        <f t="shared" si="322"/>
        <v>778.13638640148679</v>
      </c>
      <c r="S386" s="4">
        <f t="shared" si="323"/>
        <v>1.5695112046842585</v>
      </c>
      <c r="T386" s="4" t="str">
        <f t="shared" si="311"/>
        <v>1+4.94704397221348i</v>
      </c>
      <c r="U386" s="4">
        <f t="shared" si="324"/>
        <v>5.047102541361105</v>
      </c>
      <c r="V386" s="4">
        <f t="shared" si="325"/>
        <v>1.3713430439751004</v>
      </c>
      <c r="W386" t="str">
        <f t="shared" si="312"/>
        <v>1-75.1830390913903i</v>
      </c>
      <c r="X386" s="4">
        <f t="shared" si="326"/>
        <v>75.189689233414981</v>
      </c>
      <c r="Y386" s="4">
        <f t="shared" si="327"/>
        <v>-1.5574962388059603</v>
      </c>
      <c r="Z386" t="str">
        <f t="shared" si="313"/>
        <v>0.952668023703145+1.05256254727946i</v>
      </c>
      <c r="AA386" s="4">
        <f t="shared" si="328"/>
        <v>1.4196704826550002</v>
      </c>
      <c r="AB386" s="4">
        <f t="shared" si="329"/>
        <v>0.83517399004653348</v>
      </c>
      <c r="AC386" s="47" t="str">
        <f t="shared" si="330"/>
        <v>-4.83461514971919-2.96914739182834i</v>
      </c>
      <c r="AD386" s="20">
        <f t="shared" si="331"/>
        <v>15.077120705257904</v>
      </c>
      <c r="AE386" s="43">
        <f t="shared" si="332"/>
        <v>-148.44410512235373</v>
      </c>
      <c r="AF386" t="str">
        <f t="shared" si="314"/>
        <v>247.084651286898</v>
      </c>
      <c r="AG386" t="str">
        <f t="shared" si="315"/>
        <v>1+760.959144801287i</v>
      </c>
      <c r="AH386">
        <f t="shared" si="333"/>
        <v>760.95980186650218</v>
      </c>
      <c r="AI386">
        <f t="shared" si="334"/>
        <v>1.5694821965538901</v>
      </c>
      <c r="AJ386" t="str">
        <f t="shared" si="316"/>
        <v>1+4.94704397221348i</v>
      </c>
      <c r="AK386">
        <f t="shared" si="335"/>
        <v>5.047102541361105</v>
      </c>
      <c r="AL386">
        <f t="shared" si="336"/>
        <v>1.3713430439751004</v>
      </c>
      <c r="AM386" t="str">
        <f t="shared" si="317"/>
        <v>1-4.91442219159655i</v>
      </c>
      <c r="AN386">
        <f t="shared" si="337"/>
        <v>5.0151316510393462</v>
      </c>
      <c r="AO386">
        <f t="shared" si="338"/>
        <v>-1.3700542505359108</v>
      </c>
      <c r="AP386" s="41" t="str">
        <f t="shared" si="339"/>
        <v>0.02139289024725-8.21877417928328i</v>
      </c>
      <c r="AQ386">
        <f t="shared" si="340"/>
        <v>18.296170381355385</v>
      </c>
      <c r="AR386" s="43">
        <f t="shared" si="341"/>
        <v>-89.850863458730103</v>
      </c>
      <c r="AS386" t="str">
        <f t="shared" si="318"/>
        <v>-0.0000166666666666667</v>
      </c>
      <c r="AT386" t="str">
        <f t="shared" si="319"/>
        <v>0.00102248933164291i</v>
      </c>
      <c r="AU386">
        <f t="shared" si="342"/>
        <v>1.0224893316429101E-3</v>
      </c>
      <c r="AV386">
        <f t="shared" si="343"/>
        <v>1.5707963267948966</v>
      </c>
      <c r="AW386" t="str">
        <f t="shared" si="320"/>
        <v>1+1.03911805087724i</v>
      </c>
      <c r="AX386">
        <f t="shared" si="344"/>
        <v>1.4421394952149789</v>
      </c>
      <c r="AY386">
        <f t="shared" si="345"/>
        <v>0.80457961941826661</v>
      </c>
      <c r="AZ386" t="str">
        <f t="shared" si="321"/>
        <v>1+35.3300137298261i</v>
      </c>
      <c r="BA386">
        <f t="shared" si="346"/>
        <v>35.344163169464075</v>
      </c>
      <c r="BB386">
        <f t="shared" si="347"/>
        <v>1.5424993358333201</v>
      </c>
      <c r="BC386" s="41" t="str">
        <f t="shared" si="348"/>
        <v>-0.268753575976197+0.295566780603702i</v>
      </c>
      <c r="BD386">
        <f t="shared" si="349"/>
        <v>-7.9699920625723202</v>
      </c>
      <c r="BE386" s="43">
        <f t="shared" si="350"/>
        <v>132.27968537007322</v>
      </c>
      <c r="BF386" s="41" t="str">
        <f t="shared" si="351"/>
        <v>2.17690144569631-0.630982656106121i</v>
      </c>
      <c r="BG386" s="20">
        <f t="shared" si="352"/>
        <v>7.1071286426855851</v>
      </c>
      <c r="BH386" s="43">
        <f t="shared" si="353"/>
        <v>-16.164419752280498</v>
      </c>
      <c r="BI386" s="41" t="str">
        <f t="shared" si="357"/>
        <v>2.42344720892518+2.2151479785214i</v>
      </c>
      <c r="BJ386" s="20">
        <f t="shared" si="354"/>
        <v>10.326178318783066</v>
      </c>
      <c r="BK386" s="43">
        <f t="shared" si="358"/>
        <v>42.428821911343071</v>
      </c>
      <c r="BL386">
        <f t="shared" si="355"/>
        <v>7.1071286426855851</v>
      </c>
      <c r="BM386" s="43">
        <f t="shared" si="356"/>
        <v>-16.164419752280498</v>
      </c>
    </row>
    <row r="387" spans="14:65" x14ac:dyDescent="0.25">
      <c r="N387" s="9">
        <v>69</v>
      </c>
      <c r="O387" s="34">
        <f t="shared" si="359"/>
        <v>48977.881936844598</v>
      </c>
      <c r="P387" s="33" t="str">
        <f t="shared" si="309"/>
        <v>16.5157725627975</v>
      </c>
      <c r="Q387" s="4" t="str">
        <f t="shared" si="310"/>
        <v>1+796.260853714993i</v>
      </c>
      <c r="R387" s="4">
        <f t="shared" si="322"/>
        <v>796.26148164967105</v>
      </c>
      <c r="S387" s="4">
        <f t="shared" si="323"/>
        <v>1.569540457603791</v>
      </c>
      <c r="T387" s="4" t="str">
        <f t="shared" si="311"/>
        <v>1+5.06227542927079i</v>
      </c>
      <c r="U387" s="4">
        <f t="shared" si="324"/>
        <v>5.160100049591942</v>
      </c>
      <c r="V387" s="4">
        <f t="shared" si="325"/>
        <v>1.3757676256858162</v>
      </c>
      <c r="W387" t="str">
        <f t="shared" si="312"/>
        <v>1-76.9342770405895i</v>
      </c>
      <c r="X387" s="4">
        <f t="shared" si="326"/>
        <v>76.940775819835466</v>
      </c>
      <c r="Y387" s="4">
        <f t="shared" si="327"/>
        <v>-1.5577989512785433</v>
      </c>
      <c r="Z387" t="str">
        <f t="shared" si="313"/>
        <v>0.950437336383895+1.07707987856825i</v>
      </c>
      <c r="AA387" s="4">
        <f t="shared" si="328"/>
        <v>1.4364651736847327</v>
      </c>
      <c r="AB387" s="4">
        <f t="shared" si="329"/>
        <v>0.84777900418788921</v>
      </c>
      <c r="AC387" s="47" t="str">
        <f t="shared" si="330"/>
        <v>-4.91040673074894-2.95842741229061i</v>
      </c>
      <c r="AD387" s="20">
        <f t="shared" si="331"/>
        <v>15.167255362540306</v>
      </c>
      <c r="AE387" s="43">
        <f t="shared" si="332"/>
        <v>-148.93182959113398</v>
      </c>
      <c r="AF387" t="str">
        <f t="shared" si="314"/>
        <v>247.084651286898</v>
      </c>
      <c r="AG387" t="str">
        <f t="shared" si="315"/>
        <v>1+778.684160287112i</v>
      </c>
      <c r="AH387">
        <f t="shared" si="333"/>
        <v>778.6848023957092</v>
      </c>
      <c r="AI387">
        <f t="shared" si="334"/>
        <v>1.5695121097769296</v>
      </c>
      <c r="AJ387" t="str">
        <f t="shared" si="316"/>
        <v>1+5.06227542927079i</v>
      </c>
      <c r="AK387">
        <f t="shared" si="335"/>
        <v>5.160100049591942</v>
      </c>
      <c r="AL387">
        <f t="shared" si="336"/>
        <v>1.3757676256858162</v>
      </c>
      <c r="AM387" t="str">
        <f t="shared" si="317"/>
        <v>1-5.02889378976977i</v>
      </c>
      <c r="AN387">
        <f t="shared" si="337"/>
        <v>5.1273553366999014</v>
      </c>
      <c r="AO387">
        <f t="shared" si="338"/>
        <v>-1.3745059252889438</v>
      </c>
      <c r="AP387" s="41" t="str">
        <f t="shared" si="339"/>
        <v>0.0213736872584925-8.3952609596238i</v>
      </c>
      <c r="AQ387">
        <f t="shared" si="340"/>
        <v>18.480712156925684</v>
      </c>
      <c r="AR387" s="43">
        <f t="shared" si="341"/>
        <v>-89.854129677140847</v>
      </c>
      <c r="AS387" t="str">
        <f t="shared" si="318"/>
        <v>-0.0000166666666666667</v>
      </c>
      <c r="AT387" t="str">
        <f t="shared" si="319"/>
        <v>0.00104630616775202i</v>
      </c>
      <c r="AU387">
        <f t="shared" si="342"/>
        <v>1.0463061677520201E-3</v>
      </c>
      <c r="AV387">
        <f t="shared" si="343"/>
        <v>1.5707963267948966</v>
      </c>
      <c r="AW387" t="str">
        <f t="shared" si="320"/>
        <v>1+1.06332221961511i</v>
      </c>
      <c r="AX387">
        <f t="shared" si="344"/>
        <v>1.4596760403347053</v>
      </c>
      <c r="AY387">
        <f t="shared" si="345"/>
        <v>0.81607798179594926</v>
      </c>
      <c r="AZ387" t="str">
        <f t="shared" si="321"/>
        <v>1+36.1529554669138i</v>
      </c>
      <c r="BA387">
        <f t="shared" si="346"/>
        <v>36.166782950556332</v>
      </c>
      <c r="BB387">
        <f t="shared" si="347"/>
        <v>1.5431431218444873</v>
      </c>
      <c r="BC387" s="41" t="str">
        <f t="shared" si="348"/>
        <v>-0.262334756950632+0.294875429297469i</v>
      </c>
      <c r="BD387">
        <f t="shared" si="349"/>
        <v>-8.0751327075584616</v>
      </c>
      <c r="BE387" s="43">
        <f t="shared" si="350"/>
        <v>131.65776395586926</v>
      </c>
      <c r="BF387" s="41" t="str">
        <f t="shared" si="351"/>
        <v>2.16053790948436-0.671859956595431i</v>
      </c>
      <c r="BG387" s="20">
        <f t="shared" si="352"/>
        <v>7.0921226549818286</v>
      </c>
      <c r="BH387" s="43">
        <f t="shared" si="353"/>
        <v>-17.274065635264773</v>
      </c>
      <c r="BI387" s="41" t="str">
        <f t="shared" si="357"/>
        <v>2.46994911848125+2.20867131858606i</v>
      </c>
      <c r="BJ387" s="20">
        <f t="shared" si="354"/>
        <v>10.405579449367217</v>
      </c>
      <c r="BK387" s="43">
        <f t="shared" si="358"/>
        <v>41.803634278728509</v>
      </c>
      <c r="BL387">
        <f t="shared" si="355"/>
        <v>7.0921226549818286</v>
      </c>
      <c r="BM387" s="43">
        <f t="shared" si="356"/>
        <v>-17.274065635264773</v>
      </c>
    </row>
    <row r="388" spans="14:65" x14ac:dyDescent="0.25">
      <c r="N388" s="9">
        <v>70</v>
      </c>
      <c r="O388" s="34">
        <f t="shared" si="359"/>
        <v>50118.723362727294</v>
      </c>
      <c r="P388" s="33" t="str">
        <f t="shared" si="309"/>
        <v>16.5157725627975</v>
      </c>
      <c r="Q388" s="4" t="str">
        <f t="shared" si="310"/>
        <v>1+814.808151634045i</v>
      </c>
      <c r="R388" s="4">
        <f t="shared" si="322"/>
        <v>814.8087652751957</v>
      </c>
      <c r="S388" s="4">
        <f t="shared" si="323"/>
        <v>1.5695690446476567</v>
      </c>
      <c r="T388" s="4" t="str">
        <f t="shared" si="311"/>
        <v>1+5.18019097176786i</v>
      </c>
      <c r="U388" s="4">
        <f t="shared" si="324"/>
        <v>5.2758296507739182</v>
      </c>
      <c r="V388" s="4">
        <f t="shared" si="325"/>
        <v>1.3800989781381605</v>
      </c>
      <c r="W388" t="str">
        <f t="shared" si="312"/>
        <v>1-78.7263065618215i</v>
      </c>
      <c r="X388" s="4">
        <f t="shared" si="326"/>
        <v>78.732657422862957</v>
      </c>
      <c r="Y388" s="4">
        <f t="shared" si="327"/>
        <v>-1.5580947754758627</v>
      </c>
      <c r="Z388" t="str">
        <f t="shared" si="313"/>
        <v>0.948101520010133+1.1021682918655i</v>
      </c>
      <c r="AA388" s="4">
        <f t="shared" si="328"/>
        <v>1.4538471157034494</v>
      </c>
      <c r="AB388" s="4">
        <f t="shared" si="329"/>
        <v>0.86040183320202612</v>
      </c>
      <c r="AC388" s="47" t="str">
        <f t="shared" si="330"/>
        <v>-4.98605796637344-2.94575395381952i</v>
      </c>
      <c r="AD388" s="20">
        <f t="shared" si="331"/>
        <v>15.255402734039826</v>
      </c>
      <c r="AE388" s="43">
        <f t="shared" si="332"/>
        <v>-149.42548359900277</v>
      </c>
      <c r="AF388" t="str">
        <f t="shared" si="314"/>
        <v>247.084651286898</v>
      </c>
      <c r="AG388" t="str">
        <f t="shared" si="315"/>
        <v>1+796.822044421826i</v>
      </c>
      <c r="AH388">
        <f t="shared" si="333"/>
        <v>796.82267191425876</v>
      </c>
      <c r="AI388">
        <f t="shared" si="334"/>
        <v>1.5695413420941031</v>
      </c>
      <c r="AJ388" t="str">
        <f t="shared" si="316"/>
        <v>1+5.18019097176786i</v>
      </c>
      <c r="AK388">
        <f t="shared" si="335"/>
        <v>5.2758296507739182</v>
      </c>
      <c r="AL388">
        <f t="shared" si="336"/>
        <v>1.3800989781381605</v>
      </c>
      <c r="AM388" t="str">
        <f t="shared" si="317"/>
        <v>1-5.14603177399562i</v>
      </c>
      <c r="AN388">
        <f t="shared" si="337"/>
        <v>5.2422936791992596</v>
      </c>
      <c r="AO388">
        <f t="shared" si="338"/>
        <v>-1.3788638965093443</v>
      </c>
      <c r="AP388" s="41" t="str">
        <f t="shared" si="339"/>
        <v>0.0213553485438146-8.57619901622914i</v>
      </c>
      <c r="AQ388">
        <f t="shared" si="340"/>
        <v>18.665923939137965</v>
      </c>
      <c r="AR388" s="43">
        <f t="shared" si="341"/>
        <v>-89.857329708605718</v>
      </c>
      <c r="AS388" t="str">
        <f t="shared" si="318"/>
        <v>-0.0000166666666666667</v>
      </c>
      <c r="AT388" t="str">
        <f t="shared" si="319"/>
        <v>0.00107067776924077i</v>
      </c>
      <c r="AU388">
        <f t="shared" si="342"/>
        <v>1.07067776924077E-3</v>
      </c>
      <c r="AV388">
        <f t="shared" si="343"/>
        <v>1.5707963267948966</v>
      </c>
      <c r="AW388" t="str">
        <f t="shared" si="320"/>
        <v>1+1.08809017586856i</v>
      </c>
      <c r="AX388">
        <f t="shared" si="344"/>
        <v>1.4778160341604341</v>
      </c>
      <c r="AY388">
        <f t="shared" si="345"/>
        <v>0.82756012241125521</v>
      </c>
      <c r="AZ388" t="str">
        <f t="shared" si="321"/>
        <v>1+36.9950659795311i</v>
      </c>
      <c r="BA388">
        <f t="shared" si="346"/>
        <v>37.00857882748079</v>
      </c>
      <c r="BB388">
        <f t="shared" si="347"/>
        <v>1.54377227565286</v>
      </c>
      <c r="BC388" s="41" t="str">
        <f t="shared" si="348"/>
        <v>-0.255934035551837+0.294045773489264i</v>
      </c>
      <c r="BD388">
        <f t="shared" si="349"/>
        <v>-8.1825600416748117</v>
      </c>
      <c r="BE388" s="43">
        <f t="shared" si="350"/>
        <v>131.03593361672094</v>
      </c>
      <c r="BF388" s="41" t="str">
        <f t="shared" si="351"/>
        <v>2.14228843668926-0.712210574240775i</v>
      </c>
      <c r="BG388" s="20">
        <f t="shared" si="352"/>
        <v>7.0728426923650218</v>
      </c>
      <c r="BH388" s="43">
        <f t="shared" si="353"/>
        <v>-18.389549982281824</v>
      </c>
      <c r="BI388" s="41" t="str">
        <f t="shared" si="357"/>
        <v>2.51632951279153+2.20122067389992i</v>
      </c>
      <c r="BJ388" s="20">
        <f t="shared" si="354"/>
        <v>10.483363897463162</v>
      </c>
      <c r="BK388" s="43">
        <f t="shared" si="358"/>
        <v>41.178603908115235</v>
      </c>
      <c r="BL388">
        <f t="shared" si="355"/>
        <v>7.0728426923650218</v>
      </c>
      <c r="BM388" s="43">
        <f t="shared" si="356"/>
        <v>-18.389549982281824</v>
      </c>
    </row>
    <row r="389" spans="14:65" x14ac:dyDescent="0.25">
      <c r="N389" s="9">
        <v>71</v>
      </c>
      <c r="O389" s="34">
        <f t="shared" si="359"/>
        <v>51286.138399136544</v>
      </c>
      <c r="P389" s="33" t="str">
        <f t="shared" si="309"/>
        <v>16.5157725627975</v>
      </c>
      <c r="Q389" s="4" t="str">
        <f t="shared" si="310"/>
        <v>1+833.787471620354i</v>
      </c>
      <c r="R389" s="4">
        <f t="shared" si="322"/>
        <v>833.788071293337</v>
      </c>
      <c r="S389" s="4">
        <f t="shared" si="323"/>
        <v>1.5695969809728973</v>
      </c>
      <c r="T389" s="4" t="str">
        <f t="shared" si="311"/>
        <v>1+5.30085312008609i</v>
      </c>
      <c r="U389" s="4">
        <f t="shared" si="324"/>
        <v>5.394352954778399</v>
      </c>
      <c r="V389" s="4">
        <f t="shared" si="325"/>
        <v>1.384338747489444</v>
      </c>
      <c r="W389" t="str">
        <f t="shared" si="312"/>
        <v>1-80.5600778128585i</v>
      </c>
      <c r="X389" s="4">
        <f t="shared" si="326"/>
        <v>80.566284121919239</v>
      </c>
      <c r="Y389" s="4">
        <f t="shared" si="327"/>
        <v>-1.5583838680405997</v>
      </c>
      <c r="Z389" t="str">
        <f t="shared" si="313"/>
        <v>0.945655620002161+1.12784108938002i</v>
      </c>
      <c r="AA389" s="4">
        <f t="shared" si="328"/>
        <v>1.4718322168425251</v>
      </c>
      <c r="AB389" s="4">
        <f t="shared" si="329"/>
        <v>0.87303698172382382</v>
      </c>
      <c r="AC389" s="47" t="str">
        <f t="shared" si="330"/>
        <v>-5.06148626980904-2.93113029353617i</v>
      </c>
      <c r="AD389" s="20">
        <f t="shared" si="331"/>
        <v>15.341552076581404</v>
      </c>
      <c r="AE389" s="43">
        <f t="shared" si="332"/>
        <v>-149.92466781026471</v>
      </c>
      <c r="AF389" t="str">
        <f t="shared" si="314"/>
        <v>247.084651286898</v>
      </c>
      <c r="AG389" t="str">
        <f t="shared" si="315"/>
        <v>1+815.382414151681i</v>
      </c>
      <c r="AH389">
        <f t="shared" si="333"/>
        <v>815.38302736065293</v>
      </c>
      <c r="AI389">
        <f t="shared" si="334"/>
        <v>1.5695699090045725</v>
      </c>
      <c r="AJ389" t="str">
        <f t="shared" si="316"/>
        <v>1+5.30085312008609i</v>
      </c>
      <c r="AK389">
        <f t="shared" si="335"/>
        <v>5.394352954778399</v>
      </c>
      <c r="AL389">
        <f t="shared" si="336"/>
        <v>1.384338747489444</v>
      </c>
      <c r="AM389" t="str">
        <f t="shared" si="317"/>
        <v>1-5.26589825238382i</v>
      </c>
      <c r="AN389">
        <f t="shared" si="337"/>
        <v>5.360007873544494</v>
      </c>
      <c r="AO389">
        <f t="shared" si="338"/>
        <v>-1.3831298124039821</v>
      </c>
      <c r="AP389" s="41" t="str">
        <f t="shared" si="339"/>
        <v>0.0213378352047201-8.76168428500005i</v>
      </c>
      <c r="AQ389">
        <f t="shared" si="340"/>
        <v>18.851777756422138</v>
      </c>
      <c r="AR389" s="43">
        <f t="shared" si="341"/>
        <v>-89.860464558592426</v>
      </c>
      <c r="AS389" t="str">
        <f t="shared" si="318"/>
        <v>-0.0000166666666666667</v>
      </c>
      <c r="AT389" t="str">
        <f t="shared" si="319"/>
        <v>0.00109561705825487i</v>
      </c>
      <c r="AU389">
        <f t="shared" si="342"/>
        <v>1.09561705825487E-3</v>
      </c>
      <c r="AV389">
        <f t="shared" si="343"/>
        <v>1.5707963267948966</v>
      </c>
      <c r="AW389" t="str">
        <f t="shared" si="320"/>
        <v>1+1.11343505193584i</v>
      </c>
      <c r="AX389">
        <f t="shared" si="344"/>
        <v>1.4965752954259826</v>
      </c>
      <c r="AY389">
        <f t="shared" si="345"/>
        <v>0.83902001987188424</v>
      </c>
      <c r="AZ389" t="str">
        <f t="shared" si="321"/>
        <v>1+37.8567917658184i</v>
      </c>
      <c r="BA389">
        <f t="shared" si="346"/>
        <v>37.869997132301663</v>
      </c>
      <c r="BB389">
        <f t="shared" si="347"/>
        <v>1.5443871288506481</v>
      </c>
      <c r="BC389" s="41" t="str">
        <f t="shared" si="348"/>
        <v>-0.249558087949651+0.293078850377646i</v>
      </c>
      <c r="BD389">
        <f t="shared" si="349"/>
        <v>-8.2922667084295796</v>
      </c>
      <c r="BE389" s="43">
        <f t="shared" si="350"/>
        <v>130.41455835182765</v>
      </c>
      <c r="BF389" s="41" t="str">
        <f t="shared" si="351"/>
        <v>2.12218713241363-0.751927305571688i</v>
      </c>
      <c r="BG389" s="20">
        <f t="shared" si="352"/>
        <v>7.049285368151831</v>
      </c>
      <c r="BH389" s="43">
        <f t="shared" si="353"/>
        <v>-19.510109458437057</v>
      </c>
      <c r="BI389" s="41" t="str">
        <f t="shared" si="357"/>
        <v>2.56253932826503+2.19280284559446i</v>
      </c>
      <c r="BJ389" s="20">
        <f t="shared" si="354"/>
        <v>10.559511047992558</v>
      </c>
      <c r="BK389" s="43">
        <f t="shared" si="358"/>
        <v>40.554093793235154</v>
      </c>
      <c r="BL389">
        <f t="shared" si="355"/>
        <v>7.049285368151831</v>
      </c>
      <c r="BM389" s="43">
        <f t="shared" si="356"/>
        <v>-19.510109458437057</v>
      </c>
    </row>
    <row r="390" spans="14:65" x14ac:dyDescent="0.25">
      <c r="N390" s="9">
        <v>72</v>
      </c>
      <c r="O390" s="34">
        <f t="shared" si="359"/>
        <v>52480.746024977314</v>
      </c>
      <c r="P390" s="33" t="str">
        <f t="shared" si="309"/>
        <v>16.5157725627975</v>
      </c>
      <c r="Q390" s="4" t="str">
        <f t="shared" si="310"/>
        <v>1+853.208876760595i</v>
      </c>
      <c r="R390" s="4">
        <f t="shared" si="322"/>
        <v>853.20946278336373</v>
      </c>
      <c r="S390" s="4">
        <f t="shared" si="323"/>
        <v>1.5696242813915484</v>
      </c>
      <c r="T390" s="4" t="str">
        <f t="shared" si="311"/>
        <v>1+5.42432585089366i</v>
      </c>
      <c r="U390" s="4">
        <f t="shared" si="324"/>
        <v>5.5157330371105919</v>
      </c>
      <c r="V390" s="4">
        <f t="shared" si="325"/>
        <v>1.388488571725385</v>
      </c>
      <c r="W390" t="str">
        <f t="shared" si="312"/>
        <v>1-82.4365630834903i</v>
      </c>
      <c r="X390" s="4">
        <f t="shared" si="326"/>
        <v>82.442628130223241</v>
      </c>
      <c r="Y390" s="4">
        <f t="shared" si="327"/>
        <v>-1.5586663820600615</v>
      </c>
      <c r="Z390" t="str">
        <f t="shared" si="313"/>
        <v>0.943094448278137+1.15411188316886i</v>
      </c>
      <c r="AA390" s="4">
        <f t="shared" si="328"/>
        <v>1.4904366397954045</v>
      </c>
      <c r="AB390" s="4">
        <f t="shared" si="329"/>
        <v>0.8856790033222347</v>
      </c>
      <c r="AC390" s="47" t="str">
        <f t="shared" si="330"/>
        <v>-5.13660973299612-2.91456422284518i</v>
      </c>
      <c r="AD390" s="20">
        <f t="shared" si="331"/>
        <v>15.425695553617283</v>
      </c>
      <c r="AE390" s="43">
        <f t="shared" si="332"/>
        <v>-150.42898593766247</v>
      </c>
      <c r="AF390" t="str">
        <f t="shared" si="314"/>
        <v>247.084651286898</v>
      </c>
      <c r="AG390" t="str">
        <f t="shared" si="315"/>
        <v>1+834.375110430377i</v>
      </c>
      <c r="AH390">
        <f t="shared" si="333"/>
        <v>834.37570968101886</v>
      </c>
      <c r="AI390">
        <f t="shared" si="334"/>
        <v>1.569597825654705</v>
      </c>
      <c r="AJ390" t="str">
        <f t="shared" si="316"/>
        <v>1+5.42432585089366i</v>
      </c>
      <c r="AK390">
        <f t="shared" si="335"/>
        <v>5.5157330371105919</v>
      </c>
      <c r="AL390">
        <f t="shared" si="336"/>
        <v>1.388488571725385</v>
      </c>
      <c r="AM390" t="str">
        <f t="shared" si="317"/>
        <v>1-5.38855677972783i</v>
      </c>
      <c r="AN390">
        <f t="shared" si="337"/>
        <v>5.4805605706305958</v>
      </c>
      <c r="AO390">
        <f t="shared" si="338"/>
        <v>-1.3873053134672821</v>
      </c>
      <c r="AP390" s="41" t="str">
        <f t="shared" si="339"/>
        <v>0.0213211100934073-8.95181511281957i</v>
      </c>
      <c r="AQ390">
        <f t="shared" si="340"/>
        <v>19.038246713979923</v>
      </c>
      <c r="AR390" s="43">
        <f t="shared" si="341"/>
        <v>-89.863535238662109</v>
      </c>
      <c r="AS390" t="str">
        <f t="shared" si="318"/>
        <v>-0.0000166666666666667</v>
      </c>
      <c r="AT390" t="str">
        <f t="shared" si="319"/>
        <v>0.00112113725793547i</v>
      </c>
      <c r="AU390">
        <f t="shared" si="342"/>
        <v>1.12113725793547E-3</v>
      </c>
      <c r="AV390">
        <f t="shared" si="343"/>
        <v>1.5707963267948966</v>
      </c>
      <c r="AW390" t="str">
        <f t="shared" si="320"/>
        <v>1+1.1393702860057i</v>
      </c>
      <c r="AX390">
        <f t="shared" si="344"/>
        <v>1.5159698706216791</v>
      </c>
      <c r="AY390">
        <f t="shared" si="345"/>
        <v>0.85045171119966101</v>
      </c>
      <c r="AZ390" t="str">
        <f t="shared" si="321"/>
        <v>1+38.7385897241937i</v>
      </c>
      <c r="BA390">
        <f t="shared" si="346"/>
        <v>38.75149460110417</v>
      </c>
      <c r="BB390">
        <f t="shared" si="347"/>
        <v>1.5449880055805558</v>
      </c>
      <c r="BC390" s="41" t="str">
        <f t="shared" si="348"/>
        <v>-0.24321348647093+0.291976077098242i</v>
      </c>
      <c r="BD390">
        <f t="shared" si="349"/>
        <v>-8.4042429660570175</v>
      </c>
      <c r="BE390" s="43">
        <f t="shared" si="350"/>
        <v>129.79399838668104</v>
      </c>
      <c r="BF390" s="41" t="str">
        <f t="shared" si="351"/>
        <v>2.10027579003972-0.790905833243243i</v>
      </c>
      <c r="BG390" s="20">
        <f t="shared" si="352"/>
        <v>7.0214525875602627</v>
      </c>
      <c r="BH390" s="43">
        <f t="shared" si="353"/>
        <v>-20.634987550981418</v>
      </c>
      <c r="BI390" s="41" t="str">
        <f t="shared" si="357"/>
        <v>2.60853027802857+2.18342741791646i</v>
      </c>
      <c r="BJ390" s="20">
        <f t="shared" si="354"/>
        <v>10.634003747922913</v>
      </c>
      <c r="BK390" s="43">
        <f t="shared" si="358"/>
        <v>39.930463148018887</v>
      </c>
      <c r="BL390">
        <f t="shared" si="355"/>
        <v>7.0214525875602627</v>
      </c>
      <c r="BM390" s="43">
        <f t="shared" si="356"/>
        <v>-20.634987550981418</v>
      </c>
    </row>
    <row r="391" spans="14:65" x14ac:dyDescent="0.25">
      <c r="N391" s="9">
        <v>73</v>
      </c>
      <c r="O391" s="34">
        <f t="shared" si="359"/>
        <v>53703.179637025423</v>
      </c>
      <c r="P391" s="33" t="str">
        <f t="shared" si="309"/>
        <v>16.5157725627975</v>
      </c>
      <c r="Q391" s="4" t="str">
        <f t="shared" si="310"/>
        <v>1+873.082664540852i</v>
      </c>
      <c r="R391" s="4">
        <f t="shared" si="322"/>
        <v>873.08323722412285</v>
      </c>
      <c r="S391" s="4">
        <f t="shared" si="323"/>
        <v>1.5696509603784901</v>
      </c>
      <c r="T391" s="4" t="str">
        <f t="shared" si="311"/>
        <v>1+5.55067463106683i</v>
      </c>
      <c r="U391" s="4">
        <f t="shared" si="324"/>
        <v>5.6400344732961418</v>
      </c>
      <c r="V391" s="4">
        <f t="shared" si="325"/>
        <v>1.3925500791441894</v>
      </c>
      <c r="W391" t="str">
        <f t="shared" si="312"/>
        <v>1-84.356757311046i</v>
      </c>
      <c r="X391" s="4">
        <f t="shared" si="326"/>
        <v>84.362684310272584</v>
      </c>
      <c r="Y391" s="4">
        <f t="shared" si="327"/>
        <v>-1.5589424671464283</v>
      </c>
      <c r="Z391" t="str">
        <f t="shared" si="313"/>
        <v>0.94041257224945+1.18099460235464i</v>
      </c>
      <c r="AA391" s="4">
        <f t="shared" si="328"/>
        <v>1.5096768054241347</v>
      </c>
      <c r="AB391" s="4">
        <f t="shared" si="329"/>
        <v>0.89832251653062223</v>
      </c>
      <c r="AC391" s="47" t="str">
        <f t="shared" si="330"/>
        <v>-5.2113474553904-2.89606796477154i</v>
      </c>
      <c r="AD391" s="20">
        <f t="shared" si="331"/>
        <v>15.507828188143964</v>
      </c>
      <c r="AE391" s="43">
        <f t="shared" si="332"/>
        <v>-150.93804575275104</v>
      </c>
      <c r="AF391" t="str">
        <f t="shared" si="314"/>
        <v>247.084651286898</v>
      </c>
      <c r="AG391" t="str">
        <f t="shared" si="315"/>
        <v>1+853.810203436887i</v>
      </c>
      <c r="AH391">
        <f t="shared" si="333"/>
        <v>853.81078904692833</v>
      </c>
      <c r="AI391">
        <f t="shared" si="334"/>
        <v>1.569625106846104</v>
      </c>
      <c r="AJ391" t="str">
        <f t="shared" si="316"/>
        <v>1+5.55067463106683i</v>
      </c>
      <c r="AK391">
        <f t="shared" si="335"/>
        <v>5.6400344732961418</v>
      </c>
      <c r="AL391">
        <f t="shared" si="336"/>
        <v>1.3925500791441894</v>
      </c>
      <c r="AM391" t="str">
        <f t="shared" si="317"/>
        <v>1-5.51407239120244i</v>
      </c>
      <c r="AN391">
        <f t="shared" si="337"/>
        <v>5.6040159114175427</v>
      </c>
      <c r="AO391">
        <f t="shared" si="338"/>
        <v>-1.3913920309288921</v>
      </c>
      <c r="AP391" s="41" t="str">
        <f t="shared" si="339"/>
        <v>0.0213051377339917-9.14669230969835i</v>
      </c>
      <c r="AQ391">
        <f t="shared" si="340"/>
        <v>19.22530496011824</v>
      </c>
      <c r="AR391" s="43">
        <f t="shared" si="341"/>
        <v>-89.866542764843459</v>
      </c>
      <c r="AS391" t="str">
        <f t="shared" si="318"/>
        <v>-0.0000166666666666667</v>
      </c>
      <c r="AT391" t="str">
        <f t="shared" si="319"/>
        <v>0.00114725189943023i</v>
      </c>
      <c r="AU391">
        <f t="shared" si="342"/>
        <v>1.1472518994302299E-3</v>
      </c>
      <c r="AV391">
        <f t="shared" si="343"/>
        <v>1.5707963267948966</v>
      </c>
      <c r="AW391" t="str">
        <f t="shared" si="320"/>
        <v>1+1.16590962928255i</v>
      </c>
      <c r="AX391">
        <f t="shared" si="344"/>
        <v>1.5360160362619175</v>
      </c>
      <c r="AY391">
        <f t="shared" si="345"/>
        <v>0.86184930709963359</v>
      </c>
      <c r="AZ391" t="str">
        <f t="shared" si="321"/>
        <v>1+39.6409273956067i</v>
      </c>
      <c r="BA391">
        <f t="shared" si="346"/>
        <v>39.653538616165918</v>
      </c>
      <c r="BB391">
        <f t="shared" si="347"/>
        <v>1.5455752226987991</v>
      </c>
      <c r="BC391" s="41" t="str">
        <f t="shared" si="348"/>
        <v>-0.236906672918484+0.290739240425762i</v>
      </c>
      <c r="BD391">
        <f t="shared" si="349"/>
        <v>-8.5184767301134929</v>
      </c>
      <c r="BE391" s="43">
        <f t="shared" si="350"/>
        <v>129.17460930755013</v>
      </c>
      <c r="BF391" s="41" t="str">
        <f t="shared" si="351"/>
        <v>2.07660358737781-0.829045374695102i</v>
      </c>
      <c r="BG391" s="20">
        <f t="shared" si="352"/>
        <v>6.9893514580304839</v>
      </c>
      <c r="BH391" s="43">
        <f t="shared" si="353"/>
        <v>-21.763436445200881</v>
      </c>
      <c r="BI391" s="41" t="str">
        <f t="shared" si="357"/>
        <v>2.65425504523323+2.17310668286167i</v>
      </c>
      <c r="BJ391" s="20">
        <f t="shared" si="354"/>
        <v>10.70682823000476</v>
      </c>
      <c r="BK391" s="43">
        <f t="shared" si="358"/>
        <v>39.308066542706683</v>
      </c>
      <c r="BL391">
        <f t="shared" si="355"/>
        <v>6.9893514580304839</v>
      </c>
      <c r="BM391" s="43">
        <f t="shared" si="356"/>
        <v>-21.763436445200881</v>
      </c>
    </row>
    <row r="392" spans="14:65" x14ac:dyDescent="0.25">
      <c r="N392" s="9">
        <v>74</v>
      </c>
      <c r="O392" s="34">
        <f t="shared" si="359"/>
        <v>54954.087385762505</v>
      </c>
      <c r="P392" s="33" t="str">
        <f t="shared" si="309"/>
        <v>16.5157725627975</v>
      </c>
      <c r="Q392" s="4" t="str">
        <f t="shared" si="310"/>
        <v>1+893.419372306461i</v>
      </c>
      <c r="R392" s="4">
        <f t="shared" si="322"/>
        <v>893.41993195387727</v>
      </c>
      <c r="S392" s="4">
        <f t="shared" si="323"/>
        <v>1.5696770320791222</v>
      </c>
      <c r="T392" s="4" t="str">
        <f t="shared" si="311"/>
        <v>1+5.67996645240123i</v>
      </c>
      <c r="U392" s="4">
        <f t="shared" si="324"/>
        <v>5.7673233740101137</v>
      </c>
      <c r="V392" s="4">
        <f t="shared" si="325"/>
        <v>1.3965248869632767</v>
      </c>
      <c r="W392" t="str">
        <f t="shared" si="312"/>
        <v>1-86.3216786079215i</v>
      </c>
      <c r="X392" s="4">
        <f t="shared" si="326"/>
        <v>86.327470701331748</v>
      </c>
      <c r="Y392" s="4">
        <f t="shared" si="327"/>
        <v>-1.5592122695152182</v>
      </c>
      <c r="Z392" t="str">
        <f t="shared" si="313"/>
        <v>0.937604303297479+1.2085035005109i</v>
      </c>
      <c r="AA392" s="4">
        <f t="shared" si="328"/>
        <v>1.5295693970229172</v>
      </c>
      <c r="AB392" s="4">
        <f t="shared" si="329"/>
        <v>0.9109622205492226</v>
      </c>
      <c r="AC392" s="47" t="str">
        <f t="shared" si="330"/>
        <v>-5.28561986283073-2.87565806303788i</v>
      </c>
      <c r="AD392" s="20">
        <f t="shared" si="331"/>
        <v>15.587947805863273</v>
      </c>
      <c r="AE392" s="43">
        <f t="shared" si="332"/>
        <v>-151.45146007034742</v>
      </c>
      <c r="AF392" t="str">
        <f t="shared" si="314"/>
        <v>247.084651286898</v>
      </c>
      <c r="AG392" t="str">
        <f t="shared" si="315"/>
        <v>1+873.69799791477i</v>
      </c>
      <c r="AH392">
        <f t="shared" si="333"/>
        <v>873.69857019470817</v>
      </c>
      <c r="AI392">
        <f t="shared" si="334"/>
        <v>1.5696517670434558</v>
      </c>
      <c r="AJ392" t="str">
        <f t="shared" si="316"/>
        <v>1+5.67996645240123i</v>
      </c>
      <c r="AK392">
        <f t="shared" si="335"/>
        <v>5.7673233740101137</v>
      </c>
      <c r="AL392">
        <f t="shared" si="336"/>
        <v>1.3965248869632767</v>
      </c>
      <c r="AM392" t="str">
        <f t="shared" si="317"/>
        <v>1-5.64251163684623i</v>
      </c>
      <c r="AN392">
        <f t="shared" si="337"/>
        <v>5.7304395618438484</v>
      </c>
      <c r="AO392">
        <f t="shared" si="338"/>
        <v>-1.3953915853258108</v>
      </c>
      <c r="AP392" s="41" t="str">
        <f t="shared" si="339"/>
        <v>0.0212898842472373-9.34641920222613i</v>
      </c>
      <c r="AQ392">
        <f t="shared" si="340"/>
        <v>19.412927652945871</v>
      </c>
      <c r="AR392" s="43">
        <f t="shared" si="341"/>
        <v>-89.869488156099834</v>
      </c>
      <c r="AS392" t="str">
        <f t="shared" si="318"/>
        <v>-0.0000166666666666667</v>
      </c>
      <c r="AT392" t="str">
        <f t="shared" si="319"/>
        <v>0.00117397482906773i</v>
      </c>
      <c r="AU392">
        <f t="shared" si="342"/>
        <v>1.17397482906773E-3</v>
      </c>
      <c r="AV392">
        <f t="shared" si="343"/>
        <v>1.5707963267948966</v>
      </c>
      <c r="AW392" t="str">
        <f t="shared" si="320"/>
        <v>1+1.19306715327748i</v>
      </c>
      <c r="AX392">
        <f t="shared" si="344"/>
        <v>1.5567303016995686</v>
      </c>
      <c r="AY392">
        <f t="shared" si="345"/>
        <v>0.87320700676296159</v>
      </c>
      <c r="AZ392" t="str">
        <f t="shared" si="321"/>
        <v>1+40.5642832114345i</v>
      </c>
      <c r="BA392">
        <f t="shared" si="346"/>
        <v>40.576607453771523</v>
      </c>
      <c r="BB392">
        <f t="shared" si="347"/>
        <v>1.5461490899348469</v>
      </c>
      <c r="BC392" s="41" t="str">
        <f t="shared" si="348"/>
        <v>-0.230643933036417+0.289370484265162i</v>
      </c>
      <c r="BD392">
        <f t="shared" si="349"/>
        <v>-8.6349536253942887</v>
      </c>
      <c r="BE392" s="43">
        <f t="shared" si="350"/>
        <v>128.55674122249079</v>
      </c>
      <c r="BF392" s="41" t="str">
        <f t="shared" si="351"/>
        <v>2.05122671998098-0.866249293621946i</v>
      </c>
      <c r="BG392" s="20">
        <f t="shared" si="352"/>
        <v>6.952994180469001</v>
      </c>
      <c r="BH392" s="43">
        <f t="shared" si="353"/>
        <v>-22.894718847856616</v>
      </c>
      <c r="BI392" s="41" t="str">
        <f t="shared" si="357"/>
        <v>2.69966746805671+2.1618555487231i</v>
      </c>
      <c r="BJ392" s="20">
        <f t="shared" si="354"/>
        <v>10.777974027551583</v>
      </c>
      <c r="BK392" s="43">
        <f t="shared" si="358"/>
        <v>38.687253066390987</v>
      </c>
      <c r="BL392">
        <f t="shared" si="355"/>
        <v>6.952994180469001</v>
      </c>
      <c r="BM392" s="43">
        <f t="shared" si="356"/>
        <v>-22.894718847856616</v>
      </c>
    </row>
    <row r="393" spans="14:65" x14ac:dyDescent="0.25">
      <c r="N393" s="9">
        <v>75</v>
      </c>
      <c r="O393" s="34">
        <f t="shared" si="359"/>
        <v>56234.132519034953</v>
      </c>
      <c r="P393" s="33" t="str">
        <f t="shared" si="309"/>
        <v>16.5157725627975</v>
      </c>
      <c r="Q393" s="4" t="str">
        <f t="shared" si="310"/>
        <v>1+914.229782849071i</v>
      </c>
      <c r="R393" s="4">
        <f t="shared" si="322"/>
        <v>914.23032975736442</v>
      </c>
      <c r="S393" s="4">
        <f t="shared" si="323"/>
        <v>1.569702510316864</v>
      </c>
      <c r="T393" s="4" t="str">
        <f t="shared" si="311"/>
        <v>1+5.81226986713196i</v>
      </c>
      <c r="U393" s="4">
        <f t="shared" si="324"/>
        <v>5.8976674209699356</v>
      </c>
      <c r="V393" s="4">
        <f t="shared" si="325"/>
        <v>1.4004146000424642</v>
      </c>
      <c r="W393" t="str">
        <f t="shared" si="312"/>
        <v>1-88.3323688013975i</v>
      </c>
      <c r="X393" s="4">
        <f t="shared" si="326"/>
        <v>88.338029059211536</v>
      </c>
      <c r="Y393" s="4">
        <f t="shared" si="327"/>
        <v>-1.55947593206201</v>
      </c>
      <c r="Z393" t="str">
        <f t="shared" si="313"/>
        <v>0.934663684707265+1.23665316321956i</v>
      </c>
      <c r="AA393" s="4">
        <f t="shared" si="328"/>
        <v>1.5501313652757001</v>
      </c>
      <c r="AB393" s="4">
        <f t="shared" si="329"/>
        <v>0.92359291052394066</v>
      </c>
      <c r="AC393" s="47" t="str">
        <f t="shared" si="330"/>
        <v>-5.35934901370769-2.85335524418256i</v>
      </c>
      <c r="AD393" s="20">
        <f t="shared" si="331"/>
        <v>15.66605496895102</v>
      </c>
      <c r="AE393" s="43">
        <f t="shared" si="332"/>
        <v>-151.96884770192167</v>
      </c>
      <c r="AF393" t="str">
        <f t="shared" si="314"/>
        <v>247.084651286898</v>
      </c>
      <c r="AG393" t="str">
        <f t="shared" si="315"/>
        <v>1+894.049038635908i</v>
      </c>
      <c r="AH393">
        <f t="shared" si="333"/>
        <v>894.04959788917256</v>
      </c>
      <c r="AI393">
        <f t="shared" si="334"/>
        <v>1.5696778203821982</v>
      </c>
      <c r="AJ393" t="str">
        <f t="shared" si="316"/>
        <v>1+5.81226986713196i</v>
      </c>
      <c r="AK393">
        <f t="shared" si="335"/>
        <v>5.8976674209699356</v>
      </c>
      <c r="AL393">
        <f t="shared" si="336"/>
        <v>1.4004146000424642</v>
      </c>
      <c r="AM393" t="str">
        <f t="shared" si="317"/>
        <v>1-5.77394261684735i</v>
      </c>
      <c r="AN393">
        <f t="shared" si="337"/>
        <v>5.8598987484977956</v>
      </c>
      <c r="AO393">
        <f t="shared" si="338"/>
        <v>-1.3993055851927383</v>
      </c>
      <c r="AP393" s="41" t="str">
        <f t="shared" si="339"/>
        <v>0.0212753172787226-9.55110168835751i</v>
      </c>
      <c r="AQ393">
        <f t="shared" si="340"/>
        <v>19.601090927500341</v>
      </c>
      <c r="AR393" s="43">
        <f t="shared" si="341"/>
        <v>-89.872372432887431</v>
      </c>
      <c r="AS393" t="str">
        <f t="shared" si="318"/>
        <v>-0.0000166666666666667</v>
      </c>
      <c r="AT393" t="str">
        <f t="shared" si="319"/>
        <v>0.00120132021569901i</v>
      </c>
      <c r="AU393">
        <f t="shared" si="342"/>
        <v>1.2013202156990099E-3</v>
      </c>
      <c r="AV393">
        <f t="shared" si="343"/>
        <v>1.5707963267948966</v>
      </c>
      <c r="AW393" t="str">
        <f t="shared" si="320"/>
        <v>1+1.2208572572692i</v>
      </c>
      <c r="AX393">
        <f t="shared" si="344"/>
        <v>1.5781294125092764</v>
      </c>
      <c r="AY393">
        <f t="shared" si="345"/>
        <v>0.88451911211540046</v>
      </c>
      <c r="AZ393" t="str">
        <f t="shared" si="321"/>
        <v>1+41.5091467471527i</v>
      </c>
      <c r="BA393">
        <f t="shared" si="346"/>
        <v>41.521190537804394</v>
      </c>
      <c r="BB393">
        <f t="shared" si="347"/>
        <v>1.5467099100479331</v>
      </c>
      <c r="BC393" s="41" t="str">
        <f t="shared" si="348"/>
        <v>-0.224431372330785+0.287872295076094i</v>
      </c>
      <c r="BD393">
        <f t="shared" si="349"/>
        <v>-8.7536570467235961</v>
      </c>
      <c r="BE393" s="43">
        <f t="shared" si="350"/>
        <v>127.94073795393435</v>
      </c>
      <c r="BF393" s="41" t="str">
        <f t="shared" si="351"/>
        <v>2.0242079767563-0.902425667490699i</v>
      </c>
      <c r="BG393" s="20">
        <f t="shared" si="352"/>
        <v>6.9123979222274299</v>
      </c>
      <c r="BH393" s="43">
        <f t="shared" si="353"/>
        <v>-24.028109747987315</v>
      </c>
      <c r="BI393" s="41" t="str">
        <f t="shared" si="357"/>
        <v>2.744722714879+2.14969143360245i</v>
      </c>
      <c r="BJ393" s="20">
        <f t="shared" si="354"/>
        <v>10.847433880776752</v>
      </c>
      <c r="BK393" s="43">
        <f t="shared" si="358"/>
        <v>38.068365521046864</v>
      </c>
      <c r="BL393">
        <f t="shared" si="355"/>
        <v>6.9123979222274299</v>
      </c>
      <c r="BM393" s="43">
        <f t="shared" si="356"/>
        <v>-24.028109747987315</v>
      </c>
    </row>
    <row r="394" spans="14:65" x14ac:dyDescent="0.25">
      <c r="N394" s="9">
        <v>76</v>
      </c>
      <c r="O394" s="34">
        <f t="shared" si="359"/>
        <v>57543.993733715732</v>
      </c>
      <c r="P394" s="33" t="str">
        <f t="shared" si="309"/>
        <v>16.5157725627975</v>
      </c>
      <c r="Q394" s="4" t="str">
        <f t="shared" si="310"/>
        <v>1+935.52493012381i</v>
      </c>
      <c r="R394" s="4">
        <f t="shared" si="322"/>
        <v>935.52546458295808</v>
      </c>
      <c r="S394" s="4">
        <f t="shared" si="323"/>
        <v>1.5697274086004818</v>
      </c>
      <c r="T394" s="4" t="str">
        <f t="shared" si="311"/>
        <v>1+5.94765502428073i</v>
      </c>
      <c r="U394" s="4">
        <f t="shared" si="324"/>
        <v>6.0311359036131664</v>
      </c>
      <c r="V394" s="4">
        <f t="shared" si="325"/>
        <v>1.4042208097175204</v>
      </c>
      <c r="W394" t="str">
        <f t="shared" si="312"/>
        <v>1-90.3898939860293i</v>
      </c>
      <c r="X394" s="4">
        <f t="shared" si="326"/>
        <v>90.395425408621307</v>
      </c>
      <c r="Y394" s="4">
        <f t="shared" si="327"/>
        <v>-1.5597335944374573</v>
      </c>
      <c r="Z394" t="str">
        <f t="shared" si="313"/>
        <v>0.931584479032522+1.26545851580441i</v>
      </c>
      <c r="AA394" s="4">
        <f t="shared" si="328"/>
        <v>1.571379933942201</v>
      </c>
      <c r="AB394" s="4">
        <f t="shared" si="329"/>
        <v>0.93620949231053319</v>
      </c>
      <c r="AC394" s="47" t="str">
        <f t="shared" si="330"/>
        <v>-5.43245888984523-2.8291842543212i</v>
      </c>
      <c r="AD394" s="20">
        <f t="shared" si="331"/>
        <v>15.742152900872524</v>
      </c>
      <c r="AE394" s="43">
        <f t="shared" si="332"/>
        <v>-152.48983437307334</v>
      </c>
      <c r="AF394" t="str">
        <f t="shared" si="314"/>
        <v>247.084651286898</v>
      </c>
      <c r="AG394" t="str">
        <f t="shared" si="315"/>
        <v>1+914.874115991471i</v>
      </c>
      <c r="AH394">
        <f t="shared" si="333"/>
        <v>914.87466251458477</v>
      </c>
      <c r="AI394">
        <f t="shared" si="334"/>
        <v>1.5697032806760147</v>
      </c>
      <c r="AJ394" t="str">
        <f t="shared" si="316"/>
        <v>1+5.94765502428073i</v>
      </c>
      <c r="AK394">
        <f t="shared" si="335"/>
        <v>6.0311359036131664</v>
      </c>
      <c r="AL394">
        <f t="shared" si="336"/>
        <v>1.4042208097175204</v>
      </c>
      <c r="AM394" t="str">
        <f t="shared" si="317"/>
        <v>1-5.9084350176511i</v>
      </c>
      <c r="AN394">
        <f t="shared" si="337"/>
        <v>5.9924622950675079</v>
      </c>
      <c r="AO394">
        <f t="shared" si="338"/>
        <v>-1.4031356258645289</v>
      </c>
      <c r="AP394" s="41" t="str">
        <f t="shared" si="339"/>
        <v>0.0212614059301836-9.76084829356081i</v>
      </c>
      <c r="AQ394">
        <f t="shared" si="340"/>
        <v>19.789771863363747</v>
      </c>
      <c r="AR394" s="43">
        <f t="shared" si="341"/>
        <v>-89.875196615802764</v>
      </c>
      <c r="AS394" t="str">
        <f t="shared" si="318"/>
        <v>-0.0000166666666666667</v>
      </c>
      <c r="AT394" t="str">
        <f t="shared" si="319"/>
        <v>0.00122930255821i</v>
      </c>
      <c r="AU394">
        <f t="shared" si="342"/>
        <v>1.22930255821E-3</v>
      </c>
      <c r="AV394">
        <f t="shared" si="343"/>
        <v>1.5707963267948966</v>
      </c>
      <c r="AW394" t="str">
        <f t="shared" si="320"/>
        <v>1+1.24929467593867i</v>
      </c>
      <c r="AX394">
        <f t="shared" si="344"/>
        <v>1.6002303544579783</v>
      </c>
      <c r="AY394">
        <f t="shared" si="345"/>
        <v>0.89578004142941836</v>
      </c>
      <c r="AZ394" t="str">
        <f t="shared" si="321"/>
        <v>1+42.4760189819148i</v>
      </c>
      <c r="BA394">
        <f t="shared" si="346"/>
        <v>42.487788699248469</v>
      </c>
      <c r="BB394">
        <f t="shared" si="347"/>
        <v>1.5472579789803873</v>
      </c>
      <c r="BC394" s="41" t="str">
        <f t="shared" si="348"/>
        <v>-0.218274893434604+0.286247485396414i</v>
      </c>
      <c r="BD394">
        <f t="shared" si="349"/>
        <v>-8.8745682280980809</v>
      </c>
      <c r="BE394" s="43">
        <f t="shared" si="350"/>
        <v>127.32693626755797</v>
      </c>
      <c r="BF394" s="41" t="str">
        <f t="shared" si="351"/>
        <v>1.99561626379141-0.937487805118772i</v>
      </c>
      <c r="BG394" s="20">
        <f t="shared" si="352"/>
        <v>6.8675846727744538</v>
      </c>
      <c r="BH394" s="43">
        <f t="shared" si="353"/>
        <v>-25.162898105515321</v>
      </c>
      <c r="BI394" s="41" t="str">
        <f t="shared" si="357"/>
        <v>2.78937744825398+2.13663414509183i</v>
      </c>
      <c r="BJ394" s="20">
        <f t="shared" si="354"/>
        <v>10.915203635265666</v>
      </c>
      <c r="BK394" s="43">
        <f t="shared" si="358"/>
        <v>37.451739651755219</v>
      </c>
      <c r="BL394">
        <f t="shared" si="355"/>
        <v>6.8675846727744538</v>
      </c>
      <c r="BM394" s="43">
        <f t="shared" si="356"/>
        <v>-25.162898105515321</v>
      </c>
    </row>
    <row r="395" spans="14:65" x14ac:dyDescent="0.25">
      <c r="N395" s="9">
        <v>77</v>
      </c>
      <c r="O395" s="34">
        <f t="shared" si="359"/>
        <v>58884.365535558936</v>
      </c>
      <c r="P395" s="33" t="str">
        <f t="shared" si="309"/>
        <v>16.5157725627975</v>
      </c>
      <c r="Q395" s="4" t="str">
        <f t="shared" si="310"/>
        <v>1+957.316105099637i</v>
      </c>
      <c r="R395" s="4">
        <f t="shared" si="322"/>
        <v>957.31662739301623</v>
      </c>
      <c r="S395" s="4">
        <f t="shared" si="323"/>
        <v>1.5697517401312517</v>
      </c>
      <c r="T395" s="4" t="str">
        <f t="shared" si="311"/>
        <v>1+6.08619370684988i</v>
      </c>
      <c r="U395" s="4">
        <f t="shared" si="324"/>
        <v>6.167799756582494</v>
      </c>
      <c r="V395" s="4">
        <f t="shared" si="325"/>
        <v>1.4079450927382025</v>
      </c>
      <c r="W395" t="str">
        <f t="shared" si="312"/>
        <v>1-92.495345088904i</v>
      </c>
      <c r="X395" s="4">
        <f t="shared" si="326"/>
        <v>92.500750608389325</v>
      </c>
      <c r="Y395" s="4">
        <f t="shared" si="327"/>
        <v>-1.5599853931206344</v>
      </c>
      <c r="Z395" t="str">
        <f t="shared" si="313"/>
        <v>0.928360154865179+1.29493483124465i</v>
      </c>
      <c r="AA395" s="4">
        <f t="shared" si="328"/>
        <v>1.5933326063041291</v>
      </c>
      <c r="AB395" s="4">
        <f t="shared" si="329"/>
        <v>0.94880699663924584</v>
      </c>
      <c r="AC395" s="47" t="str">
        <f t="shared" si="330"/>
        <v>-5.5048756697321-2.80317367242815i</v>
      </c>
      <c r="AD395" s="20">
        <f t="shared" si="331"/>
        <v>15.816247402756009</v>
      </c>
      <c r="AE395" s="43">
        <f t="shared" si="332"/>
        <v>-153.01405360056427</v>
      </c>
      <c r="AF395" t="str">
        <f t="shared" si="314"/>
        <v>247.084651286898</v>
      </c>
      <c r="AG395" t="str">
        <f t="shared" si="315"/>
        <v>1+936.184271713122i</v>
      </c>
      <c r="AH395">
        <f t="shared" si="333"/>
        <v>936.1848057958581</v>
      </c>
      <c r="AI395">
        <f t="shared" si="334"/>
        <v>1.5697281614241578</v>
      </c>
      <c r="AJ395" t="str">
        <f t="shared" si="316"/>
        <v>1+6.08619370684988i</v>
      </c>
      <c r="AK395">
        <f t="shared" si="335"/>
        <v>6.167799756582494</v>
      </c>
      <c r="AL395">
        <f t="shared" si="336"/>
        <v>1.4079450927382025</v>
      </c>
      <c r="AM395" t="str">
        <f t="shared" si="317"/>
        <v>1-6.04606014890858i</v>
      </c>
      <c r="AN395">
        <f t="shared" si="337"/>
        <v>6.128200659591724</v>
      </c>
      <c r="AO395">
        <f t="shared" si="338"/>
        <v>-1.4068832883848021</v>
      </c>
      <c r="AP395" s="41" t="str">
        <f t="shared" si="339"/>
        <v>0.0212481206940041-9.97577022836031i</v>
      </c>
      <c r="AQ395">
        <f t="shared" si="340"/>
        <v>19.978948452819079</v>
      </c>
      <c r="AR395" s="43">
        <f t="shared" si="341"/>
        <v>-89.877961724316194</v>
      </c>
      <c r="AS395" t="str">
        <f t="shared" si="318"/>
        <v>-0.0000166666666666667</v>
      </c>
      <c r="AT395" t="str">
        <f t="shared" si="319"/>
        <v>0.00125793669320909i</v>
      </c>
      <c r="AU395">
        <f t="shared" si="342"/>
        <v>1.25793669320909E-3</v>
      </c>
      <c r="AV395">
        <f t="shared" si="343"/>
        <v>1.5707963267948966</v>
      </c>
      <c r="AW395" t="str">
        <f t="shared" si="320"/>
        <v>1+1.2783944871817i</v>
      </c>
      <c r="AX395">
        <f t="shared" si="344"/>
        <v>1.6230503580778268</v>
      </c>
      <c r="AY395">
        <f t="shared" si="345"/>
        <v>0.90698434222538171</v>
      </c>
      <c r="AZ395" t="str">
        <f t="shared" si="321"/>
        <v>1+43.4654125641778i</v>
      </c>
      <c r="BA395">
        <f t="shared" si="346"/>
        <v>43.476914441737755</v>
      </c>
      <c r="BB395">
        <f t="shared" si="347"/>
        <v>1.5477935860078276</v>
      </c>
      <c r="BC395" s="41" t="str">
        <f t="shared" si="348"/>
        <v>-0.212180175183639+0.284499175649096i</v>
      </c>
      <c r="BD395">
        <f t="shared" si="349"/>
        <v>-8.9976663196056101</v>
      </c>
      <c r="BE395" s="43">
        <f t="shared" si="350"/>
        <v>126.71566514170404</v>
      </c>
      <c r="BF395" s="41" t="str">
        <f t="shared" si="351"/>
        <v>1.96552608297497-0.971354709203578i</v>
      </c>
      <c r="BG395" s="20">
        <f t="shared" si="352"/>
        <v>6.8185810831504101</v>
      </c>
      <c r="BH395" s="43">
        <f t="shared" si="353"/>
        <v>-26.298388458860188</v>
      </c>
      <c r="BI395" s="41" t="str">
        <f t="shared" si="357"/>
        <v>2.83358997646213+2.12270574746676i</v>
      </c>
      <c r="BJ395" s="20">
        <f t="shared" si="354"/>
        <v>10.981282133213481</v>
      </c>
      <c r="BK395" s="43">
        <f t="shared" si="358"/>
        <v>36.837703417387822</v>
      </c>
      <c r="BL395">
        <f t="shared" si="355"/>
        <v>6.8185810831504101</v>
      </c>
      <c r="BM395" s="43">
        <f t="shared" si="356"/>
        <v>-26.298388458860188</v>
      </c>
    </row>
    <row r="396" spans="14:65" x14ac:dyDescent="0.25">
      <c r="N396" s="9">
        <v>78</v>
      </c>
      <c r="O396" s="34">
        <f t="shared" si="359"/>
        <v>60255.95860743591</v>
      </c>
      <c r="P396" s="33" t="str">
        <f t="shared" si="309"/>
        <v>16.5157725627975</v>
      </c>
      <c r="Q396" s="4" t="str">
        <f t="shared" si="310"/>
        <v>1+979.614861745967i</v>
      </c>
      <c r="R396" s="4">
        <f t="shared" si="322"/>
        <v>979.61537215050384</v>
      </c>
      <c r="S396" s="4">
        <f t="shared" si="323"/>
        <v>1.5697755178099579</v>
      </c>
      <c r="T396" s="4" t="str">
        <f t="shared" si="311"/>
        <v>1+6.22795936988273i</v>
      </c>
      <c r="U396" s="4">
        <f t="shared" si="324"/>
        <v>6.3077315980398287</v>
      </c>
      <c r="V396" s="4">
        <f t="shared" si="325"/>
        <v>1.4115890103050286</v>
      </c>
      <c r="W396" t="str">
        <f t="shared" si="312"/>
        <v>1-94.6498384480658i</v>
      </c>
      <c r="X396" s="4">
        <f t="shared" si="326"/>
        <v>94.655120929852245</v>
      </c>
      <c r="Y396" s="4">
        <f t="shared" si="327"/>
        <v>-1.5602314614907451</v>
      </c>
      <c r="Z396" t="str">
        <f t="shared" si="313"/>
        <v>0.924983872981384+1.32509773827292i</v>
      </c>
      <c r="AA396" s="4">
        <f t="shared" si="328"/>
        <v>1.6160071724010538</v>
      </c>
      <c r="AB396" s="4">
        <f t="shared" si="329"/>
        <v>0.9613805926019533</v>
      </c>
      <c r="AC396" s="47" t="str">
        <f t="shared" si="330"/>
        <v>-5.57652798199399-2.77535570225138i</v>
      </c>
      <c r="AD396" s="20">
        <f t="shared" si="331"/>
        <v>15.888346761896381</v>
      </c>
      <c r="AE396" s="43">
        <f t="shared" si="332"/>
        <v>-153.54114752477281</v>
      </c>
      <c r="AF396" t="str">
        <f t="shared" si="314"/>
        <v>247.084651286898</v>
      </c>
      <c r="AG396" t="str">
        <f t="shared" si="315"/>
        <v>1+957.990804727501i</v>
      </c>
      <c r="AH396">
        <f t="shared" si="333"/>
        <v>957.99132665303648</v>
      </c>
      <c r="AI396">
        <f t="shared" si="334"/>
        <v>1.5697524758186066</v>
      </c>
      <c r="AJ396" t="str">
        <f t="shared" si="316"/>
        <v>1+6.22795936988273i</v>
      </c>
      <c r="AK396">
        <f t="shared" si="335"/>
        <v>6.3077315980398287</v>
      </c>
      <c r="AL396">
        <f t="shared" si="336"/>
        <v>1.4115890103050286</v>
      </c>
      <c r="AM396" t="str">
        <f t="shared" si="317"/>
        <v>1-6.1868909812861i</v>
      </c>
      <c r="AN396">
        <f t="shared" si="337"/>
        <v>6.2671859725333894</v>
      </c>
      <c r="AO396">
        <f t="shared" si="338"/>
        <v>-1.4105501385149222</v>
      </c>
      <c r="AP396" s="41" t="str">
        <f t="shared" si="339"/>
        <v>0.0212354333906178-10.1959814473022i</v>
      </c>
      <c r="AQ396">
        <f t="shared" si="340"/>
        <v>20.168599569591109</v>
      </c>
      <c r="AR396" s="43">
        <f t="shared" si="341"/>
        <v>-89.880668775589655</v>
      </c>
      <c r="AS396" t="str">
        <f t="shared" si="318"/>
        <v>-0.0000166666666666667</v>
      </c>
      <c r="AT396" t="str">
        <f t="shared" si="319"/>
        <v>0.00128723780289369i</v>
      </c>
      <c r="AU396">
        <f t="shared" si="342"/>
        <v>1.28723780289369E-3</v>
      </c>
      <c r="AV396">
        <f t="shared" si="343"/>
        <v>1.5707963267948966</v>
      </c>
      <c r="AW396" t="str">
        <f t="shared" si="320"/>
        <v>1+1.30817212010338i</v>
      </c>
      <c r="AX396">
        <f t="shared" si="344"/>
        <v>1.6466069038528206</v>
      </c>
      <c r="AY396">
        <f t="shared" si="345"/>
        <v>0.91812670339496438</v>
      </c>
      <c r="AZ396" t="str">
        <f t="shared" si="321"/>
        <v>1+44.477852083515i</v>
      </c>
      <c r="BA396">
        <f t="shared" si="346"/>
        <v>44.489092213294711</v>
      </c>
      <c r="BB396">
        <f t="shared" si="347"/>
        <v>1.5483170138862676</v>
      </c>
      <c r="BC396" s="41" t="str">
        <f t="shared" si="348"/>
        <v>-0.206152653545474+0.282630774432407i</v>
      </c>
      <c r="BD396">
        <f t="shared" si="349"/>
        <v>-9.1229284714782803</v>
      </c>
      <c r="BE396" s="43">
        <f t="shared" si="350"/>
        <v>126.10724508119054</v>
      </c>
      <c r="BF396" s="41" t="str">
        <f t="shared" si="351"/>
        <v>1.93401697251135-1.00395147964326i</v>
      </c>
      <c r="BG396" s="20">
        <f t="shared" si="352"/>
        <v>6.7654182904180873</v>
      </c>
      <c r="BH396" s="43">
        <f t="shared" si="353"/>
        <v>-27.433902443582198</v>
      </c>
      <c r="BI396" s="41" t="str">
        <f t="shared" si="357"/>
        <v>2.87732039160681+2.10793041784637i</v>
      </c>
      <c r="BJ396" s="20">
        <f t="shared" si="354"/>
        <v>11.045671098112829</v>
      </c>
      <c r="BK396" s="43">
        <f t="shared" si="358"/>
        <v>36.226576305600908</v>
      </c>
      <c r="BL396">
        <f t="shared" si="355"/>
        <v>6.7654182904180873</v>
      </c>
      <c r="BM396" s="43">
        <f t="shared" si="356"/>
        <v>-27.433902443582198</v>
      </c>
    </row>
    <row r="397" spans="14:65" x14ac:dyDescent="0.25">
      <c r="N397" s="9">
        <v>79</v>
      </c>
      <c r="O397" s="34">
        <f t="shared" si="359"/>
        <v>61659.500186148245</v>
      </c>
      <c r="P397" s="33" t="str">
        <f t="shared" si="309"/>
        <v>16.5157725627975</v>
      </c>
      <c r="Q397" s="4" t="str">
        <f t="shared" si="310"/>
        <v>1+1002.43302315873i</v>
      </c>
      <c r="R397" s="4">
        <f t="shared" si="322"/>
        <v>1002.4335219450469</v>
      </c>
      <c r="S397" s="4">
        <f t="shared" si="323"/>
        <v>1.5697987542437331</v>
      </c>
      <c r="T397" s="4" t="str">
        <f t="shared" si="311"/>
        <v>1+6.37302717941024i</v>
      </c>
      <c r="U397" s="4">
        <f t="shared" si="324"/>
        <v>6.4510057688318376</v>
      </c>
      <c r="V397" s="4">
        <f t="shared" si="325"/>
        <v>1.4151541071992269</v>
      </c>
      <c r="W397" t="str">
        <f t="shared" si="312"/>
        <v>1-96.854516404411i</v>
      </c>
      <c r="X397" s="4">
        <f t="shared" si="326"/>
        <v>96.859678648714919</v>
      </c>
      <c r="Y397" s="4">
        <f t="shared" si="327"/>
        <v>-1.5604719298972332</v>
      </c>
      <c r="Z397" t="str">
        <f t="shared" si="313"/>
        <v>0.921448471834595+1.35596322966175i</v>
      </c>
      <c r="AA397" s="4">
        <f t="shared" si="328"/>
        <v>1.6394217170822869</v>
      </c>
      <c r="AB397" s="4">
        <f t="shared" si="329"/>
        <v>0.97392560039123233</v>
      </c>
      <c r="AC397" s="47" t="str">
        <f t="shared" si="330"/>
        <v>-5.64734713727757-2.74576594517674i</v>
      </c>
      <c r="AD397" s="20">
        <f t="shared" si="331"/>
        <v>15.958461653019004</v>
      </c>
      <c r="AE397" s="43">
        <f t="shared" si="332"/>
        <v>-154.07076769384875</v>
      </c>
      <c r="AF397" t="str">
        <f t="shared" si="314"/>
        <v>247.084651286898</v>
      </c>
      <c r="AG397" t="str">
        <f t="shared" si="315"/>
        <v>1+980.30527714705i</v>
      </c>
      <c r="AH397">
        <f t="shared" si="333"/>
        <v>980.3057871921161</v>
      </c>
      <c r="AI397">
        <f t="shared" si="334"/>
        <v>1.5697762367510595</v>
      </c>
      <c r="AJ397" t="str">
        <f t="shared" si="316"/>
        <v>1+6.37302717941024i</v>
      </c>
      <c r="AK397">
        <f t="shared" si="335"/>
        <v>6.4510057688318376</v>
      </c>
      <c r="AL397">
        <f t="shared" si="336"/>
        <v>1.4151541071992269</v>
      </c>
      <c r="AM397" t="str">
        <f t="shared" si="317"/>
        <v>1-6.33100218515506i</v>
      </c>
      <c r="AN397">
        <f t="shared" si="337"/>
        <v>6.4094920756982088</v>
      </c>
      <c r="AO397">
        <f t="shared" si="338"/>
        <v>-1.4141377258377315</v>
      </c>
      <c r="AP397" s="41" t="str">
        <f t="shared" si="339"/>
        <v>0.0212233171087263-10.4215987093747i</v>
      </c>
      <c r="AQ397">
        <f t="shared" si="340"/>
        <v>20.358704938208501</v>
      </c>
      <c r="AR397" s="43">
        <f t="shared" si="341"/>
        <v>-89.883318783375373</v>
      </c>
      <c r="AS397" t="str">
        <f t="shared" si="318"/>
        <v>-0.0000166666666666667</v>
      </c>
      <c r="AT397" t="str">
        <f t="shared" si="319"/>
        <v>0.00131722142309999i</v>
      </c>
      <c r="AU397">
        <f t="shared" si="342"/>
        <v>1.3172214230999901E-3</v>
      </c>
      <c r="AV397">
        <f t="shared" si="343"/>
        <v>1.5707963267948966</v>
      </c>
      <c r="AW397" t="str">
        <f t="shared" si="320"/>
        <v>1+1.33864336319885i</v>
      </c>
      <c r="AX397">
        <f t="shared" si="344"/>
        <v>1.6709177280274239</v>
      </c>
      <c r="AY397">
        <f t="shared" si="345"/>
        <v>0.92920196648864528</v>
      </c>
      <c r="AZ397" t="str">
        <f t="shared" si="321"/>
        <v>1+45.5138743487608i</v>
      </c>
      <c r="BA397">
        <f t="shared" si="346"/>
        <v>45.524858684402155</v>
      </c>
      <c r="BB397">
        <f t="shared" si="347"/>
        <v>1.5488285389961827</v>
      </c>
      <c r="BC397" s="41" t="str">
        <f t="shared" si="348"/>
        <v>-0.200197504518429+0.280645957505069i</v>
      </c>
      <c r="BD397">
        <f t="shared" si="349"/>
        <v>-9.2503299245973576</v>
      </c>
      <c r="BE397" s="43">
        <f t="shared" si="350"/>
        <v>125.50198747883866</v>
      </c>
      <c r="BF397" s="41" t="str">
        <f t="shared" si="351"/>
        <v>1.9011729168012-1.0352096544887i</v>
      </c>
      <c r="BG397" s="20">
        <f t="shared" si="352"/>
        <v>6.7081317284216375</v>
      </c>
      <c r="BH397" s="43">
        <f t="shared" si="353"/>
        <v>-28.568780215009991</v>
      </c>
      <c r="BI397" s="41" t="str">
        <f t="shared" si="357"/>
        <v>2.92053069340328+2.09233429286071i</v>
      </c>
      <c r="BJ397" s="20">
        <f t="shared" si="354"/>
        <v>11.108375013611138</v>
      </c>
      <c r="BK397" s="43">
        <f t="shared" si="358"/>
        <v>35.61866869546337</v>
      </c>
      <c r="BL397">
        <f t="shared" si="355"/>
        <v>6.7081317284216375</v>
      </c>
      <c r="BM397" s="43">
        <f t="shared" si="356"/>
        <v>-28.568780215009991</v>
      </c>
    </row>
    <row r="398" spans="14:65" x14ac:dyDescent="0.25">
      <c r="N398" s="9">
        <v>80</v>
      </c>
      <c r="O398" s="34">
        <f t="shared" si="359"/>
        <v>63095.734448019342</v>
      </c>
      <c r="P398" s="33" t="str">
        <f t="shared" si="309"/>
        <v>16.5157725627975</v>
      </c>
      <c r="Q398" s="4" t="str">
        <f t="shared" si="310"/>
        <v>1+1025.78268782913i</v>
      </c>
      <c r="R398" s="4">
        <f t="shared" si="322"/>
        <v>1025.7831752616896</v>
      </c>
      <c r="S398" s="4">
        <f t="shared" si="323"/>
        <v>1.5698214617527413</v>
      </c>
      <c r="T398" s="4" t="str">
        <f t="shared" si="311"/>
        <v>1+6.52147405230528i</v>
      </c>
      <c r="U398" s="4">
        <f t="shared" si="324"/>
        <v>6.5976983725304574</v>
      </c>
      <c r="V398" s="4">
        <f t="shared" si="325"/>
        <v>1.4186419110005102</v>
      </c>
      <c r="W398" t="str">
        <f t="shared" si="312"/>
        <v>1-99.110547907375i</v>
      </c>
      <c r="X398" s="4">
        <f t="shared" si="326"/>
        <v>99.115592650702922</v>
      </c>
      <c r="Y398" s="4">
        <f t="shared" si="327"/>
        <v>-1.5607069257283257</v>
      </c>
      <c r="Z398" t="str">
        <f t="shared" si="313"/>
        <v>0.91774645236498+1.38754767070325i</v>
      </c>
      <c r="AA398" s="4">
        <f t="shared" si="328"/>
        <v>1.6635946288992762</v>
      </c>
      <c r="AB398" s="4">
        <f t="shared" si="329"/>
        <v>0.98643750322934765</v>
      </c>
      <c r="AC398" s="47" t="str">
        <f t="shared" si="330"/>
        <v>-5.71726733701679-2.71444315651658i</v>
      </c>
      <c r="AD398" s="20">
        <f t="shared" si="331"/>
        <v>16.026605032979237</v>
      </c>
      <c r="AE398" s="43">
        <f t="shared" si="332"/>
        <v>-154.60257579632142</v>
      </c>
      <c r="AF398" t="str">
        <f t="shared" si="314"/>
        <v>247.084651286898</v>
      </c>
      <c r="AG398" t="str">
        <f t="shared" si="315"/>
        <v>1+1003.13952040042i</v>
      </c>
      <c r="AH398">
        <f t="shared" si="333"/>
        <v>1003.1400188354489</v>
      </c>
      <c r="AI398">
        <f t="shared" si="334"/>
        <v>1.56979945681977</v>
      </c>
      <c r="AJ398" t="str">
        <f t="shared" si="316"/>
        <v>1+6.52147405230528i</v>
      </c>
      <c r="AK398">
        <f t="shared" si="335"/>
        <v>6.5976983725304574</v>
      </c>
      <c r="AL398">
        <f t="shared" si="336"/>
        <v>1.4186419110005102</v>
      </c>
      <c r="AM398" t="str">
        <f t="shared" si="317"/>
        <v>1-6.4784701701833i</v>
      </c>
      <c r="AN398">
        <f t="shared" si="337"/>
        <v>6.5551945620213932</v>
      </c>
      <c r="AO398">
        <f t="shared" si="338"/>
        <v>-1.4176475829506303</v>
      </c>
      <c r="AP398" s="41" t="str">
        <f t="shared" si="339"/>
        <v>0.0212117461482474-10.6527416399161i</v>
      </c>
      <c r="AQ398">
        <f t="shared" si="340"/>
        <v>20.549245104020294</v>
      </c>
      <c r="AR398" s="43">
        <f t="shared" si="341"/>
        <v>-89.885912756992354</v>
      </c>
      <c r="AS398" t="str">
        <f t="shared" si="318"/>
        <v>-0.0000166666666666667</v>
      </c>
      <c r="AT398" t="str">
        <f t="shared" si="319"/>
        <v>0.0013479034515403i</v>
      </c>
      <c r="AU398">
        <f t="shared" si="342"/>
        <v>1.3479034515403001E-3</v>
      </c>
      <c r="AV398">
        <f t="shared" si="343"/>
        <v>1.5707963267948966</v>
      </c>
      <c r="AW398" t="str">
        <f t="shared" si="320"/>
        <v>1+1.36982437272452i</v>
      </c>
      <c r="AX398">
        <f t="shared" si="344"/>
        <v>1.6960008290416975</v>
      </c>
      <c r="AY398">
        <f t="shared" si="345"/>
        <v>0.9402051361178756</v>
      </c>
      <c r="AZ398" t="str">
        <f t="shared" si="321"/>
        <v>1+46.5740286726336i</v>
      </c>
      <c r="BA398">
        <f t="shared" si="346"/>
        <v>46.584763032554932</v>
      </c>
      <c r="BB398">
        <f t="shared" si="347"/>
        <v>1.5493284314835865</v>
      </c>
      <c r="BC398" s="41" t="str">
        <f t="shared" si="348"/>
        <v>-0.194319629090509+0.278548645686422i</v>
      </c>
      <c r="BD398">
        <f t="shared" si="349"/>
        <v>-9.3798441067304807</v>
      </c>
      <c r="BE398" s="43">
        <f t="shared" si="350"/>
        <v>124.90019402755597</v>
      </c>
      <c r="BF398" s="41" t="str">
        <f t="shared" si="351"/>
        <v>1.86708173338085-1.06506748639167i</v>
      </c>
      <c r="BG398" s="20">
        <f t="shared" si="352"/>
        <v>6.6467609262487368</v>
      </c>
      <c r="BH398" s="43">
        <f t="shared" si="353"/>
        <v>-29.702381768765488</v>
      </c>
      <c r="BI398" s="41" t="str">
        <f t="shared" si="357"/>
        <v>2.96318489800209+2.07594530742776i</v>
      </c>
      <c r="BJ398" s="20">
        <f t="shared" si="354"/>
        <v>11.169400997289811</v>
      </c>
      <c r="BK398" s="43">
        <f t="shared" si="358"/>
        <v>35.014281270563714</v>
      </c>
      <c r="BL398">
        <f t="shared" si="355"/>
        <v>6.6467609262487368</v>
      </c>
      <c r="BM398" s="43">
        <f t="shared" si="356"/>
        <v>-29.702381768765488</v>
      </c>
    </row>
    <row r="399" spans="14:65" x14ac:dyDescent="0.25">
      <c r="N399" s="9">
        <v>81</v>
      </c>
      <c r="O399" s="34">
        <f t="shared" si="359"/>
        <v>64565.422903465682</v>
      </c>
      <c r="P399" s="33" t="str">
        <f t="shared" si="309"/>
        <v>16.5157725627975</v>
      </c>
      <c r="Q399" s="4" t="str">
        <f t="shared" si="310"/>
        <v>1+1049.67623605847i</v>
      </c>
      <c r="R399" s="4">
        <f t="shared" si="322"/>
        <v>1049.6767123957152</v>
      </c>
      <c r="S399" s="4">
        <f t="shared" si="323"/>
        <v>1.5698436523767108</v>
      </c>
      <c r="T399" s="4" t="str">
        <f t="shared" si="311"/>
        <v>1+6.67337869706477i</v>
      </c>
      <c r="U399" s="4">
        <f t="shared" si="324"/>
        <v>6.7478873163707984</v>
      </c>
      <c r="V399" s="4">
        <f t="shared" si="325"/>
        <v>1.422053931387484</v>
      </c>
      <c r="W399" t="str">
        <f t="shared" si="312"/>
        <v>1-101.419129134723i</v>
      </c>
      <c r="X399" s="4">
        <f t="shared" si="326"/>
        <v>101.42405905131987</v>
      </c>
      <c r="Y399" s="4">
        <f t="shared" si="327"/>
        <v>-1.5609365734780463</v>
      </c>
      <c r="Z399" t="str">
        <f t="shared" si="313"/>
        <v>0.913869962092905+1.41986780788612i</v>
      </c>
      <c r="AA399" s="4">
        <f t="shared" si="328"/>
        <v>1.6885446098599299</v>
      </c>
      <c r="AB399" s="4">
        <f t="shared" si="329"/>
        <v>0.99891195843353864</v>
      </c>
      <c r="AC399" s="47" t="str">
        <f t="shared" si="330"/>
        <v>-5.7862258578634-2.68142898781727i</v>
      </c>
      <c r="AD399" s="20">
        <f t="shared" si="331"/>
        <v>16.09279202961179</v>
      </c>
      <c r="AE399" s="43">
        <f t="shared" si="332"/>
        <v>-155.13624433939245</v>
      </c>
      <c r="AF399" t="str">
        <f t="shared" si="314"/>
        <v>247.084651286898</v>
      </c>
      <c r="AG399" t="str">
        <f t="shared" si="315"/>
        <v>1+1026.50564150563i</v>
      </c>
      <c r="AH399">
        <f t="shared" si="333"/>
        <v>1026.5061285948977</v>
      </c>
      <c r="AI399">
        <f t="shared" si="334"/>
        <v>1.5698221483362258</v>
      </c>
      <c r="AJ399" t="str">
        <f t="shared" si="316"/>
        <v>1+6.67337869706477i</v>
      </c>
      <c r="AK399">
        <f t="shared" si="335"/>
        <v>6.7478873163707984</v>
      </c>
      <c r="AL399">
        <f t="shared" si="336"/>
        <v>1.422053931387484</v>
      </c>
      <c r="AM399" t="str">
        <f t="shared" si="317"/>
        <v>1-6.62937312584849i</v>
      </c>
      <c r="AN399">
        <f t="shared" si="337"/>
        <v>6.704370816245337</v>
      </c>
      <c r="AO399">
        <f t="shared" si="338"/>
        <v>-1.4210812247427598</v>
      </c>
      <c r="AP399" s="41" t="str">
        <f t="shared" si="339"/>
        <v>0.0212006959657592-10.8895327940422i</v>
      </c>
      <c r="AQ399">
        <f t="shared" si="340"/>
        <v>20.740201403891444</v>
      </c>
      <c r="AR399" s="43">
        <f t="shared" si="341"/>
        <v>-89.888451700378582</v>
      </c>
      <c r="AS399" t="str">
        <f t="shared" si="318"/>
        <v>-0.0000166666666666667</v>
      </c>
      <c r="AT399" t="str">
        <f t="shared" si="319"/>
        <v>0.00137930015623223i</v>
      </c>
      <c r="AU399">
        <f t="shared" si="342"/>
        <v>1.37930015623223E-3</v>
      </c>
      <c r="AV399">
        <f t="shared" si="343"/>
        <v>1.5707963267948966</v>
      </c>
      <c r="AW399" t="str">
        <f t="shared" si="320"/>
        <v>1+1.40173168126438i</v>
      </c>
      <c r="AX399">
        <f t="shared" si="344"/>
        <v>1.7218744745945522</v>
      </c>
      <c r="AY399">
        <f t="shared" si="345"/>
        <v>0.95113138943183628</v>
      </c>
      <c r="AZ399" t="str">
        <f t="shared" si="321"/>
        <v>1+47.658877162989i</v>
      </c>
      <c r="BA399">
        <f t="shared" si="346"/>
        <v>47.669367233443268</v>
      </c>
      <c r="BB399">
        <f t="shared" si="347"/>
        <v>1.5498169553981647</v>
      </c>
      <c r="BC399" s="41" t="str">
        <f t="shared" si="348"/>
        <v>-0.188523640321704+0.276342981896557i</v>
      </c>
      <c r="BD399">
        <f t="shared" si="349"/>
        <v>-9.5114427337510286</v>
      </c>
      <c r="BE399" s="43">
        <f t="shared" si="350"/>
        <v>124.30215618527161</v>
      </c>
      <c r="BF399" s="41" t="str">
        <f t="shared" si="351"/>
        <v>1.83183444468527-1.09347015344148i</v>
      </c>
      <c r="BG399" s="20">
        <f t="shared" si="352"/>
        <v>6.5813492958607469</v>
      </c>
      <c r="BH399" s="43">
        <f t="shared" si="353"/>
        <v>-30.834088154120835</v>
      </c>
      <c r="BI399" s="41" t="str">
        <f t="shared" si="357"/>
        <v>3.00524913138515+2.05879302727687i</v>
      </c>
      <c r="BJ399" s="20">
        <f t="shared" si="354"/>
        <v>11.228758670140413</v>
      </c>
      <c r="BK399" s="43">
        <f t="shared" si="358"/>
        <v>34.413704484892989</v>
      </c>
      <c r="BL399">
        <f t="shared" si="355"/>
        <v>6.5813492958607469</v>
      </c>
      <c r="BM399" s="43">
        <f t="shared" si="356"/>
        <v>-30.834088154120835</v>
      </c>
    </row>
    <row r="400" spans="14:65" x14ac:dyDescent="0.25">
      <c r="N400" s="9">
        <v>82</v>
      </c>
      <c r="O400" s="34">
        <f t="shared" si="359"/>
        <v>66069.344800759733</v>
      </c>
      <c r="P400" s="33" t="str">
        <f t="shared" si="309"/>
        <v>16.5157725627975</v>
      </c>
      <c r="Q400" s="4" t="str">
        <f t="shared" si="310"/>
        <v>1+1074.12633652227i</v>
      </c>
      <c r="R400" s="4">
        <f t="shared" si="322"/>
        <v>1074.1268020167606</v>
      </c>
      <c r="S400" s="4">
        <f t="shared" si="323"/>
        <v>1.5698653378813165</v>
      </c>
      <c r="T400" s="4" t="str">
        <f t="shared" si="311"/>
        <v>1+6.82882165554206i</v>
      </c>
      <c r="U400" s="4">
        <f t="shared" si="324"/>
        <v>6.9016523531108271</v>
      </c>
      <c r="V400" s="4">
        <f t="shared" si="325"/>
        <v>1.4253916595157299</v>
      </c>
      <c r="W400" t="str">
        <f t="shared" si="312"/>
        <v>1-103.781484126779i</v>
      </c>
      <c r="X400" s="4">
        <f t="shared" si="326"/>
        <v>103.78630183004346</v>
      </c>
      <c r="Y400" s="4">
        <f t="shared" si="327"/>
        <v>-1.5611609948117262</v>
      </c>
      <c r="Z400" t="str">
        <f t="shared" si="313"/>
        <v>0.909810778462775+1.4529407777749i</v>
      </c>
      <c r="AA400" s="4">
        <f t="shared" si="328"/>
        <v>1.7142906860646976</v>
      </c>
      <c r="AB400" s="4">
        <f t="shared" si="329"/>
        <v>1.0113448075733116</v>
      </c>
      <c r="AC400" s="47" t="str">
        <f t="shared" si="330"/>
        <v>-5.85416321088401-2.64676771785623i</v>
      </c>
      <c r="AD400" s="20">
        <f t="shared" si="331"/>
        <v>16.15703982547473</v>
      </c>
      <c r="AE400" s="43">
        <f t="shared" si="332"/>
        <v>-155.67145727065665</v>
      </c>
      <c r="AF400" t="str">
        <f t="shared" si="314"/>
        <v>247.084651286898</v>
      </c>
      <c r="AG400" t="str">
        <f t="shared" si="315"/>
        <v>1+1050.41602948937i</v>
      </c>
      <c r="AH400">
        <f t="shared" si="333"/>
        <v>1050.4165054911377</v>
      </c>
      <c r="AI400">
        <f t="shared" si="334"/>
        <v>1.5698443233316759</v>
      </c>
      <c r="AJ400" t="str">
        <f t="shared" si="316"/>
        <v>1+6.82882165554206i</v>
      </c>
      <c r="AK400">
        <f t="shared" si="335"/>
        <v>6.9016523531108271</v>
      </c>
      <c r="AL400">
        <f t="shared" si="336"/>
        <v>1.4253916595157299</v>
      </c>
      <c r="AM400" t="str">
        <f t="shared" si="317"/>
        <v>1-6.78379106289512i</v>
      </c>
      <c r="AN400">
        <f t="shared" si="337"/>
        <v>6.8571000565119142</v>
      </c>
      <c r="AO400">
        <f t="shared" si="338"/>
        <v>-1.4244401477512616</v>
      </c>
      <c r="AP400" s="41" t="str">
        <f t="shared" si="339"/>
        <v>0.0211901431224906-11.1320977216266i</v>
      </c>
      <c r="AQ400">
        <f t="shared" si="340"/>
        <v>20.931555937598283</v>
      </c>
      <c r="AR400" s="43">
        <f t="shared" si="341"/>
        <v>-89.890936611214528</v>
      </c>
      <c r="AS400" t="str">
        <f t="shared" si="318"/>
        <v>-0.0000166666666666667</v>
      </c>
      <c r="AT400" t="str">
        <f t="shared" si="319"/>
        <v>0.00141142818412419i</v>
      </c>
      <c r="AU400">
        <f t="shared" si="342"/>
        <v>1.41142818412419E-3</v>
      </c>
      <c r="AV400">
        <f t="shared" si="343"/>
        <v>1.5707963267948966</v>
      </c>
      <c r="AW400" t="str">
        <f t="shared" si="320"/>
        <v>1+1.43438220649576i</v>
      </c>
      <c r="AX400">
        <f t="shared" si="344"/>
        <v>1.7485572093333537</v>
      </c>
      <c r="AY400">
        <f t="shared" si="345"/>
        <v>0.96197608463786988</v>
      </c>
      <c r="AZ400" t="str">
        <f t="shared" si="321"/>
        <v>1+48.768995020856i</v>
      </c>
      <c r="BA400">
        <f t="shared" si="346"/>
        <v>48.779246358920695</v>
      </c>
      <c r="BB400">
        <f t="shared" si="347"/>
        <v>1.5502943688285165</v>
      </c>
      <c r="BC400" s="41" t="str">
        <f t="shared" si="348"/>
        <v>-0.182813852586297+0.274033307562536i</v>
      </c>
      <c r="BD400">
        <f t="shared" si="349"/>
        <v>-9.6450959150742719</v>
      </c>
      <c r="BE400" s="43">
        <f t="shared" si="350"/>
        <v>123.70815469450213</v>
      </c>
      <c r="BF400" s="41" t="str">
        <f t="shared" si="351"/>
        <v>1.79552464232456-1.12036990428712i</v>
      </c>
      <c r="BG400" s="20">
        <f t="shared" si="352"/>
        <v>6.5119439104004515</v>
      </c>
      <c r="BH400" s="43">
        <f t="shared" si="353"/>
        <v>-31.96330257615449</v>
      </c>
      <c r="BI400" s="41" t="str">
        <f t="shared" si="357"/>
        <v>3.04669170706563+2.04090847686528i</v>
      </c>
      <c r="BJ400" s="20">
        <f t="shared" si="354"/>
        <v>11.286460022524011</v>
      </c>
      <c r="BK400" s="43">
        <f t="shared" si="358"/>
        <v>33.817218083287635</v>
      </c>
      <c r="BL400">
        <f t="shared" si="355"/>
        <v>6.5119439104004515</v>
      </c>
      <c r="BM400" s="43">
        <f t="shared" si="356"/>
        <v>-31.96330257615449</v>
      </c>
    </row>
    <row r="401" spans="14:65" x14ac:dyDescent="0.25">
      <c r="N401" s="9">
        <v>83</v>
      </c>
      <c r="O401" s="34">
        <f t="shared" si="359"/>
        <v>67608.297539198305</v>
      </c>
      <c r="P401" s="33" t="str">
        <f t="shared" si="309"/>
        <v>16.5157725627975</v>
      </c>
      <c r="Q401" s="4" t="str">
        <f t="shared" si="310"/>
        <v>1+1099.14595298744i</v>
      </c>
      <c r="R401" s="4">
        <f t="shared" si="322"/>
        <v>1099.1464078859867</v>
      </c>
      <c r="S401" s="4">
        <f t="shared" si="323"/>
        <v>1.5698865297644187</v>
      </c>
      <c r="T401" s="4" t="str">
        <f t="shared" si="311"/>
        <v>1+6.98788534565125i</v>
      </c>
      <c r="U401" s="4">
        <f t="shared" si="324"/>
        <v>7.0590751238365126</v>
      </c>
      <c r="V401" s="4">
        <f t="shared" si="325"/>
        <v>1.428656567468781</v>
      </c>
      <c r="W401" t="str">
        <f t="shared" si="312"/>
        <v>1-106.198865435429i</v>
      </c>
      <c r="X401" s="4">
        <f t="shared" si="326"/>
        <v>106.20357347929662</v>
      </c>
      <c r="Y401" s="4">
        <f t="shared" si="327"/>
        <v>-1.5613803086300515</v>
      </c>
      <c r="Z401" t="str">
        <f t="shared" si="313"/>
        <v>0.905560291401885+1.48678411609601i</v>
      </c>
      <c r="AA401" s="4">
        <f t="shared" si="328"/>
        <v>1.7408522192418461</v>
      </c>
      <c r="AB401" s="4">
        <f t="shared" si="329"/>
        <v>1.0237320856845209</v>
      </c>
      <c r="AC401" s="47" t="str">
        <f t="shared" si="330"/>
        <v>-5.92102327494217-2.61050597503107i</v>
      </c>
      <c r="AD401" s="20">
        <f t="shared" si="331"/>
        <v>16.219367537247575</v>
      </c>
      <c r="AE401" s="43">
        <f t="shared" si="332"/>
        <v>-156.20791054151596</v>
      </c>
      <c r="AF401" t="str">
        <f t="shared" si="314"/>
        <v>247.084651286898</v>
      </c>
      <c r="AG401" t="str">
        <f t="shared" si="315"/>
        <v>1+1074.88336195584i</v>
      </c>
      <c r="AH401">
        <f t="shared" si="333"/>
        <v>1074.8838271224893</v>
      </c>
      <c r="AI401">
        <f t="shared" si="334"/>
        <v>1.5698659935635089</v>
      </c>
      <c r="AJ401" t="str">
        <f t="shared" si="316"/>
        <v>1+6.98788534565125i</v>
      </c>
      <c r="AK401">
        <f t="shared" si="335"/>
        <v>7.0590751238365126</v>
      </c>
      <c r="AL401">
        <f t="shared" si="336"/>
        <v>1.428656567468781</v>
      </c>
      <c r="AM401" t="str">
        <f t="shared" si="317"/>
        <v>1-6.94180585575739i</v>
      </c>
      <c r="AN401">
        <f t="shared" si="337"/>
        <v>7.0134633768935855</v>
      </c>
      <c r="AO401">
        <f t="shared" si="338"/>
        <v>-1.4277258295917894</v>
      </c>
      <c r="AP401" s="41" t="str">
        <f t="shared" si="339"/>
        <v>0.0211800652345636-11.3805650338692i</v>
      </c>
      <c r="AQ401">
        <f t="shared" si="340"/>
        <v>21.1232915399411</v>
      </c>
      <c r="AR401" s="43">
        <f t="shared" si="341"/>
        <v>-89.893368480116123</v>
      </c>
      <c r="AS401" t="str">
        <f t="shared" si="318"/>
        <v>-0.0000166666666666667</v>
      </c>
      <c r="AT401" t="str">
        <f t="shared" si="319"/>
        <v>0.00144430456992184i</v>
      </c>
      <c r="AU401">
        <f t="shared" si="342"/>
        <v>1.44430456992184E-3</v>
      </c>
      <c r="AV401">
        <f t="shared" si="343"/>
        <v>1.5707963267948966</v>
      </c>
      <c r="AW401" t="str">
        <f t="shared" si="320"/>
        <v>1+1.46779326015932i</v>
      </c>
      <c r="AX401">
        <f t="shared" si="344"/>
        <v>1.7760678631654605</v>
      </c>
      <c r="AY401">
        <f t="shared" si="345"/>
        <v>0.97273476854407326</v>
      </c>
      <c r="AZ401" t="str">
        <f t="shared" si="321"/>
        <v>1+49.9049708454169i</v>
      </c>
      <c r="BA401">
        <f t="shared" si="346"/>
        <v>49.914988881917125</v>
      </c>
      <c r="BB401">
        <f t="shared" si="347"/>
        <v>1.5507609240345528</v>
      </c>
      <c r="BC401" s="41" t="str">
        <f t="shared" si="348"/>
        <v>-0.177194272985742+0.271624138614834i</v>
      </c>
      <c r="BD401">
        <f t="shared" si="349"/>
        <v>-9.7807722625359368</v>
      </c>
      <c r="BE401" s="43">
        <f t="shared" si="350"/>
        <v>123.11845915777725</v>
      </c>
      <c r="BF401" s="41" t="str">
        <f t="shared" si="351"/>
        <v>1.75824785135173-1.14572613840398i</v>
      </c>
      <c r="BG401" s="20">
        <f t="shared" si="352"/>
        <v>6.4385952747116368</v>
      </c>
      <c r="BH401" s="43">
        <f t="shared" si="353"/>
        <v>-33.089451383738563</v>
      </c>
      <c r="BI401" s="41" t="str">
        <f t="shared" si="357"/>
        <v>3.08748318801379+2.02232396431855i</v>
      </c>
      <c r="BJ401" s="20">
        <f t="shared" si="354"/>
        <v>11.342519277405156</v>
      </c>
      <c r="BK401" s="43">
        <f t="shared" si="358"/>
        <v>33.225090677661093</v>
      </c>
      <c r="BL401">
        <f t="shared" si="355"/>
        <v>6.4385952747116368</v>
      </c>
      <c r="BM401" s="43">
        <f t="shared" si="356"/>
        <v>-33.089451383738563</v>
      </c>
    </row>
    <row r="402" spans="14:65" x14ac:dyDescent="0.25">
      <c r="N402" s="9">
        <v>84</v>
      </c>
      <c r="O402" s="34">
        <f t="shared" si="359"/>
        <v>69183.097091893651</v>
      </c>
      <c r="P402" s="33" t="str">
        <f t="shared" si="309"/>
        <v>16.5157725627975</v>
      </c>
      <c r="Q402" s="4" t="str">
        <f t="shared" si="310"/>
        <v>1+1124.7483511858i</v>
      </c>
      <c r="R402" s="4">
        <f t="shared" si="322"/>
        <v>1124.7487957295957</v>
      </c>
      <c r="S402" s="4">
        <f t="shared" si="323"/>
        <v>1.5699072392621578</v>
      </c>
      <c r="T402" s="4" t="str">
        <f t="shared" si="311"/>
        <v>1+7.15065410506628i</v>
      </c>
      <c r="U402" s="4">
        <f t="shared" si="324"/>
        <v>7.2202392017371038</v>
      </c>
      <c r="V402" s="4">
        <f t="shared" si="325"/>
        <v>1.4318501077774206</v>
      </c>
      <c r="W402" t="str">
        <f t="shared" si="312"/>
        <v>1-108.672554788241i</v>
      </c>
      <c r="X402" s="4">
        <f t="shared" si="326"/>
        <v>108.67715566853617</v>
      </c>
      <c r="Y402" s="4">
        <f t="shared" si="327"/>
        <v>-1.5615946311316735</v>
      </c>
      <c r="Z402" t="str">
        <f t="shared" si="313"/>
        <v>0.901109485057306+1.52141576703538i</v>
      </c>
      <c r="AA402" s="4">
        <f t="shared" si="328"/>
        <v>1.7682489191977744</v>
      </c>
      <c r="AB402" s="4">
        <f t="shared" si="329"/>
        <v>1.0360700295143404</v>
      </c>
      <c r="AC402" s="47" t="str">
        <f t="shared" si="330"/>
        <v>-5.98675340400266-2.57269245384024i</v>
      </c>
      <c r="AD402" s="20">
        <f t="shared" si="331"/>
        <v>16.279796091561138</v>
      </c>
      <c r="AE402" s="43">
        <f t="shared" si="332"/>
        <v>-156.74531261105784</v>
      </c>
      <c r="AF402" t="str">
        <f t="shared" si="314"/>
        <v>247.084651286898</v>
      </c>
      <c r="AG402" t="str">
        <f t="shared" si="315"/>
        <v>1+1099.92061180859i</v>
      </c>
      <c r="AH402">
        <f t="shared" si="333"/>
        <v>1099.9210663867577</v>
      </c>
      <c r="AI402">
        <f t="shared" si="334"/>
        <v>1.569887170521487</v>
      </c>
      <c r="AJ402" t="str">
        <f t="shared" si="316"/>
        <v>1+7.15065410506628i</v>
      </c>
      <c r="AK402">
        <f t="shared" si="335"/>
        <v>7.2202392017371038</v>
      </c>
      <c r="AL402">
        <f t="shared" si="336"/>
        <v>1.4318501077774206</v>
      </c>
      <c r="AM402" t="str">
        <f t="shared" si="317"/>
        <v>1-7.10350128597002i</v>
      </c>
      <c r="AN402">
        <f t="shared" si="337"/>
        <v>7.1735437908873001</v>
      </c>
      <c r="AO402">
        <f t="shared" si="338"/>
        <v>-1.4309397284586309</v>
      </c>
      <c r="AP402" s="41" t="str">
        <f t="shared" si="339"/>
        <v>0.0211704409255438-11.635066471488i</v>
      </c>
      <c r="AQ402">
        <f t="shared" si="340"/>
        <v>21.315391753585718</v>
      </c>
      <c r="AR402" s="43">
        <f t="shared" si="341"/>
        <v>-89.895748289893149</v>
      </c>
      <c r="AS402" t="str">
        <f t="shared" si="318"/>
        <v>-0.0000166666666666667</v>
      </c>
      <c r="AT402" t="str">
        <f t="shared" si="319"/>
        <v>0.00147794674512008i</v>
      </c>
      <c r="AU402">
        <f t="shared" si="342"/>
        <v>1.47794674512008E-3</v>
      </c>
      <c r="AV402">
        <f t="shared" si="343"/>
        <v>1.5707963267948966</v>
      </c>
      <c r="AW402" t="str">
        <f t="shared" si="320"/>
        <v>1+1.50198255723795i</v>
      </c>
      <c r="AX402">
        <f t="shared" si="344"/>
        <v>1.8044255601844736</v>
      </c>
      <c r="AY402">
        <f t="shared" si="345"/>
        <v>0.98340318311160113</v>
      </c>
      <c r="AZ402" t="str">
        <f t="shared" si="321"/>
        <v>1+51.0674069460903i</v>
      </c>
      <c r="BA402">
        <f t="shared" si="346"/>
        <v>51.077196988456521</v>
      </c>
      <c r="BB402">
        <f t="shared" si="347"/>
        <v>1.551216867577099</v>
      </c>
      <c r="BC402" s="41" t="str">
        <f t="shared" si="348"/>
        <v>-0.171668594917829+0.269120141292901i</v>
      </c>
      <c r="BD402">
        <f t="shared" si="349"/>
        <v>-9.9184390019382036</v>
      </c>
      <c r="BE402" s="43">
        <f t="shared" si="350"/>
        <v>122.53332766964621</v>
      </c>
      <c r="BF402" s="41" t="str">
        <f t="shared" si="351"/>
        <v>1.72010090166533-1.1695054232645i</v>
      </c>
      <c r="BG402" s="20">
        <f t="shared" si="352"/>
        <v>6.361357089622933</v>
      </c>
      <c r="BH402" s="43">
        <f t="shared" si="353"/>
        <v>-34.211984941411764</v>
      </c>
      <c r="BI402" s="41" t="str">
        <f t="shared" si="357"/>
        <v>3.12759643291167+2.003072904989i</v>
      </c>
      <c r="BJ402" s="20">
        <f t="shared" si="354"/>
        <v>11.396952751647518</v>
      </c>
      <c r="BK402" s="43">
        <f t="shared" si="358"/>
        <v>32.637579379753006</v>
      </c>
      <c r="BL402">
        <f t="shared" si="355"/>
        <v>6.361357089622933</v>
      </c>
      <c r="BM402" s="43">
        <f t="shared" si="356"/>
        <v>-34.211984941411764</v>
      </c>
    </row>
    <row r="403" spans="14:65" x14ac:dyDescent="0.25">
      <c r="N403" s="9">
        <v>85</v>
      </c>
      <c r="O403" s="34">
        <f t="shared" si="359"/>
        <v>70794.578438413781</v>
      </c>
      <c r="P403" s="33" t="str">
        <f t="shared" ref="P403:P466" si="360">COMPLEX(Adc,0)</f>
        <v>16.5157725627975</v>
      </c>
      <c r="Q403" s="4" t="str">
        <f t="shared" ref="Q403:Q466" si="361">IMSUM(COMPLEX(1,0),IMDIV(COMPLEX(0,2*PI()*O403),COMPLEX(wp_lf,0)))</f>
        <v>1+1150.94710584776i</v>
      </c>
      <c r="R403" s="4">
        <f t="shared" si="322"/>
        <v>1150.9475402725072</v>
      </c>
      <c r="S403" s="4">
        <f t="shared" si="323"/>
        <v>1.5699274773549128</v>
      </c>
      <c r="T403" s="4" t="str">
        <f t="shared" ref="T403:T466" si="362">IMSUM(COMPLEX(1,0),IMDIV(COMPLEX(0,2*PI()*O403),COMPLEX(wz_esr,0)))</f>
        <v>1+7.31721423593792i</v>
      </c>
      <c r="U403" s="4">
        <f t="shared" si="324"/>
        <v>7.3852301368753936</v>
      </c>
      <c r="V403" s="4">
        <f t="shared" si="325"/>
        <v>1.4349737130029301</v>
      </c>
      <c r="W403" t="str">
        <f t="shared" ref="W403:W466" si="363">IMSUB(COMPLEX(1,0),IMDIV(COMPLEX(0,2*PI()*O403),COMPLEX(wz_rhp,0)))</f>
        <v>1-111.203863768054i</v>
      </c>
      <c r="X403" s="4">
        <f t="shared" si="326"/>
        <v>111.20835992381109</v>
      </c>
      <c r="Y403" s="4">
        <f t="shared" si="327"/>
        <v>-1.5618040758744172</v>
      </c>
      <c r="Z403" t="str">
        <f t="shared" ref="Z403:Z466" si="364">IMSUM(COMPLEX(1,0),IMDIV(COMPLEX(0,2*PI()*O403),COMPLEX(Q*(wsl/2),0)),IMDIV(IMPOWER(COMPLEX(0,2*PI()*O403),2),IMPOWER(COMPLEX(wsl/2,0),2)))</f>
        <v>0.896448918672051+1.55685409275275i</v>
      </c>
      <c r="AA403" s="4">
        <f t="shared" si="328"/>
        <v>1.7965008571969228</v>
      </c>
      <c r="AB403" s="4">
        <f t="shared" si="329"/>
        <v>1.0483550847804766</v>
      </c>
      <c r="AC403" s="47" t="str">
        <f t="shared" si="330"/>
        <v>-6.05130450839295-2.53337762810391i</v>
      </c>
      <c r="AD403" s="20">
        <f t="shared" si="331"/>
        <v>16.338348098028291</v>
      </c>
      <c r="AE403" s="43">
        <f t="shared" si="332"/>
        <v>-157.28338488970661</v>
      </c>
      <c r="AF403" t="str">
        <f t="shared" ref="AF403:AF466" si="365">COMPLEX($B$72,0)</f>
        <v>247.084651286898</v>
      </c>
      <c r="AG403" t="str">
        <f t="shared" ref="AG403:AG466" si="366">IMSUM(COMPLEX(1,0),IMDIV(COMPLEX(0,2*PI()*O403),COMPLEX(wp_lf_DCM,0)))</f>
        <v>1+1125.54105412889i</v>
      </c>
      <c r="AH403">
        <f t="shared" si="333"/>
        <v>1125.5414983595997</v>
      </c>
      <c r="AI403">
        <f t="shared" si="334"/>
        <v>1.5699078654338379</v>
      </c>
      <c r="AJ403" t="str">
        <f t="shared" ref="AJ403:AJ466" si="367">IMSUM(COMPLEX(1,0),IMDIV(COMPLEX(0,2*PI()*O403),COMPLEX(wz1_dcm,0)))</f>
        <v>1+7.31721423593792i</v>
      </c>
      <c r="AK403">
        <f t="shared" si="335"/>
        <v>7.3852301368753936</v>
      </c>
      <c r="AL403">
        <f t="shared" si="336"/>
        <v>1.4349737130029301</v>
      </c>
      <c r="AM403" t="str">
        <f t="shared" ref="AM403:AM466" si="368">IMSUB(COMPLEX(1,0),IMDIV(COMPLEX(0,2*PI()*O403),COMPLEX(wz2_dcm,0)))</f>
        <v>1-7.26896308659044i</v>
      </c>
      <c r="AN403">
        <f t="shared" si="337"/>
        <v>7.337426275896366</v>
      </c>
      <c r="AO403">
        <f t="shared" si="338"/>
        <v>-1.4340832826900189</v>
      </c>
      <c r="AP403" s="41" t="str">
        <f t="shared" si="339"/>
        <v>0.0211612497810827-11.8957369745704i</v>
      </c>
      <c r="AQ403">
        <f t="shared" si="340"/>
        <v>21.50784080264259</v>
      </c>
      <c r="AR403" s="43">
        <f t="shared" si="341"/>
        <v>-89.898077014870566</v>
      </c>
      <c r="AS403" t="str">
        <f t="shared" ref="AS403:AS466" si="369">COMPLEX(Adc_ea,0)</f>
        <v>-0.0000166666666666667</v>
      </c>
      <c r="AT403" t="str">
        <f t="shared" ref="AT403:AT466" si="370">COMPLEX(0,2*PI()*O403*wp0_ea)</f>
        <v>0.00151237254724553i</v>
      </c>
      <c r="AU403">
        <f t="shared" si="342"/>
        <v>1.51237254724553E-3</v>
      </c>
      <c r="AV403">
        <f t="shared" si="343"/>
        <v>1.5707963267948966</v>
      </c>
      <c r="AW403" t="str">
        <f t="shared" ref="AW403:AW466" si="371">IMSUM(COMPLEX(1,0),IMDIV(COMPLEX(0,2*PI()*O403),COMPLEX(wp1_ea,0)))</f>
        <v>1+1.53696822534952i</v>
      </c>
      <c r="AX403">
        <f t="shared" si="344"/>
        <v>1.8336497282016686</v>
      </c>
      <c r="AY403">
        <f t="shared" si="345"/>
        <v>0.9939772710131396</v>
      </c>
      <c r="AZ403" t="str">
        <f t="shared" ref="AZ403:AZ466" si="372">IMSUM(COMPLEX(1,0),IMDIV(COMPLEX(0,2*PI()*O403),COMPLEX(wz_ea,0)))</f>
        <v>1+52.2569196618837i</v>
      </c>
      <c r="BA403">
        <f t="shared" si="346"/>
        <v>52.266486896945423</v>
      </c>
      <c r="BB403">
        <f t="shared" si="347"/>
        <v>1.5516624404447525</v>
      </c>
      <c r="BC403" s="41" t="str">
        <f t="shared" si="348"/>
        <v>-0.166240193764306+0.266526107970589i</v>
      </c>
      <c r="BD403">
        <f t="shared" si="349"/>
        <v>-10.058062086500176</v>
      </c>
      <c r="BE403" s="43">
        <f t="shared" si="350"/>
        <v>121.9530065054695</v>
      </c>
      <c r="BF403" s="41" t="str">
        <f t="shared" si="351"/>
        <v>1.68118131324036-1.1916814509927i</v>
      </c>
      <c r="BG403" s="20">
        <f t="shared" si="352"/>
        <v>6.2802860115281192</v>
      </c>
      <c r="BH403" s="43">
        <f t="shared" si="353"/>
        <v>-35.330378384237115</v>
      </c>
      <c r="BI403" s="41" t="str">
        <f t="shared" si="357"/>
        <v>3.16700662701018+1.98318964516575i</v>
      </c>
      <c r="BJ403" s="20">
        <f t="shared" si="354"/>
        <v>11.449778716142426</v>
      </c>
      <c r="BK403" s="43">
        <f t="shared" si="358"/>
        <v>32.054929490598958</v>
      </c>
      <c r="BL403">
        <f t="shared" si="355"/>
        <v>6.2802860115281192</v>
      </c>
      <c r="BM403" s="43">
        <f t="shared" si="356"/>
        <v>-35.330378384237115</v>
      </c>
    </row>
    <row r="404" spans="14:65" x14ac:dyDescent="0.25">
      <c r="N404" s="9">
        <v>86</v>
      </c>
      <c r="O404" s="34">
        <f t="shared" si="359"/>
        <v>72443.596007499116</v>
      </c>
      <c r="P404" s="33" t="str">
        <f t="shared" si="360"/>
        <v>16.5157725627975</v>
      </c>
      <c r="Q404" s="4" t="str">
        <f t="shared" si="361"/>
        <v>1+1177.75610789983i</v>
      </c>
      <c r="R404" s="4">
        <f t="shared" ref="R404:R467" si="373">IMABS(Q404)</f>
        <v>1177.7565324358666</v>
      </c>
      <c r="S404" s="4">
        <f t="shared" ref="S404:S467" si="374">IMARGUMENT(Q404)</f>
        <v>1.5699472547731217</v>
      </c>
      <c r="T404" s="4" t="str">
        <f t="shared" si="362"/>
        <v>1+7.48765405065226i</v>
      </c>
      <c r="U404" s="4">
        <f t="shared" ref="U404:U467" si="375">IMABS(T404)</f>
        <v>7.5541355019783172</v>
      </c>
      <c r="V404" s="4">
        <f t="shared" ref="V404:V467" si="376">IMARGUMENT(T404)</f>
        <v>1.4380287953801087</v>
      </c>
      <c r="W404" t="str">
        <f t="shared" si="363"/>
        <v>1-113.794134508393i</v>
      </c>
      <c r="X404" s="4">
        <f t="shared" ref="X404:X467" si="377">IMABS(W404)</f>
        <v>113.79852832314765</v>
      </c>
      <c r="Y404" s="4">
        <f t="shared" ref="Y404:Y467" si="378">IMARGUMENT(W404)</f>
        <v>-1.5620087538351126</v>
      </c>
      <c r="Z404" t="str">
        <f t="shared" si="364"/>
        <v>0.891568706559964+1.5931178831175i</v>
      </c>
      <c r="AA404" s="4">
        <f t="shared" ref="AA404:AA467" si="379">IMABS(Z404)</f>
        <v>1.825628480284472</v>
      </c>
      <c r="AB404" s="4">
        <f t="shared" ref="AB404:AB467" si="380">IMARGUMENT(Z404)</f>
        <v>1.0605839124368208</v>
      </c>
      <c r="AC404" s="47" t="str">
        <f t="shared" ref="AC404:AC467" si="381">(IMDIV(IMPRODUCT(P404,T404,W404),IMPRODUCT(Q404,Z404)))</f>
        <v>-6.11463111034891-2.49261346349759i</v>
      </c>
      <c r="AD404" s="20">
        <f t="shared" ref="AD404:AD467" si="382">20*LOG(IMABS(AC404))</f>
        <v>16.395047720245802</v>
      </c>
      <c r="AE404" s="43">
        <f t="shared" ref="AE404:AE467" si="383">(180/PI())*IMARGUMENT(AC404)</f>
        <v>-157.82186212243084</v>
      </c>
      <c r="AF404" t="str">
        <f t="shared" si="365"/>
        <v>247.084651286898</v>
      </c>
      <c r="AG404" t="str">
        <f t="shared" si="366"/>
        <v>1+1151.75827321439i</v>
      </c>
      <c r="AH404">
        <f t="shared" ref="AH404:AH467" si="384">IMABS(AG404)</f>
        <v>1151.7587073331783</v>
      </c>
      <c r="AI404">
        <f t="shared" ref="AI404:AI467" si="385">IMARGUMENT(AG404)</f>
        <v>1.569928089273207</v>
      </c>
      <c r="AJ404" t="str">
        <f t="shared" si="367"/>
        <v>1+7.48765405065226i</v>
      </c>
      <c r="AK404">
        <f t="shared" ref="AK404:AK467" si="386">IMABS(AJ404)</f>
        <v>7.5541355019783172</v>
      </c>
      <c r="AL404">
        <f t="shared" ref="AL404:AL467" si="387">IMARGUMENT(AJ404)</f>
        <v>1.4380287953801087</v>
      </c>
      <c r="AM404" t="str">
        <f t="shared" si="368"/>
        <v>1-7.43827898765549i</v>
      </c>
      <c r="AN404">
        <f t="shared" ref="AN404:AN467" si="388">IMABS(AM404)</f>
        <v>7.5051978187251782</v>
      </c>
      <c r="AO404">
        <f t="shared" ref="AO404:AO467" si="389">IMARGUMENT(AM404)</f>
        <v>-1.4371579103943903</v>
      </c>
      <c r="AP404" s="41" t="str">
        <f t="shared" ref="AP404:AP467" si="390">(IMDIV(IMPRODUCT(AF404,AJ404,AM404),IMPRODUCT(AG404)))</f>
        <v>0.0211524723056284-12.1627147541202i</v>
      </c>
      <c r="AQ404">
        <f t="shared" ref="AQ404:AQ467" si="391">20*LOG(IMABS(AP404))</f>
        <v>21.700623566987804</v>
      </c>
      <c r="AR404" s="43">
        <f t="shared" ref="AR404:AR467" si="392">(180/PI())*IMARGUMENT(AP404)</f>
        <v>-89.900355620269309</v>
      </c>
      <c r="AS404" t="str">
        <f t="shared" si="369"/>
        <v>-0.0000166666666666667</v>
      </c>
      <c r="AT404" t="str">
        <f t="shared" si="370"/>
        <v>0.00154760022931415i</v>
      </c>
      <c r="AU404">
        <f t="shared" ref="AU404:AU467" si="393">IMABS(AT404)</f>
        <v>1.54760022931415E-3</v>
      </c>
      <c r="AV404">
        <f t="shared" ref="AV404:AV467" si="394">IMARGUMENT(AT404)</f>
        <v>1.5707963267948966</v>
      </c>
      <c r="AW404" t="str">
        <f t="shared" si="371"/>
        <v>1+1.57276881435835i</v>
      </c>
      <c r="AX404">
        <f t="shared" ref="AX404:AX467" si="395">IMABS(AW404)</f>
        <v>1.8637601088708198</v>
      </c>
      <c r="AY404">
        <f t="shared" ref="AY404:AY467" si="396">IMARGUMENT(AW404)</f>
        <v>1.0044531802024255</v>
      </c>
      <c r="AZ404" t="str">
        <f t="shared" si="372"/>
        <v>1+53.474139688184i</v>
      </c>
      <c r="BA404">
        <f t="shared" ref="BA404:BA467" si="397">IMABS(AZ404)</f>
        <v>53.48348918490094</v>
      </c>
      <c r="BB404">
        <f t="shared" ref="BB404:BB467" si="398">IMARGUMENT(AZ404)</f>
        <v>1.552097878178045</v>
      </c>
      <c r="BC404" s="41" t="str">
        <f t="shared" ref="BC404:BC467" si="399">IMPRODUCT(AS404,IMDIV(AZ404,IMPRODUCT(AT404,AW404)))</f>
        <v>-0.160912124637574+0.263846933201622i</v>
      </c>
      <c r="BD404">
        <f t="shared" ref="BD404:BD467" si="400">20*LOG(IMABS(BC404))</f>
        <v>-10.199606311463167</v>
      </c>
      <c r="BE404" s="43">
        <f t="shared" ref="BE404:BE467" si="401">(180/PI())*IMARGUMENT(BC404)</f>
        <v>121.37772986671958</v>
      </c>
      <c r="BF404" s="41" t="str">
        <f t="shared" ref="BF404:BF467" si="402">IMPRODUCT(AC404,BC404)</f>
        <v>1.64158670134216-1.21223493781317i</v>
      </c>
      <c r="BG404" s="20">
        <f t="shared" ref="BG404:BG467" si="403">20*LOG(IMABS(BF404))</f>
        <v>6.1954414087826244</v>
      </c>
      <c r="BH404" s="43">
        <f t="shared" ref="BH404:BH467" si="404">(180/PI())*IMARGUMENT(BF404)</f>
        <v>-36.444132255711331</v>
      </c>
      <c r="BI404" s="41" t="str">
        <f t="shared" si="357"/>
        <v>3.2056912980207+1.96270928739372i</v>
      </c>
      <c r="BJ404" s="20">
        <f t="shared" ref="BJ404:BJ467" si="405">20*LOG(IMABS(BI404))</f>
        <v>11.501017255524635</v>
      </c>
      <c r="BK404" s="43">
        <f t="shared" si="358"/>
        <v>31.477374246450239</v>
      </c>
      <c r="BL404">
        <f t="shared" ref="BL404:BL467" si="406">IF($B$31=0,BJ404,BG404)</f>
        <v>6.1954414087826244</v>
      </c>
      <c r="BM404" s="43">
        <f t="shared" ref="BM404:BM467" si="407">IF($B$31=0,BK404,BH404)</f>
        <v>-36.444132255711331</v>
      </c>
    </row>
    <row r="405" spans="14:65" x14ac:dyDescent="0.25">
      <c r="N405" s="9">
        <v>87</v>
      </c>
      <c r="O405" s="34">
        <f t="shared" si="359"/>
        <v>74131.024130091857</v>
      </c>
      <c r="P405" s="33" t="str">
        <f t="shared" si="360"/>
        <v>16.5157725627975</v>
      </c>
      <c r="Q405" s="4" t="str">
        <f t="shared" si="361"/>
        <v>1+1205.18957182975i</v>
      </c>
      <c r="R405" s="4">
        <f t="shared" si="373"/>
        <v>1205.1899867021698</v>
      </c>
      <c r="S405" s="4">
        <f t="shared" si="374"/>
        <v>1.5699665820029718</v>
      </c>
      <c r="T405" s="4" t="str">
        <f t="shared" si="362"/>
        <v>1+7.66206391865507i</v>
      </c>
      <c r="U405" s="4">
        <f t="shared" si="375"/>
        <v>7.7270449392737381</v>
      </c>
      <c r="V405" s="4">
        <f t="shared" si="376"/>
        <v>1.4410167465160886</v>
      </c>
      <c r="W405" t="str">
        <f t="shared" si="363"/>
        <v>1-116.444740405092i</v>
      </c>
      <c r="X405" s="4">
        <f t="shared" si="377"/>
        <v>116.44903420814303</v>
      </c>
      <c r="Y405" s="4">
        <f t="shared" si="378"/>
        <v>-1.5622087734680881</v>
      </c>
      <c r="Z405" t="str">
        <f t="shared" si="364"/>
        <v>0.886458497136854+1.63022636567129i</v>
      </c>
      <c r="AA405" s="4">
        <f t="shared" si="379"/>
        <v>1.8556526265645608</v>
      </c>
      <c r="AB405" s="4">
        <f t="shared" si="380"/>
        <v>1.0727533939464498</v>
      </c>
      <c r="AC405" s="47" t="str">
        <f t="shared" si="381"/>
        <v>-6.17669137443772-2.45045313185312i</v>
      </c>
      <c r="AD405" s="20">
        <f t="shared" si="382"/>
        <v>16.449920545517131</v>
      </c>
      <c r="AE405" s="43">
        <f t="shared" si="383"/>
        <v>-158.3604927118015</v>
      </c>
      <c r="AF405" t="str">
        <f t="shared" si="365"/>
        <v>247.084651286898</v>
      </c>
      <c r="AG405" t="str">
        <f t="shared" si="366"/>
        <v>1+1178.58616978167i</v>
      </c>
      <c r="AH405">
        <f t="shared" si="384"/>
        <v>1178.5865940187116</v>
      </c>
      <c r="AI405">
        <f t="shared" si="385"/>
        <v>1.5699478527624753</v>
      </c>
      <c r="AJ405" t="str">
        <f t="shared" si="367"/>
        <v>1+7.66206391865507i</v>
      </c>
      <c r="AK405">
        <f t="shared" si="386"/>
        <v>7.7270449392737381</v>
      </c>
      <c r="AL405">
        <f t="shared" si="387"/>
        <v>1.4410167465160886</v>
      </c>
      <c r="AM405" t="str">
        <f t="shared" si="368"/>
        <v>1-7.61153876269706i</v>
      </c>
      <c r="AN405">
        <f t="shared" si="388"/>
        <v>7.6769474621127829</v>
      </c>
      <c r="AO405">
        <f t="shared" si="389"/>
        <v>-1.4401650091335676</v>
      </c>
      <c r="AP405" s="41" t="str">
        <f t="shared" si="390"/>
        <v>0.0211440898810622-12.4361413653391i</v>
      </c>
      <c r="AQ405">
        <f t="shared" si="391"/>
        <v>21.893725557328636</v>
      </c>
      <c r="AR405" s="43">
        <f t="shared" si="392"/>
        <v>-89.902585061643848</v>
      </c>
      <c r="AS405" t="str">
        <f t="shared" si="369"/>
        <v>-0.0000166666666666667</v>
      </c>
      <c r="AT405" t="str">
        <f t="shared" si="370"/>
        <v>0.00158364846950925i</v>
      </c>
      <c r="AU405">
        <f t="shared" si="393"/>
        <v>1.5836484695092501E-3</v>
      </c>
      <c r="AV405">
        <f t="shared" si="394"/>
        <v>1.5707963267948966</v>
      </c>
      <c r="AW405" t="str">
        <f t="shared" si="371"/>
        <v>1+1.60940330621062i</v>
      </c>
      <c r="AX405">
        <f t="shared" si="395"/>
        <v>1.8947767683929617</v>
      </c>
      <c r="AY405">
        <f t="shared" si="396"/>
        <v>1.0148272675077485</v>
      </c>
      <c r="AZ405" t="str">
        <f t="shared" si="372"/>
        <v>1+54.7197124111609i</v>
      </c>
      <c r="BA405">
        <f t="shared" si="397"/>
        <v>54.728849123292889</v>
      </c>
      <c r="BB405">
        <f t="shared" si="398"/>
        <v>1.5525234109909545</v>
      </c>
      <c r="BC405" s="41" t="str">
        <f t="shared" si="399"/>
        <v>-0.155687122107376+0.261087590172262i</v>
      </c>
      <c r="BD405">
        <f t="shared" si="400"/>
        <v>-10.34303542913079</v>
      </c>
      <c r="BE405" s="43">
        <f t="shared" si="401"/>
        <v>120.8077196820483</v>
      </c>
      <c r="BF405" s="41" t="str">
        <f t="shared" si="402"/>
        <v>1.60141420725726-1.23115347023252i</v>
      </c>
      <c r="BG405" s="20">
        <f t="shared" si="403"/>
        <v>6.1068851163863167</v>
      </c>
      <c r="BH405" s="43">
        <f t="shared" si="404"/>
        <v>-37.55277302975324</v>
      </c>
      <c r="BI405" s="41" t="str">
        <f t="shared" si="357"/>
        <v>3.24363031761481+1.94166751876357i</v>
      </c>
      <c r="BJ405" s="20">
        <f t="shared" si="405"/>
        <v>11.550690128197854</v>
      </c>
      <c r="BK405" s="43">
        <f t="shared" si="358"/>
        <v>30.905134620404443</v>
      </c>
      <c r="BL405">
        <f t="shared" si="406"/>
        <v>6.1068851163863167</v>
      </c>
      <c r="BM405" s="43">
        <f t="shared" si="407"/>
        <v>-37.55277302975324</v>
      </c>
    </row>
    <row r="406" spans="14:65" x14ac:dyDescent="0.25">
      <c r="N406" s="9">
        <v>88</v>
      </c>
      <c r="O406" s="34">
        <f t="shared" si="359"/>
        <v>75857.757502918481</v>
      </c>
      <c r="P406" s="33" t="str">
        <f t="shared" si="360"/>
        <v>16.5157725627975</v>
      </c>
      <c r="Q406" s="4" t="str">
        <f t="shared" si="361"/>
        <v>1+1233.26204322322i</v>
      </c>
      <c r="R406" s="4">
        <f t="shared" si="373"/>
        <v>1233.2624486519937</v>
      </c>
      <c r="S406" s="4">
        <f t="shared" si="374"/>
        <v>1.5699854692919581</v>
      </c>
      <c r="T406" s="4" t="str">
        <f t="shared" si="362"/>
        <v>1+7.84053631436693i</v>
      </c>
      <c r="U406" s="4">
        <f t="shared" si="375"/>
        <v>7.9040502083999034</v>
      </c>
      <c r="V406" s="4">
        <f t="shared" si="376"/>
        <v>1.4439389371411597</v>
      </c>
      <c r="W406" t="str">
        <f t="shared" si="363"/>
        <v>1-119.157086844482i</v>
      </c>
      <c r="X406" s="4">
        <f t="shared" si="377"/>
        <v>119.16128291212469</v>
      </c>
      <c r="Y406" s="4">
        <f t="shared" si="378"/>
        <v>-1.5624042407623451</v>
      </c>
      <c r="Z406" t="str">
        <f t="shared" si="364"/>
        <v>0.881107450963397+1.66819921582275i</v>
      </c>
      <c r="AA406" s="4">
        <f t="shared" si="379"/>
        <v>1.8865945414462677</v>
      </c>
      <c r="AB406" s="4">
        <f t="shared" si="380"/>
        <v>1.0848606355709964</v>
      </c>
      <c r="AC406" s="47" t="str">
        <f t="shared" si="381"/>
        <v>-6.23744711369319-2.40695072954251i</v>
      </c>
      <c r="AD406" s="20">
        <f t="shared" si="382"/>
        <v>16.5029934540221</v>
      </c>
      <c r="AE406" s="43">
        <f t="shared" si="383"/>
        <v>-158.89903898162316</v>
      </c>
      <c r="AF406" t="str">
        <f t="shared" si="365"/>
        <v>247.084651286898</v>
      </c>
      <c r="AG406" t="str">
        <f t="shared" si="366"/>
        <v>1+1206.03896833659i</v>
      </c>
      <c r="AH406">
        <f t="shared" si="384"/>
        <v>1206.0393829168208</v>
      </c>
      <c r="AI406">
        <f t="shared" si="385"/>
        <v>1.5699671663804449</v>
      </c>
      <c r="AJ406" t="str">
        <f t="shared" si="367"/>
        <v>1+7.84053631436693i</v>
      </c>
      <c r="AK406">
        <f t="shared" si="386"/>
        <v>7.9040502083999034</v>
      </c>
      <c r="AL406">
        <f t="shared" si="387"/>
        <v>1.4439389371411597</v>
      </c>
      <c r="AM406" t="str">
        <f t="shared" si="368"/>
        <v>1-7.7888342763412i</v>
      </c>
      <c r="AN406">
        <f t="shared" si="388"/>
        <v>7.8527663523313587</v>
      </c>
      <c r="AO406">
        <f t="shared" si="389"/>
        <v>-1.4431059556590158</v>
      </c>
      <c r="AP406" s="41" t="str">
        <f t="shared" si="390"/>
        <v>0.0211360847272197-12.7161617826813i</v>
      </c>
      <c r="AQ406">
        <f t="shared" si="391"/>
        <v>22.087132891012764</v>
      </c>
      <c r="AR406" s="43">
        <f t="shared" si="392"/>
        <v>-89.904766284373181</v>
      </c>
      <c r="AS406" t="str">
        <f t="shared" si="369"/>
        <v>-0.0000166666666666667</v>
      </c>
      <c r="AT406" t="str">
        <f t="shared" si="370"/>
        <v>0.00162053638108496i</v>
      </c>
      <c r="AU406">
        <f t="shared" si="393"/>
        <v>1.6205363810849599E-3</v>
      </c>
      <c r="AV406">
        <f t="shared" si="394"/>
        <v>1.5707963267948966</v>
      </c>
      <c r="AW406" t="str">
        <f t="shared" si="371"/>
        <v>1+1.6468911249988i</v>
      </c>
      <c r="AX406">
        <f t="shared" si="395"/>
        <v>1.9267201087858643</v>
      </c>
      <c r="AY406">
        <f t="shared" si="396"/>
        <v>1.0250961012697071</v>
      </c>
      <c r="AZ406" t="str">
        <f t="shared" si="372"/>
        <v>1+55.9942982499591i</v>
      </c>
      <c r="BA406">
        <f t="shared" si="397"/>
        <v>56.0032270186761</v>
      </c>
      <c r="BB406">
        <f t="shared" si="398"/>
        <v>1.5529392638898198</v>
      </c>
      <c r="BC406" s="41" t="str">
        <f t="shared" si="399"/>
        <v>-0.150567601811275+0.258253107733647i</v>
      </c>
      <c r="BD406">
        <f t="shared" si="400"/>
        <v>-10.488312263651141</v>
      </c>
      <c r="BE406" s="43">
        <f t="shared" si="401"/>
        <v>120.24318546297019</v>
      </c>
      <c r="BF406" s="41" t="str">
        <f t="shared" si="402"/>
        <v>1.56075995939956-1.24843130241042i</v>
      </c>
      <c r="BG406" s="20">
        <f t="shared" si="403"/>
        <v>6.0146811903709461</v>
      </c>
      <c r="BH406" s="43">
        <f t="shared" si="404"/>
        <v>-38.655853518653103</v>
      </c>
      <c r="BI406" s="41" t="str">
        <f t="shared" si="357"/>
        <v>3.28080588923222+1.92010044342864i</v>
      </c>
      <c r="BJ406" s="20">
        <f t="shared" si="405"/>
        <v>11.598820627361626</v>
      </c>
      <c r="BK406" s="43">
        <f t="shared" si="358"/>
        <v>30.338419178597043</v>
      </c>
      <c r="BL406">
        <f t="shared" si="406"/>
        <v>6.0146811903709461</v>
      </c>
      <c r="BM406" s="43">
        <f t="shared" si="407"/>
        <v>-38.655853518653103</v>
      </c>
    </row>
    <row r="407" spans="14:65" x14ac:dyDescent="0.25">
      <c r="N407" s="9">
        <v>89</v>
      </c>
      <c r="O407" s="34">
        <f t="shared" si="359"/>
        <v>77624.711662869129</v>
      </c>
      <c r="P407" s="33" t="str">
        <f t="shared" si="360"/>
        <v>16.5157725627975</v>
      </c>
      <c r="Q407" s="4" t="str">
        <f t="shared" si="361"/>
        <v>1+1261.98840647617i</v>
      </c>
      <c r="R407" s="4">
        <f t="shared" si="373"/>
        <v>1261.9888026762612</v>
      </c>
      <c r="S407" s="4">
        <f t="shared" si="374"/>
        <v>1.5700039266543178</v>
      </c>
      <c r="T407" s="4" t="str">
        <f t="shared" si="362"/>
        <v>1+8.02316586621444i</v>
      </c>
      <c r="U407" s="4">
        <f t="shared" si="375"/>
        <v>8.085245235414229</v>
      </c>
      <c r="V407" s="4">
        <f t="shared" si="376"/>
        <v>1.4467967169080012</v>
      </c>
      <c r="W407" t="str">
        <f t="shared" si="363"/>
        <v>1-121.932611948548i</v>
      </c>
      <c r="X407" s="4">
        <f t="shared" si="377"/>
        <v>121.93671250527953</v>
      </c>
      <c r="Y407" s="4">
        <f t="shared" si="378"/>
        <v>-1.5625952592974492</v>
      </c>
      <c r="Z407" t="str">
        <f t="shared" si="364"/>
        <v>0.875504217753232+1.70705656727967i</v>
      </c>
      <c r="AA407" s="4">
        <f t="shared" si="379"/>
        <v>1.9184758948697658</v>
      </c>
      <c r="AB407" s="4">
        <f t="shared" si="380"/>
        <v>1.0969029716930714</v>
      </c>
      <c r="AC407" s="47" t="str">
        <f t="shared" si="381"/>
        <v>-6.29686377252077-2.36216100209275i</v>
      </c>
      <c r="AD407" s="20">
        <f t="shared" si="382"/>
        <v>16.554294488133525</v>
      </c>
      <c r="AE407" s="43">
        <f t="shared" si="383"/>
        <v>-159.43727738231235</v>
      </c>
      <c r="AF407" t="str">
        <f t="shared" si="365"/>
        <v>247.084651286898</v>
      </c>
      <c r="AG407" t="str">
        <f t="shared" si="366"/>
        <v>1+1234.13122471634i</v>
      </c>
      <c r="AH407">
        <f t="shared" si="384"/>
        <v>1234.1316298595759</v>
      </c>
      <c r="AI407">
        <f t="shared" si="385"/>
        <v>1.5699860403673935</v>
      </c>
      <c r="AJ407" t="str">
        <f t="shared" si="367"/>
        <v>1+8.02316586621444i</v>
      </c>
      <c r="AK407">
        <f t="shared" si="386"/>
        <v>8.085245235414229</v>
      </c>
      <c r="AL407">
        <f t="shared" si="387"/>
        <v>1.4467967169080012</v>
      </c>
      <c r="AM407" t="str">
        <f t="shared" si="368"/>
        <v>1-7.97025953301608i</v>
      </c>
      <c r="AN407">
        <f t="shared" si="388"/>
        <v>8.0327477878764313</v>
      </c>
      <c r="AO407">
        <f t="shared" si="389"/>
        <v>-1.4459821056975228</v>
      </c>
      <c r="AP407" s="41" t="str">
        <f t="shared" si="390"/>
        <v>0.0211284398641643-13.0029244767214i</v>
      </c>
      <c r="AQ407">
        <f t="shared" si="391"/>
        <v>22.280832268578123</v>
      </c>
      <c r="AR407" s="43">
        <f t="shared" si="392"/>
        <v>-89.906900223202896</v>
      </c>
      <c r="AS407" t="str">
        <f t="shared" si="369"/>
        <v>-0.0000166666666666667</v>
      </c>
      <c r="AT407" t="str">
        <f t="shared" si="370"/>
        <v>0.00165828352250025i</v>
      </c>
      <c r="AU407">
        <f t="shared" si="393"/>
        <v>1.6582835225002501E-3</v>
      </c>
      <c r="AV407">
        <f t="shared" si="394"/>
        <v>1.5707963267948966</v>
      </c>
      <c r="AW407" t="str">
        <f t="shared" si="371"/>
        <v>1+1.68525214726063i</v>
      </c>
      <c r="AX407">
        <f t="shared" si="395"/>
        <v>1.9596108797020302</v>
      </c>
      <c r="AY407">
        <f t="shared" si="396"/>
        <v>1.0352564630503636</v>
      </c>
      <c r="AZ407" t="str">
        <f t="shared" si="372"/>
        <v>1+57.2985730068615i</v>
      </c>
      <c r="BA407">
        <f t="shared" si="397"/>
        <v>57.307298563295035</v>
      </c>
      <c r="BB407">
        <f t="shared" si="398"/>
        <v>1.5533456567897026</v>
      </c>
      <c r="BC407" s="41" t="str">
        <f t="shared" si="399"/>
        <v>-0.145555663837729+0.255348548170042i</v>
      </c>
      <c r="BD407">
        <f t="shared" si="400"/>
        <v>-10.635398824887934</v>
      </c>
      <c r="BE407" s="43">
        <f t="shared" si="401"/>
        <v>119.68432421259976</v>
      </c>
      <c r="BF407" s="41" t="str">
        <f t="shared" si="402"/>
        <v>1.51971856893328-1.26406910958651i</v>
      </c>
      <c r="BG407" s="20">
        <f t="shared" si="403"/>
        <v>5.9188956632455909</v>
      </c>
      <c r="BH407" s="43">
        <f t="shared" si="404"/>
        <v>-39.752953169712697</v>
      </c>
      <c r="BI407" s="41" t="str">
        <f t="shared" si="357"/>
        <v>3.31720252300523+1.89804442048545i</v>
      </c>
      <c r="BJ407" s="20">
        <f t="shared" si="405"/>
        <v>11.645433443690191</v>
      </c>
      <c r="BK407" s="43">
        <f t="shared" si="358"/>
        <v>29.777423989396848</v>
      </c>
      <c r="BL407">
        <f t="shared" si="406"/>
        <v>5.9188956632455909</v>
      </c>
      <c r="BM407" s="43">
        <f t="shared" si="407"/>
        <v>-39.752953169712697</v>
      </c>
    </row>
    <row r="408" spans="14:65" x14ac:dyDescent="0.25">
      <c r="N408" s="9">
        <v>90</v>
      </c>
      <c r="O408" s="34">
        <f t="shared" si="359"/>
        <v>79432.823472428237</v>
      </c>
      <c r="P408" s="33" t="str">
        <f t="shared" si="360"/>
        <v>16.5157725627975</v>
      </c>
      <c r="Q408" s="4" t="str">
        <f t="shared" si="361"/>
        <v>1+1291.38389268662i</v>
      </c>
      <c r="R408" s="4">
        <f t="shared" si="373"/>
        <v>1291.3842798680987</v>
      </c>
      <c r="S408" s="4">
        <f t="shared" si="374"/>
        <v>1.5700219638763377</v>
      </c>
      <c r="T408" s="4" t="str">
        <f t="shared" si="362"/>
        <v>1+8.2100494068034i</v>
      </c>
      <c r="U408" s="4">
        <f t="shared" si="375"/>
        <v>8.270726162928673</v>
      </c>
      <c r="V408" s="4">
        <f t="shared" si="376"/>
        <v>1.4495914142359052</v>
      </c>
      <c r="W408" t="str">
        <f t="shared" si="363"/>
        <v>1-124.772787337438i</v>
      </c>
      <c r="X408" s="4">
        <f t="shared" si="377"/>
        <v>124.7767945571352</v>
      </c>
      <c r="Y408" s="4">
        <f t="shared" si="378"/>
        <v>-1.5627819302981651</v>
      </c>
      <c r="Z408" t="str">
        <f t="shared" si="364"/>
        <v>0.869636912297481+1.74681902272413i</v>
      </c>
      <c r="AA408" s="4">
        <f t="shared" si="379"/>
        <v>1.9513187995253829</v>
      </c>
      <c r="AB408" s="4">
        <f t="shared" si="380"/>
        <v>1.1088779671953828</v>
      </c>
      <c r="AC408" s="47" t="str">
        <f t="shared" si="381"/>
        <v>-6.35491038761495-2.31613907699485i</v>
      </c>
      <c r="AD408" s="20">
        <f t="shared" si="382"/>
        <v>16.603852722540154</v>
      </c>
      <c r="AE408" s="43">
        <f t="shared" si="383"/>
        <v>-159.97499863957199</v>
      </c>
      <c r="AF408" t="str">
        <f t="shared" si="365"/>
        <v>247.084651286898</v>
      </c>
      <c r="AG408" t="str">
        <f t="shared" si="366"/>
        <v>1+1262.8778338071i</v>
      </c>
      <c r="AH408">
        <f t="shared" si="384"/>
        <v>1262.878229728153</v>
      </c>
      <c r="AI408">
        <f t="shared" si="385"/>
        <v>1.5700044847305057</v>
      </c>
      <c r="AJ408" t="str">
        <f t="shared" si="367"/>
        <v>1+8.2100494068034i</v>
      </c>
      <c r="AK408">
        <f t="shared" si="386"/>
        <v>8.270726162928673</v>
      </c>
      <c r="AL408">
        <f t="shared" si="387"/>
        <v>1.4495914142359052</v>
      </c>
      <c r="AM408" t="str">
        <f t="shared" si="368"/>
        <v>1-8.15591072679425i</v>
      </c>
      <c r="AN408">
        <f t="shared" si="388"/>
        <v>8.2169872692756147</v>
      </c>
      <c r="AO408">
        <f t="shared" si="389"/>
        <v>-1.4487947937828349</v>
      </c>
      <c r="AP408" s="41" t="str">
        <f t="shared" si="390"/>
        <v>0.0211211390761834-13.2965814928753i</v>
      </c>
      <c r="AQ408">
        <f t="shared" si="391"/>
        <v>22.474810951037508</v>
      </c>
      <c r="AR408" s="43">
        <f t="shared" si="392"/>
        <v>-89.908987801834755</v>
      </c>
      <c r="AS408" t="str">
        <f t="shared" si="369"/>
        <v>-0.0000166666666666667</v>
      </c>
      <c r="AT408" t="str">
        <f t="shared" si="370"/>
        <v>0.00169690990778915i</v>
      </c>
      <c r="AU408">
        <f t="shared" si="393"/>
        <v>1.69690990778915E-3</v>
      </c>
      <c r="AV408">
        <f t="shared" si="394"/>
        <v>1.5707963267948966</v>
      </c>
      <c r="AW408" t="str">
        <f t="shared" si="371"/>
        <v>1+1.7245067125179i</v>
      </c>
      <c r="AX408">
        <f t="shared" si="395"/>
        <v>1.9934701907777039</v>
      </c>
      <c r="AY408">
        <f t="shared" si="396"/>
        <v>1.0453053484469073</v>
      </c>
      <c r="AZ408" t="str">
        <f t="shared" si="372"/>
        <v>1+58.6332282256087i</v>
      </c>
      <c r="BA408">
        <f t="shared" si="397"/>
        <v>58.641755193345944</v>
      </c>
      <c r="BB408">
        <f t="shared" si="398"/>
        <v>1.5537428046282464</v>
      </c>
      <c r="BC408" s="41" t="str">
        <f t="shared" si="399"/>
        <v>-0.140653097758379+0.252378985841891i</v>
      </c>
      <c r="BD408">
        <f t="shared" si="400"/>
        <v>-10.784256420768513</v>
      </c>
      <c r="BE408" s="43">
        <f t="shared" si="401"/>
        <v>119.13132038555841</v>
      </c>
      <c r="BF408" s="41" t="str">
        <f t="shared" si="402"/>
        <v>1.47838266331568-1.2780737027238i</v>
      </c>
      <c r="BG408" s="20">
        <f t="shared" si="403"/>
        <v>5.8195963017716448</v>
      </c>
      <c r="BH408" s="43">
        <f t="shared" si="404"/>
        <v>-40.843678254013476</v>
      </c>
      <c r="BI408" s="41" t="str">
        <f t="shared" si="357"/>
        <v>3.35280699869667+1.87553590822952i</v>
      </c>
      <c r="BJ408" s="20">
        <f t="shared" si="405"/>
        <v>11.69055453026899</v>
      </c>
      <c r="BK408" s="43">
        <f t="shared" si="358"/>
        <v>29.22233258372377</v>
      </c>
      <c r="BL408">
        <f t="shared" si="406"/>
        <v>5.8195963017716448</v>
      </c>
      <c r="BM408" s="43">
        <f t="shared" si="407"/>
        <v>-40.843678254013476</v>
      </c>
    </row>
    <row r="409" spans="14:65" x14ac:dyDescent="0.25">
      <c r="N409" s="9">
        <v>91</v>
      </c>
      <c r="O409" s="34">
        <f t="shared" si="359"/>
        <v>81283.051616410012</v>
      </c>
      <c r="P409" s="33" t="str">
        <f t="shared" si="360"/>
        <v>16.5157725627975</v>
      </c>
      <c r="Q409" s="4" t="str">
        <f t="shared" si="361"/>
        <v>1+1321.46408773046i</v>
      </c>
      <c r="R409" s="4">
        <f t="shared" si="373"/>
        <v>1321.4644660986146</v>
      </c>
      <c r="S409" s="4">
        <f t="shared" si="374"/>
        <v>1.5700395905215454</v>
      </c>
      <c r="T409" s="4" t="str">
        <f t="shared" si="362"/>
        <v>1+8.40128602426068i</v>
      </c>
      <c r="U409" s="4">
        <f t="shared" si="375"/>
        <v>8.4605914013996575</v>
      </c>
      <c r="V409" s="4">
        <f t="shared" si="376"/>
        <v>1.4523243361967548</v>
      </c>
      <c r="W409" t="str">
        <f t="shared" si="363"/>
        <v>1-127.679118909737i</v>
      </c>
      <c r="X409" s="4">
        <f t="shared" si="377"/>
        <v>127.68303491680781</v>
      </c>
      <c r="Y409" s="4">
        <f t="shared" si="378"/>
        <v>-1.5629643526878605</v>
      </c>
      <c r="Z409" t="str">
        <f t="shared" si="364"/>
        <v>0.863493089254629+1.78750766473631i</v>
      </c>
      <c r="AA409" s="4">
        <f t="shared" si="379"/>
        <v>1.9851458300793818</v>
      </c>
      <c r="AB409" s="4">
        <f t="shared" si="380"/>
        <v>1.1207834189265891</v>
      </c>
      <c r="AC409" s="47" t="str">
        <f t="shared" si="381"/>
        <v>-6.41155952829385-2.2689402064706i</v>
      </c>
      <c r="AD409" s="20">
        <f t="shared" si="382"/>
        <v>16.651698135796856</v>
      </c>
      <c r="AE409" s="43">
        <f t="shared" si="383"/>
        <v>-160.51200784826719</v>
      </c>
      <c r="AF409" t="str">
        <f t="shared" si="365"/>
        <v>247.084651286898</v>
      </c>
      <c r="AG409" t="str">
        <f t="shared" si="366"/>
        <v>1+1292.2940374415i</v>
      </c>
      <c r="AH409">
        <f t="shared" si="384"/>
        <v>1292.2944243502923</v>
      </c>
      <c r="AI409">
        <f t="shared" si="385"/>
        <v>1.5700225092491762</v>
      </c>
      <c r="AJ409" t="str">
        <f t="shared" si="367"/>
        <v>1+8.40128602426068i</v>
      </c>
      <c r="AK409">
        <f t="shared" si="386"/>
        <v>8.4605914013996575</v>
      </c>
      <c r="AL409">
        <f t="shared" si="387"/>
        <v>1.4523243361967548</v>
      </c>
      <c r="AM409" t="str">
        <f t="shared" si="368"/>
        <v>1-8.34588629239598i</v>
      </c>
      <c r="AN409">
        <f t="shared" si="388"/>
        <v>8.4055825500439365</v>
      </c>
      <c r="AO409">
        <f t="shared" si="389"/>
        <v>-1.4515453331299579</v>
      </c>
      <c r="AP409" s="41" t="str">
        <f t="shared" si="390"/>
        <v>0.0211141668773887-13.5972885320173i</v>
      </c>
      <c r="AQ409">
        <f t="shared" si="391"/>
        <v>22.66905673789153</v>
      </c>
      <c r="AR409" s="43">
        <f t="shared" si="392"/>
        <v>-89.911029932561846</v>
      </c>
      <c r="AS409" t="str">
        <f t="shared" si="369"/>
        <v>-0.0000166666666666667</v>
      </c>
      <c r="AT409" t="str">
        <f t="shared" si="370"/>
        <v>0.00173643601717242i</v>
      </c>
      <c r="AU409">
        <f t="shared" si="393"/>
        <v>1.73643601717242E-3</v>
      </c>
      <c r="AV409">
        <f t="shared" si="394"/>
        <v>1.5707963267948966</v>
      </c>
      <c r="AW409" t="str">
        <f t="shared" si="371"/>
        <v>1+1.76467563406069i</v>
      </c>
      <c r="AX409">
        <f t="shared" si="395"/>
        <v>2.0283195244949694</v>
      </c>
      <c r="AY409">
        <f t="shared" si="396"/>
        <v>1.0552399670483805</v>
      </c>
      <c r="AZ409" t="str">
        <f t="shared" si="372"/>
        <v>1+59.9989715580635i</v>
      </c>
      <c r="BA409">
        <f t="shared" si="397"/>
        <v>60.007304455585349</v>
      </c>
      <c r="BB409">
        <f t="shared" si="398"/>
        <v>1.5541309174770792</v>
      </c>
      <c r="BC409" s="41" t="str">
        <f t="shared" si="399"/>
        <v>-0.135861389176267+0.249349486824601i</v>
      </c>
      <c r="BD409">
        <f t="shared" si="400"/>
        <v>-10.934845767542852</v>
      </c>
      <c r="BE409" s="43">
        <f t="shared" si="401"/>
        <v>118.5843458968349</v>
      </c>
      <c r="BF409" s="41" t="str">
        <f t="shared" si="402"/>
        <v>1.43684246041948-1.29045770971647i</v>
      </c>
      <c r="BG409" s="20">
        <f t="shared" si="403"/>
        <v>5.7168523682539965</v>
      </c>
      <c r="BH409" s="43">
        <f t="shared" si="404"/>
        <v>-41.927661951432334</v>
      </c>
      <c r="BI409" s="41" t="str">
        <f t="shared" si="357"/>
        <v>3.38760831762128+1.852611315666i</v>
      </c>
      <c r="BJ409" s="20">
        <f t="shared" si="405"/>
        <v>11.734210970348668</v>
      </c>
      <c r="BK409" s="43">
        <f t="shared" si="358"/>
        <v>28.673315964273083</v>
      </c>
      <c r="BL409">
        <f t="shared" si="406"/>
        <v>5.7168523682539965</v>
      </c>
      <c r="BM409" s="43">
        <f t="shared" si="407"/>
        <v>-41.927661951432334</v>
      </c>
    </row>
    <row r="410" spans="14:65" x14ac:dyDescent="0.25">
      <c r="N410" s="9">
        <v>92</v>
      </c>
      <c r="O410" s="34">
        <f t="shared" si="359"/>
        <v>83176.377110267174</v>
      </c>
      <c r="P410" s="33" t="str">
        <f t="shared" si="360"/>
        <v>16.5157725627975</v>
      </c>
      <c r="Q410" s="4" t="str">
        <f t="shared" si="361"/>
        <v>1+1352.24494052526i</v>
      </c>
      <c r="R410" s="4">
        <f t="shared" si="373"/>
        <v>1352.2453102807065</v>
      </c>
      <c r="S410" s="4">
        <f t="shared" si="374"/>
        <v>1.5700568159357771</v>
      </c>
      <c r="T410" s="4" t="str">
        <f t="shared" si="362"/>
        <v>1+8.59697711477219i</v>
      </c>
      <c r="U410" s="4">
        <f t="shared" si="375"/>
        <v>8.6549416816011409</v>
      </c>
      <c r="V410" s="4">
        <f t="shared" si="376"/>
        <v>1.4549967684396929</v>
      </c>
      <c r="W410" t="str">
        <f t="shared" si="363"/>
        <v>1-130.653147640915i</v>
      </c>
      <c r="X410" s="4">
        <f t="shared" si="377"/>
        <v>130.65697451142339</v>
      </c>
      <c r="Y410" s="4">
        <f t="shared" si="378"/>
        <v>-1.563142623140708</v>
      </c>
      <c r="Z410" t="str">
        <f t="shared" si="364"/>
        <v>0.857059716752286+1.8291440669728i</v>
      </c>
      <c r="AA410" s="4">
        <f t="shared" si="379"/>
        <v>2.0199800434215445</v>
      </c>
      <c r="AB410" s="4">
        <f t="shared" si="380"/>
        <v>1.1326173562895212</v>
      </c>
      <c r="AC410" s="47" t="str">
        <f t="shared" si="381"/>
        <v>-6.46678721778533-2.22061952174928i</v>
      </c>
      <c r="AD410" s="20">
        <f t="shared" si="382"/>
        <v>16.697861483877062</v>
      </c>
      <c r="AE410" s="43">
        <f t="shared" si="383"/>
        <v>-161.04812451372618</v>
      </c>
      <c r="AF410" t="str">
        <f t="shared" si="365"/>
        <v>247.084651286898</v>
      </c>
      <c r="AG410" t="str">
        <f t="shared" si="366"/>
        <v>1+1322.39543248009i</v>
      </c>
      <c r="AH410">
        <f t="shared" si="384"/>
        <v>1322.3958105817653</v>
      </c>
      <c r="AI410">
        <f t="shared" si="385"/>
        <v>1.5700401234801966</v>
      </c>
      <c r="AJ410" t="str">
        <f t="shared" si="367"/>
        <v>1+8.59697711477219i</v>
      </c>
      <c r="AK410">
        <f t="shared" si="386"/>
        <v>8.6549416816011409</v>
      </c>
      <c r="AL410">
        <f t="shared" si="387"/>
        <v>1.4549967684396929</v>
      </c>
      <c r="AM410" t="str">
        <f t="shared" si="368"/>
        <v>1-8.54028695738081i</v>
      </c>
      <c r="AN410">
        <f t="shared" si="388"/>
        <v>8.5986336888140986</v>
      </c>
      <c r="AO410">
        <f t="shared" si="389"/>
        <v>-1.4542350155490147</v>
      </c>
      <c r="AP410" s="41" t="str">
        <f t="shared" si="390"/>
        <v>0.0211075084788631-13.9052050330345i</v>
      </c>
      <c r="AQ410">
        <f t="shared" si="391"/>
        <v>22.863557945860062</v>
      </c>
      <c r="AR410" s="43">
        <f t="shared" si="392"/>
        <v>-89.913027515946155</v>
      </c>
      <c r="AS410" t="str">
        <f t="shared" si="369"/>
        <v>-0.0000166666666666667</v>
      </c>
      <c r="AT410" t="str">
        <f t="shared" si="370"/>
        <v>0.00177688280791644i</v>
      </c>
      <c r="AU410">
        <f t="shared" si="393"/>
        <v>1.7768828079164399E-3</v>
      </c>
      <c r="AV410">
        <f t="shared" si="394"/>
        <v>1.5707963267948966</v>
      </c>
      <c r="AW410" t="str">
        <f t="shared" si="371"/>
        <v>1+1.8057802099829i</v>
      </c>
      <c r="AX410">
        <f t="shared" si="395"/>
        <v>2.0641807495386364</v>
      </c>
      <c r="AY410">
        <f t="shared" si="396"/>
        <v>1.0650577415786247</v>
      </c>
      <c r="AZ410" t="str">
        <f t="shared" si="372"/>
        <v>1+61.3965271394186i</v>
      </c>
      <c r="BA410">
        <f t="shared" si="397"/>
        <v>61.404670382482827</v>
      </c>
      <c r="BB410">
        <f t="shared" si="398"/>
        <v>1.5545102006508056</v>
      </c>
      <c r="BC410" s="41" t="str">
        <f t="shared" si="399"/>
        <v>-0.131181727649503+0.246265089645592i</v>
      </c>
      <c r="BD410">
        <f t="shared" si="400"/>
        <v>-11.087127097436287</v>
      </c>
      <c r="BE410" s="43">
        <f t="shared" si="401"/>
        <v>118.04356017713556</v>
      </c>
      <c r="BF410" s="41" t="str">
        <f t="shared" si="402"/>
        <v>1.39518538516314-1.30123922859159i</v>
      </c>
      <c r="BG410" s="20">
        <f t="shared" si="403"/>
        <v>5.6107343864407779</v>
      </c>
      <c r="BH410" s="43">
        <f t="shared" si="404"/>
        <v>-43.004564336590654</v>
      </c>
      <c r="BI410" s="41" t="str">
        <f t="shared" si="357"/>
        <v>3.42159764457194+1.82930686202177i</v>
      </c>
      <c r="BJ410" s="20">
        <f t="shared" si="405"/>
        <v>11.776430848423765</v>
      </c>
      <c r="BK410" s="43">
        <f t="shared" si="358"/>
        <v>28.130532661189424</v>
      </c>
      <c r="BL410">
        <f t="shared" si="406"/>
        <v>5.6107343864407779</v>
      </c>
      <c r="BM410" s="43">
        <f t="shared" si="407"/>
        <v>-43.004564336590654</v>
      </c>
    </row>
    <row r="411" spans="14:65" x14ac:dyDescent="0.25">
      <c r="N411" s="9">
        <v>93</v>
      </c>
      <c r="O411" s="34">
        <f t="shared" si="359"/>
        <v>85113.803820237721</v>
      </c>
      <c r="P411" s="33" t="str">
        <f t="shared" si="360"/>
        <v>16.5157725627975</v>
      </c>
      <c r="Q411" s="4" t="str">
        <f t="shared" si="361"/>
        <v>1+1383.7427714866i</v>
      </c>
      <c r="R411" s="4">
        <f t="shared" si="373"/>
        <v>1383.7431328253872</v>
      </c>
      <c r="S411" s="4">
        <f t="shared" si="374"/>
        <v>1.5700736492521348</v>
      </c>
      <c r="T411" s="4" t="str">
        <f t="shared" si="362"/>
        <v>1+8.7972264363444i</v>
      </c>
      <c r="U411" s="4">
        <f t="shared" si="375"/>
        <v>8.8538801083093972</v>
      </c>
      <c r="V411" s="4">
        <f t="shared" si="376"/>
        <v>1.4576099751515812</v>
      </c>
      <c r="W411" t="str">
        <f t="shared" si="363"/>
        <v>1-133.696450400371i</v>
      </c>
      <c r="X411" s="4">
        <f t="shared" si="377"/>
        <v>133.70019016313651</v>
      </c>
      <c r="Y411" s="4">
        <f t="shared" si="378"/>
        <v>-1.563316836132711</v>
      </c>
      <c r="Z411" t="str">
        <f t="shared" si="364"/>
        <v>0.850323148744837+1.87175030560519i</v>
      </c>
      <c r="AA411" s="4">
        <f t="shared" si="379"/>
        <v>2.0558449999512263</v>
      </c>
      <c r="AB411" s="4">
        <f t="shared" si="380"/>
        <v>1.1443780409922442</v>
      </c>
      <c r="AC411" s="47" t="str">
        <f t="shared" si="381"/>
        <v>-6.52057283709815-2.17123180019113i</v>
      </c>
      <c r="AD411" s="20">
        <f t="shared" si="382"/>
        <v>16.742374176253335</v>
      </c>
      <c r="AE411" s="43">
        <f t="shared" si="383"/>
        <v>-161.5831825429504</v>
      </c>
      <c r="AF411" t="str">
        <f t="shared" si="365"/>
        <v>247.084651286898</v>
      </c>
      <c r="AG411" t="str">
        <f t="shared" si="366"/>
        <v>1+1353.19797908096i</v>
      </c>
      <c r="AH411">
        <f t="shared" si="384"/>
        <v>1353.1983485759929</v>
      </c>
      <c r="AI411">
        <f t="shared" si="385"/>
        <v>1.5700573367628219</v>
      </c>
      <c r="AJ411" t="str">
        <f t="shared" si="367"/>
        <v>1+8.7972264363444i</v>
      </c>
      <c r="AK411">
        <f t="shared" si="386"/>
        <v>8.8538801083093972</v>
      </c>
      <c r="AL411">
        <f t="shared" si="387"/>
        <v>1.4576099751515812</v>
      </c>
      <c r="AM411" t="str">
        <f t="shared" si="368"/>
        <v>1-8.73921579555451i</v>
      </c>
      <c r="AN411">
        <f t="shared" si="388"/>
        <v>8.7962431026699921</v>
      </c>
      <c r="AO411">
        <f t="shared" si="389"/>
        <v>-1.4568651113957063</v>
      </c>
      <c r="AP411" s="41" t="str">
        <f t="shared" si="390"/>
        <v>0.0211011497573007-14.220494257364i</v>
      </c>
      <c r="AQ411">
        <f t="shared" si="391"/>
        <v>23.058303388322873</v>
      </c>
      <c r="AR411" s="43">
        <f t="shared" si="392"/>
        <v>-89.914981440535982</v>
      </c>
      <c r="AS411" t="str">
        <f t="shared" si="369"/>
        <v>-0.0000166666666666667</v>
      </c>
      <c r="AT411" t="str">
        <f t="shared" si="370"/>
        <v>0.00181827172544504i</v>
      </c>
      <c r="AU411">
        <f t="shared" si="393"/>
        <v>1.81827172544504E-3</v>
      </c>
      <c r="AV411">
        <f t="shared" si="394"/>
        <v>1.5707963267948966</v>
      </c>
      <c r="AW411" t="str">
        <f t="shared" si="371"/>
        <v>1+1.84784223447477i</v>
      </c>
      <c r="AX411">
        <f t="shared" si="395"/>
        <v>2.1010761346292783</v>
      </c>
      <c r="AY411">
        <f t="shared" si="396"/>
        <v>1.0747563062723828</v>
      </c>
      <c r="AZ411" t="str">
        <f t="shared" si="372"/>
        <v>1+62.8266359721422i</v>
      </c>
      <c r="BA411">
        <f t="shared" si="397"/>
        <v>62.834593876113125</v>
      </c>
      <c r="BB411">
        <f t="shared" si="398"/>
        <v>1.5548808548136384</v>
      </c>
      <c r="BC411" s="41" t="str">
        <f t="shared" si="399"/>
        <v>-0.126615015845014+0.243130787203737i</v>
      </c>
      <c r="BD411">
        <f t="shared" si="400"/>
        <v>-11.241060263231359</v>
      </c>
      <c r="BE411" s="43">
        <f t="shared" si="401"/>
        <v>117.50911027203794</v>
      </c>
      <c r="BF411" s="41" t="str">
        <f t="shared" si="402"/>
        <v>1.35349572987001-1.31044145811858i</v>
      </c>
      <c r="BG411" s="20">
        <f t="shared" si="403"/>
        <v>5.5013139130219848</v>
      </c>
      <c r="BH411" s="43">
        <f t="shared" si="404"/>
        <v>-44.074072270912374</v>
      </c>
      <c r="BI411" s="41" t="str">
        <f t="shared" si="357"/>
        <v>3.45476824080826+1.80565844487147i</v>
      </c>
      <c r="BJ411" s="20">
        <f t="shared" si="405"/>
        <v>11.817243125091512</v>
      </c>
      <c r="BK411" s="43">
        <f t="shared" si="358"/>
        <v>27.594128831501983</v>
      </c>
      <c r="BL411">
        <f t="shared" si="406"/>
        <v>5.5013139130219848</v>
      </c>
      <c r="BM411" s="43">
        <f t="shared" si="407"/>
        <v>-44.074072270912374</v>
      </c>
    </row>
    <row r="412" spans="14:65" x14ac:dyDescent="0.25">
      <c r="N412" s="9">
        <v>94</v>
      </c>
      <c r="O412" s="34">
        <f t="shared" si="359"/>
        <v>87096.358995608127</v>
      </c>
      <c r="P412" s="33" t="str">
        <f t="shared" si="360"/>
        <v>16.5157725627975</v>
      </c>
      <c r="Q412" s="4" t="str">
        <f t="shared" si="361"/>
        <v>1+1415.97428118139i</v>
      </c>
      <c r="R412" s="4">
        <f t="shared" si="373"/>
        <v>1415.9746342951041</v>
      </c>
      <c r="S412" s="4">
        <f t="shared" si="374"/>
        <v>1.5700900993958273</v>
      </c>
      <c r="T412" s="4" t="str">
        <f t="shared" si="362"/>
        <v>1+9.00214016381822i</v>
      </c>
      <c r="U412" s="4">
        <f t="shared" si="375"/>
        <v>9.0575122152293623</v>
      </c>
      <c r="V412" s="4">
        <f t="shared" si="376"/>
        <v>1.4601651990505109</v>
      </c>
      <c r="W412" t="str">
        <f t="shared" si="363"/>
        <v>1-136.810640787511i</v>
      </c>
      <c r="X412" s="4">
        <f t="shared" si="377"/>
        <v>136.81429542518345</v>
      </c>
      <c r="Y412" s="4">
        <f t="shared" si="378"/>
        <v>-1.5634870839915809</v>
      </c>
      <c r="Z412" t="str">
        <f t="shared" si="364"/>
        <v>0.84326909606835+1.91534897102515i</v>
      </c>
      <c r="AA412" s="4">
        <f t="shared" si="379"/>
        <v>2.0927647859210152</v>
      </c>
      <c r="AB412" s="4">
        <f t="shared" si="380"/>
        <v>1.1560639660066054</v>
      </c>
      <c r="AC412" s="47" t="str">
        <f t="shared" si="381"/>
        <v>-6.57289901318241-2.12083124637585i</v>
      </c>
      <c r="AD412" s="20">
        <f t="shared" si="382"/>
        <v>16.785268154981193</v>
      </c>
      <c r="AE412" s="43">
        <f t="shared" si="383"/>
        <v>-162.11703018845031</v>
      </c>
      <c r="AF412" t="str">
        <f t="shared" si="365"/>
        <v>247.084651286898</v>
      </c>
      <c r="AG412" t="str">
        <f t="shared" si="366"/>
        <v>1+1384.71800916202i</v>
      </c>
      <c r="AH412">
        <f t="shared" si="384"/>
        <v>1384.7183702463212</v>
      </c>
      <c r="AI412">
        <f t="shared" si="385"/>
        <v>1.5700741582237212</v>
      </c>
      <c r="AJ412" t="str">
        <f t="shared" si="367"/>
        <v>1+9.00214016381822i</v>
      </c>
      <c r="AK412">
        <f t="shared" si="386"/>
        <v>9.0575122152293623</v>
      </c>
      <c r="AL412">
        <f t="shared" si="387"/>
        <v>1.4601651990505109</v>
      </c>
      <c r="AM412" t="str">
        <f t="shared" si="368"/>
        <v>1-8.94277828162021i</v>
      </c>
      <c r="AN412">
        <f t="shared" si="388"/>
        <v>8.99851562171329</v>
      </c>
      <c r="AO412">
        <f t="shared" si="389"/>
        <v>-1.4594368695555973</v>
      </c>
      <c r="AP412" s="41" t="str">
        <f t="shared" si="390"/>
        <v>0.0210950772250466-14.5433233755563i</v>
      </c>
      <c r="AQ412">
        <f t="shared" si="391"/>
        <v>23.253282355457017</v>
      </c>
      <c r="AR412" s="43">
        <f t="shared" si="392"/>
        <v>-89.916892582621216</v>
      </c>
      <c r="AS412" t="str">
        <f t="shared" si="369"/>
        <v>-0.0000166666666666667</v>
      </c>
      <c r="AT412" t="str">
        <f t="shared" si="370"/>
        <v>0.00186062471471015i</v>
      </c>
      <c r="AU412">
        <f t="shared" si="393"/>
        <v>1.86062471471015E-3</v>
      </c>
      <c r="AV412">
        <f t="shared" si="394"/>
        <v>1.5707963267948966</v>
      </c>
      <c r="AW412" t="str">
        <f t="shared" si="371"/>
        <v>1+1.89088400937845i</v>
      </c>
      <c r="AX412">
        <f t="shared" si="395"/>
        <v>2.1390283628140891</v>
      </c>
      <c r="AY412">
        <f t="shared" si="396"/>
        <v>1.0843335045346563</v>
      </c>
      <c r="AZ412" t="str">
        <f t="shared" si="372"/>
        <v>1+64.2900563188671i</v>
      </c>
      <c r="BA412">
        <f t="shared" si="397"/>
        <v>64.297833100992634</v>
      </c>
      <c r="BB412">
        <f t="shared" si="398"/>
        <v>1.5552430760837093</v>
      </c>
      <c r="BC412" s="41" t="str">
        <f t="shared" si="399"/>
        <v>-0.122161879774466+0.23995150993733i</v>
      </c>
      <c r="BD412">
        <f t="shared" si="400"/>
        <v>-11.396604839364137</v>
      </c>
      <c r="BE412" s="43">
        <f t="shared" si="401"/>
        <v>116.98113098207475</v>
      </c>
      <c r="BF412" s="41" t="str">
        <f t="shared" si="402"/>
        <v>1.31185435890825-1.31809231113701i</v>
      </c>
      <c r="BG412" s="20">
        <f t="shared" si="403"/>
        <v>5.388663315617058</v>
      </c>
      <c r="BH412" s="43">
        <f t="shared" si="404"/>
        <v>-45.135899206375626</v>
      </c>
      <c r="BI412" s="41" t="str">
        <f t="shared" si="357"/>
        <v>3.4871153891838+1.78170151735828i</v>
      </c>
      <c r="BJ412" s="20">
        <f t="shared" si="405"/>
        <v>11.856677516092873</v>
      </c>
      <c r="BK412" s="43">
        <f t="shared" si="358"/>
        <v>27.064238399453501</v>
      </c>
      <c r="BL412">
        <f t="shared" si="406"/>
        <v>5.388663315617058</v>
      </c>
      <c r="BM412" s="43">
        <f t="shared" si="407"/>
        <v>-45.135899206375626</v>
      </c>
    </row>
    <row r="413" spans="14:65" x14ac:dyDescent="0.25">
      <c r="N413" s="9">
        <v>95</v>
      </c>
      <c r="O413" s="34">
        <f t="shared" si="359"/>
        <v>89125.093813374609</v>
      </c>
      <c r="P413" s="33" t="str">
        <f t="shared" si="360"/>
        <v>16.5157725627975</v>
      </c>
      <c r="Q413" s="4" t="str">
        <f t="shared" si="361"/>
        <v>1+1448.9565591827i</v>
      </c>
      <c r="R413" s="4">
        <f t="shared" si="373"/>
        <v>1448.9569042585667</v>
      </c>
      <c r="S413" s="4">
        <f t="shared" si="374"/>
        <v>1.5701061750889032</v>
      </c>
      <c r="T413" s="4" t="str">
        <f t="shared" si="362"/>
        <v>1+9.21182694516431i</v>
      </c>
      <c r="U413" s="4">
        <f t="shared" si="375"/>
        <v>9.2659460211926135</v>
      </c>
      <c r="V413" s="4">
        <f t="shared" si="376"/>
        <v>1.4626636614097863</v>
      </c>
      <c r="W413" t="str">
        <f t="shared" si="363"/>
        <v>1-139.997369987299i</v>
      </c>
      <c r="X413" s="4">
        <f t="shared" si="377"/>
        <v>140.00094143740853</v>
      </c>
      <c r="Y413" s="4">
        <f t="shared" si="378"/>
        <v>-1.563653456945487</v>
      </c>
      <c r="Z413" t="str">
        <f t="shared" si="364"/>
        <v>0.835882596131346+1.95996317982219i</v>
      </c>
      <c r="AA413" s="4">
        <f t="shared" si="379"/>
        <v>2.1307640368595457</v>
      </c>
      <c r="AB413" s="4">
        <f t="shared" si="380"/>
        <v>1.1676738537822311</v>
      </c>
      <c r="AC413" s="47" t="str">
        <f t="shared" si="381"/>
        <v>-6.62375149312551-2.06947128805835i</v>
      </c>
      <c r="AD413" s="20">
        <f t="shared" si="382"/>
        <v>16.826575777208074</v>
      </c>
      <c r="AE413" s="43">
        <f t="shared" si="383"/>
        <v>-162.64952994760543</v>
      </c>
      <c r="AF413" t="str">
        <f t="shared" si="365"/>
        <v>247.084651286898</v>
      </c>
      <c r="AG413" t="str">
        <f t="shared" si="366"/>
        <v>1+1416.97223506046i</v>
      </c>
      <c r="AH413">
        <f t="shared" si="384"/>
        <v>1416.9725879254811</v>
      </c>
      <c r="AI413">
        <f t="shared" si="385"/>
        <v>1.5700905967818177</v>
      </c>
      <c r="AJ413" t="str">
        <f t="shared" si="367"/>
        <v>1+9.21182694516431i</v>
      </c>
      <c r="AK413">
        <f t="shared" si="386"/>
        <v>9.2659460211926135</v>
      </c>
      <c r="AL413">
        <f t="shared" si="387"/>
        <v>1.4626636614097863</v>
      </c>
      <c r="AM413" t="str">
        <f t="shared" si="368"/>
        <v>1-9.15108234710249i</v>
      </c>
      <c r="AN413">
        <f t="shared" si="388"/>
        <v>9.2055585448929058</v>
      </c>
      <c r="AO413">
        <f t="shared" si="389"/>
        <v>-1.4619515174595996</v>
      </c>
      <c r="AP413" s="41" t="str">
        <f t="shared" si="390"/>
        <v>0.0210892780014871-14.8738635559109i</v>
      </c>
      <c r="AQ413">
        <f t="shared" si="391"/>
        <v>23.448484595058328</v>
      </c>
      <c r="AR413" s="43">
        <f t="shared" si="392"/>
        <v>-89.918761806023397</v>
      </c>
      <c r="AS413" t="str">
        <f t="shared" si="369"/>
        <v>-0.0000166666666666667</v>
      </c>
      <c r="AT413" t="str">
        <f t="shared" si="370"/>
        <v>0.00190396423182727i</v>
      </c>
      <c r="AU413">
        <f t="shared" si="393"/>
        <v>1.90396423182727E-3</v>
      </c>
      <c r="AV413">
        <f t="shared" si="394"/>
        <v>1.5707963267948966</v>
      </c>
      <c r="AW413" t="str">
        <f t="shared" si="371"/>
        <v>1+1.9349283560127i</v>
      </c>
      <c r="AX413">
        <f t="shared" si="395"/>
        <v>2.1780605461974676</v>
      </c>
      <c r="AY413">
        <f t="shared" si="396"/>
        <v>1.093787385935731</v>
      </c>
      <c r="AZ413" t="str">
        <f t="shared" si="372"/>
        <v>1+65.7875641044318i</v>
      </c>
      <c r="BA413">
        <f t="shared" si="397"/>
        <v>65.795163886069346</v>
      </c>
      <c r="BB413">
        <f t="shared" si="398"/>
        <v>1.5555970561351129</v>
      </c>
      <c r="BC413" s="41" t="str">
        <f t="shared" si="399"/>
        <v>-0.117822679964067+0.236732110289104i</v>
      </c>
      <c r="BD413">
        <f t="shared" si="400"/>
        <v>-11.553720219175807</v>
      </c>
      <c r="BE413" s="43">
        <f t="shared" si="401"/>
        <v>116.45974504075289</v>
      </c>
      <c r="BF413" s="41" t="str">
        <f t="shared" si="402"/>
        <v>1.2703384575408-1.32422401573048i</v>
      </c>
      <c r="BG413" s="20">
        <f t="shared" si="403"/>
        <v>5.2728555580322602</v>
      </c>
      <c r="BH413" s="43">
        <f t="shared" si="404"/>
        <v>-46.189784906852523</v>
      </c>
      <c r="BI413" s="41" t="str">
        <f t="shared" si="357"/>
        <v>3.51863631249034+1.75747097486306i</v>
      </c>
      <c r="BJ413" s="20">
        <f t="shared" si="405"/>
        <v>11.89476437588252</v>
      </c>
      <c r="BK413" s="43">
        <f t="shared" si="358"/>
        <v>26.540983234729591</v>
      </c>
      <c r="BL413">
        <f t="shared" si="406"/>
        <v>5.2728555580322602</v>
      </c>
      <c r="BM413" s="43">
        <f t="shared" si="407"/>
        <v>-46.189784906852523</v>
      </c>
    </row>
    <row r="414" spans="14:65" x14ac:dyDescent="0.25">
      <c r="N414" s="9">
        <v>96</v>
      </c>
      <c r="O414" s="34">
        <f t="shared" si="359"/>
        <v>91201.083935591028</v>
      </c>
      <c r="P414" s="33" t="str">
        <f t="shared" si="360"/>
        <v>16.5157725627975</v>
      </c>
      <c r="Q414" s="4" t="str">
        <f t="shared" si="361"/>
        <v>1+1482.70709313089i</v>
      </c>
      <c r="R414" s="4">
        <f t="shared" si="373"/>
        <v>1482.707430351873</v>
      </c>
      <c r="S414" s="4">
        <f t="shared" si="374"/>
        <v>1.5701218848548744</v>
      </c>
      <c r="T414" s="4" t="str">
        <f t="shared" si="362"/>
        <v>1+9.42639795908966i</v>
      </c>
      <c r="U414" s="4">
        <f t="shared" si="375"/>
        <v>9.4792920876576936</v>
      </c>
      <c r="V414" s="4">
        <f t="shared" si="376"/>
        <v>1.4651065621099428</v>
      </c>
      <c r="W414" t="str">
        <f t="shared" si="363"/>
        <v>1-143.25832764574i</v>
      </c>
      <c r="X414" s="4">
        <f t="shared" si="377"/>
        <v>143.2618178017234</v>
      </c>
      <c r="Y414" s="4">
        <f t="shared" si="378"/>
        <v>-1.5638160431707089</v>
      </c>
      <c r="Z414" t="str">
        <f t="shared" si="364"/>
        <v>0.828147981177134+2.00561658704035i</v>
      </c>
      <c r="AA414" s="4">
        <f t="shared" si="379"/>
        <v>2.1698679620979577</v>
      </c>
      <c r="AB414" s="4">
        <f t="shared" si="380"/>
        <v>1.1792066537665233</v>
      </c>
      <c r="AC414" s="47" t="str">
        <f t="shared" si="381"/>
        <v>-6.67311900614642-2.01720438768403i</v>
      </c>
      <c r="AD414" s="20">
        <f t="shared" si="382"/>
        <v>16.866329701476754</v>
      </c>
      <c r="AE414" s="43">
        <f t="shared" si="383"/>
        <v>-163.18055842058496</v>
      </c>
      <c r="AF414" t="str">
        <f t="shared" si="365"/>
        <v>247.084651286898</v>
      </c>
      <c r="AG414" t="str">
        <f t="shared" si="366"/>
        <v>1+1449.97775839376i</v>
      </c>
      <c r="AH414">
        <f t="shared" si="384"/>
        <v>1449.9781032265946</v>
      </c>
      <c r="AI414">
        <f t="shared" si="385"/>
        <v>1.570106661153017</v>
      </c>
      <c r="AJ414" t="str">
        <f t="shared" si="367"/>
        <v>1+9.42639795908966i</v>
      </c>
      <c r="AK414">
        <f t="shared" si="386"/>
        <v>9.4792920876576936</v>
      </c>
      <c r="AL414">
        <f t="shared" si="387"/>
        <v>1.4651065621099428</v>
      </c>
      <c r="AM414" t="str">
        <f t="shared" si="368"/>
        <v>1-9.36423843757409i</v>
      </c>
      <c r="AN414">
        <f t="shared" si="388"/>
        <v>9.4174816971279558</v>
      </c>
      <c r="AO414">
        <f t="shared" si="389"/>
        <v>-1.4644102611281757</v>
      </c>
      <c r="AP414" s="41" t="str">
        <f t="shared" si="390"/>
        <v>0.0210837397857293-15.2122900552334i</v>
      </c>
      <c r="AQ414">
        <f t="shared" si="391"/>
        <v>23.643900294034879</v>
      </c>
      <c r="AR414" s="43">
        <f t="shared" si="392"/>
        <v>-89.920589961919063</v>
      </c>
      <c r="AS414" t="str">
        <f t="shared" si="369"/>
        <v>-0.0000166666666666667</v>
      </c>
      <c r="AT414" t="str">
        <f t="shared" si="370"/>
        <v>0.00194831325598206i</v>
      </c>
      <c r="AU414">
        <f t="shared" si="393"/>
        <v>1.9483132559820599E-3</v>
      </c>
      <c r="AV414">
        <f t="shared" si="394"/>
        <v>1.5707963267948966</v>
      </c>
      <c r="AW414" t="str">
        <f t="shared" si="371"/>
        <v>1+1.97999862727311i</v>
      </c>
      <c r="AX414">
        <f t="shared" si="395"/>
        <v>2.218196241093966</v>
      </c>
      <c r="AY414">
        <f t="shared" si="396"/>
        <v>1.1031162025959944</v>
      </c>
      <c r="AZ414" t="str">
        <f t="shared" si="372"/>
        <v>1+67.3199533272859i</v>
      </c>
      <c r="BA414">
        <f t="shared" si="397"/>
        <v>67.327380136078006</v>
      </c>
      <c r="BB414">
        <f t="shared" si="398"/>
        <v>1.5559429822977191</v>
      </c>
      <c r="BC414" s="41" t="str">
        <f t="shared" si="399"/>
        <v>-0.113597523411502+0.233477348500157i</v>
      </c>
      <c r="BD414">
        <f t="shared" si="400"/>
        <v>-11.712365708012271</v>
      </c>
      <c r="BE414" s="43">
        <f t="shared" si="401"/>
        <v>115.94506332740916</v>
      </c>
      <c r="BF414" s="41" t="str">
        <f t="shared" si="402"/>
        <v>1.22902132434781-1.32887270912535i</v>
      </c>
      <c r="BG414" s="20">
        <f t="shared" si="403"/>
        <v>5.153963993464501</v>
      </c>
      <c r="BH414" s="43">
        <f t="shared" si="404"/>
        <v>-47.235495093175764</v>
      </c>
      <c r="BI414" s="41" t="str">
        <f t="shared" si="357"/>
        <v>3.54933008608729+1.73300105135357i</v>
      </c>
      <c r="BJ414" s="20">
        <f t="shared" si="405"/>
        <v>11.931534586022604</v>
      </c>
      <c r="BK414" s="43">
        <f t="shared" si="358"/>
        <v>26.024473365490056</v>
      </c>
      <c r="BL414">
        <f t="shared" si="406"/>
        <v>5.153963993464501</v>
      </c>
      <c r="BM414" s="43">
        <f t="shared" si="407"/>
        <v>-47.235495093175764</v>
      </c>
    </row>
    <row r="415" spans="14:65" x14ac:dyDescent="0.25">
      <c r="N415" s="9">
        <v>97</v>
      </c>
      <c r="O415" s="34">
        <f t="shared" si="359"/>
        <v>93325.430079699145</v>
      </c>
      <c r="P415" s="33" t="str">
        <f t="shared" si="360"/>
        <v>16.5157725627975</v>
      </c>
      <c r="Q415" s="4" t="str">
        <f t="shared" si="361"/>
        <v>1+1517.2437780058i</v>
      </c>
      <c r="R415" s="4">
        <f t="shared" si="373"/>
        <v>1517.2441075506979</v>
      </c>
      <c r="S415" s="4">
        <f t="shared" si="374"/>
        <v>1.5701372370232354</v>
      </c>
      <c r="T415" s="4" t="str">
        <f t="shared" si="362"/>
        <v>1+9.64596697398605i</v>
      </c>
      <c r="U415" s="4">
        <f t="shared" si="375"/>
        <v>9.697663577544315</v>
      </c>
      <c r="V415" s="4">
        <f t="shared" si="376"/>
        <v>1.4674950797165114</v>
      </c>
      <c r="W415" t="str">
        <f t="shared" si="363"/>
        <v>1-146.595242765745i</v>
      </c>
      <c r="X415" s="4">
        <f t="shared" si="377"/>
        <v>146.59865347794883</v>
      </c>
      <c r="Y415" s="4">
        <f t="shared" si="378"/>
        <v>-1.5639749288382125</v>
      </c>
      <c r="Z415" t="str">
        <f t="shared" si="364"/>
        <v>0.820048845050396+2.05233339872044i</v>
      </c>
      <c r="AA415" s="4">
        <f t="shared" si="379"/>
        <v>2.2101023704280944</v>
      </c>
      <c r="AB415" s="4">
        <f t="shared" si="380"/>
        <v>1.1906615392831397</v>
      </c>
      <c r="AC415" s="47" t="str">
        <f t="shared" si="381"/>
        <v>-6.72099311514134-1.9640818699529i</v>
      </c>
      <c r="AD415" s="20">
        <f t="shared" si="382"/>
        <v>16.904562778137127</v>
      </c>
      <c r="AE415" s="43">
        <f t="shared" si="383"/>
        <v>-163.71000612996991</v>
      </c>
      <c r="AF415" t="str">
        <f t="shared" si="365"/>
        <v>247.084651286898</v>
      </c>
      <c r="AG415" t="str">
        <f t="shared" si="366"/>
        <v>1+1483.75207912729i</v>
      </c>
      <c r="AH415">
        <f t="shared" si="384"/>
        <v>1483.7524161107726</v>
      </c>
      <c r="AI415">
        <f t="shared" si="385"/>
        <v>1.5701223598548282</v>
      </c>
      <c r="AJ415" t="str">
        <f t="shared" si="367"/>
        <v>1+9.64596697398605i</v>
      </c>
      <c r="AK415">
        <f t="shared" si="386"/>
        <v>9.697663577544315</v>
      </c>
      <c r="AL415">
        <f t="shared" si="387"/>
        <v>1.4674950797165114</v>
      </c>
      <c r="AM415" t="str">
        <f t="shared" si="368"/>
        <v>1-9.58235957121565i</v>
      </c>
      <c r="AN415">
        <f t="shared" si="388"/>
        <v>9.6343974877554324</v>
      </c>
      <c r="AO415">
        <f t="shared" si="389"/>
        <v>-1.4668142852419328</v>
      </c>
      <c r="AP415" s="41" t="str">
        <f t="shared" si="390"/>
        <v>0.0210784508305076-15.5587823117577i</v>
      </c>
      <c r="AQ415">
        <f t="shared" si="391"/>
        <v>23.83952006055538</v>
      </c>
      <c r="AR415" s="43">
        <f t="shared" si="392"/>
        <v>-89.922377888693561</v>
      </c>
      <c r="AS415" t="str">
        <f t="shared" si="369"/>
        <v>-0.0000166666666666667</v>
      </c>
      <c r="AT415" t="str">
        <f t="shared" si="370"/>
        <v>0.00199369530161414i</v>
      </c>
      <c r="AU415">
        <f t="shared" si="393"/>
        <v>1.9936953016141401E-3</v>
      </c>
      <c r="AV415">
        <f t="shared" si="394"/>
        <v>1.5707963267948966</v>
      </c>
      <c r="AW415" t="str">
        <f t="shared" si="371"/>
        <v>1+2.02611872001409i</v>
      </c>
      <c r="AX415">
        <f t="shared" si="395"/>
        <v>2.2594594635867082</v>
      </c>
      <c r="AY415">
        <f t="shared" si="396"/>
        <v>1.1123184050155739</v>
      </c>
      <c r="AZ415" t="str">
        <f t="shared" si="372"/>
        <v>1+68.8880364804791i</v>
      </c>
      <c r="BA415">
        <f t="shared" si="397"/>
        <v>68.895294252480113</v>
      </c>
      <c r="BB415">
        <f t="shared" si="398"/>
        <v>1.5562810376548066</v>
      </c>
      <c r="BC415" s="41" t="str">
        <f t="shared" si="399"/>
        <v>-0.109486276186581+0.230191879748959i</v>
      </c>
      <c r="BD415">
        <f t="shared" si="400"/>
        <v>-11.872500611915296</v>
      </c>
      <c r="BE415" s="43">
        <f t="shared" si="401"/>
        <v>115.43718511174504</v>
      </c>
      <c r="BF415" s="41" t="str">
        <f t="shared" si="402"/>
        <v>1.18797220607778-1.33207802888748i</v>
      </c>
      <c r="BG415" s="20">
        <f t="shared" si="403"/>
        <v>5.0320621662218334</v>
      </c>
      <c r="BH415" s="43">
        <f t="shared" si="404"/>
        <v>-48.272821018225017</v>
      </c>
      <c r="BI415" s="41" t="str">
        <f t="shared" si="357"/>
        <v>3.57919754585914+1.70832522553087i</v>
      </c>
      <c r="BJ415" s="20">
        <f t="shared" si="405"/>
        <v>11.967019448640082</v>
      </c>
      <c r="BK415" s="43">
        <f t="shared" si="358"/>
        <v>25.514807223051555</v>
      </c>
      <c r="BL415">
        <f t="shared" si="406"/>
        <v>5.0320621662218334</v>
      </c>
      <c r="BM415" s="43">
        <f t="shared" si="407"/>
        <v>-48.272821018225017</v>
      </c>
    </row>
    <row r="416" spans="14:65" x14ac:dyDescent="0.25">
      <c r="N416" s="9">
        <v>98</v>
      </c>
      <c r="O416" s="34">
        <f t="shared" si="359"/>
        <v>95499.258602143804</v>
      </c>
      <c r="P416" s="33" t="str">
        <f t="shared" si="360"/>
        <v>16.5157725627975</v>
      </c>
      <c r="Q416" s="4" t="str">
        <f t="shared" si="361"/>
        <v>1+1552.58492561492i</v>
      </c>
      <c r="R416" s="4">
        <f t="shared" si="373"/>
        <v>1552.5852476584616</v>
      </c>
      <c r="S416" s="4">
        <f t="shared" si="374"/>
        <v>1.5701522397338805</v>
      </c>
      <c r="T416" s="4" t="str">
        <f t="shared" si="362"/>
        <v>1+9.87065040825154i</v>
      </c>
      <c r="U416" s="4">
        <f t="shared" si="375"/>
        <v>9.9211763154333816</v>
      </c>
      <c r="V416" s="4">
        <f t="shared" si="376"/>
        <v>1.4698303715813712</v>
      </c>
      <c r="W416" t="str">
        <f t="shared" si="363"/>
        <v>1-150.009884623883i</v>
      </c>
      <c r="X416" s="4">
        <f t="shared" si="377"/>
        <v>150.01321770054363</v>
      </c>
      <c r="Y416" s="4">
        <f t="shared" si="378"/>
        <v>-1.5641301981591758</v>
      </c>
      <c r="Z416" t="str">
        <f t="shared" si="364"/>
        <v>0.811568008397539+2.10013838473437i</v>
      </c>
      <c r="AA416" s="4">
        <f t="shared" si="379"/>
        <v>2.2514936969241188</v>
      </c>
      <c r="AB416" s="4">
        <f t="shared" si="380"/>
        <v>1.2020379038225713</v>
      </c>
      <c r="AC416" s="47" t="str">
        <f t="shared" si="381"/>
        <v>-6.76736805950638-1.91015376573202i</v>
      </c>
      <c r="AD416" s="20">
        <f t="shared" si="382"/>
        <v>16.941307944131093</v>
      </c>
      <c r="AE416" s="43">
        <f t="shared" si="383"/>
        <v>-164.23777730527422</v>
      </c>
      <c r="AF416" t="str">
        <f t="shared" si="365"/>
        <v>247.084651286898</v>
      </c>
      <c r="AG416" t="str">
        <f t="shared" si="366"/>
        <v>1+1518.31310485296i</v>
      </c>
      <c r="AH416">
        <f t="shared" si="384"/>
        <v>1518.313434165764</v>
      </c>
      <c r="AI416">
        <f t="shared" si="385"/>
        <v>1.5701377012108799</v>
      </c>
      <c r="AJ416" t="str">
        <f t="shared" si="367"/>
        <v>1+9.87065040825154i</v>
      </c>
      <c r="AK416">
        <f t="shared" si="386"/>
        <v>9.9211763154333816</v>
      </c>
      <c r="AL416">
        <f t="shared" si="387"/>
        <v>1.4698303715813712</v>
      </c>
      <c r="AM416" t="str">
        <f t="shared" si="368"/>
        <v>1-9.8055613987394i</v>
      </c>
      <c r="AN416">
        <f t="shared" si="388"/>
        <v>9.8564209703344225</v>
      </c>
      <c r="AO416">
        <f t="shared" si="389"/>
        <v>-1.4691647532364089</v>
      </c>
      <c r="AP416" s="41" t="str">
        <f t="shared" si="390"/>
        <v>0.021073399917274-15.9135240402875i</v>
      </c>
      <c r="AQ416">
        <f t="shared" si="391"/>
        <v>24.035334906840479</v>
      </c>
      <c r="AR416" s="43">
        <f t="shared" si="392"/>
        <v>-89.924126411823678</v>
      </c>
      <c r="AS416" t="str">
        <f t="shared" si="369"/>
        <v>-0.0000166666666666667</v>
      </c>
      <c r="AT416" t="str">
        <f t="shared" si="370"/>
        <v>0.00204013443088481i</v>
      </c>
      <c r="AU416">
        <f t="shared" si="393"/>
        <v>2.0401344308848099E-3</v>
      </c>
      <c r="AV416">
        <f t="shared" si="394"/>
        <v>1.5707963267948966</v>
      </c>
      <c r="AW416" t="str">
        <f t="shared" si="371"/>
        <v>1+2.07331308771927i</v>
      </c>
      <c r="AX416">
        <f t="shared" si="395"/>
        <v>2.30187470547552</v>
      </c>
      <c r="AY416">
        <f t="shared" si="396"/>
        <v>1.1213926374042544</v>
      </c>
      <c r="AZ416" t="str">
        <f t="shared" si="372"/>
        <v>1+70.4926449824553i</v>
      </c>
      <c r="BA416">
        <f t="shared" si="397"/>
        <v>70.49973756420998</v>
      </c>
      <c r="BB416">
        <f t="shared" si="398"/>
        <v>1.5566114011385552</v>
      </c>
      <c r="BC416" s="41" t="str">
        <f t="shared" si="399"/>
        <v>-0.10548857653706+0.226880242636954i</v>
      </c>
      <c r="BD416">
        <f t="shared" si="400"/>
        <v>-12.034084321701673</v>
      </c>
      <c r="BE416" s="43">
        <f t="shared" si="401"/>
        <v>114.93619832687673</v>
      </c>
      <c r="BF416" s="41" t="str">
        <f t="shared" si="402"/>
        <v>1.14725617334287-1.3338827056404i</v>
      </c>
      <c r="BG416" s="20">
        <f t="shared" si="403"/>
        <v>4.9072236224294183</v>
      </c>
      <c r="BH416" s="43">
        <f t="shared" si="404"/>
        <v>-49.301578978397309</v>
      </c>
      <c r="BI416" s="41" t="str">
        <f t="shared" si="357"/>
        <v>3.60824119250936+1.68347613678463i</v>
      </c>
      <c r="BJ416" s="20">
        <f t="shared" si="405"/>
        <v>12.001250585138809</v>
      </c>
      <c r="BK416" s="43">
        <f t="shared" si="358"/>
        <v>25.01207191505306</v>
      </c>
      <c r="BL416">
        <f t="shared" si="406"/>
        <v>4.9072236224294183</v>
      </c>
      <c r="BM416" s="43">
        <f t="shared" si="407"/>
        <v>-49.301578978397309</v>
      </c>
    </row>
    <row r="417" spans="14:65" x14ac:dyDescent="0.25">
      <c r="N417" s="9">
        <v>99</v>
      </c>
      <c r="O417" s="34">
        <f t="shared" si="359"/>
        <v>97723.722095581266</v>
      </c>
      <c r="P417" s="33" t="str">
        <f t="shared" si="360"/>
        <v>16.5157725627975</v>
      </c>
      <c r="Q417" s="4" t="str">
        <f t="shared" si="361"/>
        <v>1+1588.74927430248i</v>
      </c>
      <c r="R417" s="4">
        <f t="shared" si="373"/>
        <v>1588.7495890154171</v>
      </c>
      <c r="S417" s="4">
        <f t="shared" si="374"/>
        <v>1.5701669009414183</v>
      </c>
      <c r="T417" s="4" t="str">
        <f t="shared" si="362"/>
        <v>1+10.1005673920169i</v>
      </c>
      <c r="U417" s="4">
        <f t="shared" si="375"/>
        <v>10.149948849165453</v>
      </c>
      <c r="V417" s="4">
        <f t="shared" si="376"/>
        <v>1.4721135739656674</v>
      </c>
      <c r="W417" t="str">
        <f t="shared" si="363"/>
        <v>1-153.504063708464i</v>
      </c>
      <c r="X417" s="4">
        <f t="shared" si="377"/>
        <v>153.50732091666563</v>
      </c>
      <c r="Y417" s="4">
        <f t="shared" si="378"/>
        <v>-1.5642819334294837</v>
      </c>
      <c r="Z417" t="str">
        <f t="shared" si="364"/>
        <v>0.802687482226975+2.1490568919185i</v>
      </c>
      <c r="AA417" s="4">
        <f t="shared" si="379"/>
        <v>2.2940690309636027</v>
      </c>
      <c r="AB417" s="4">
        <f t="shared" si="380"/>
        <v>1.2133353567990453</v>
      </c>
      <c r="AC417" s="47" t="str">
        <f t="shared" si="381"/>
        <v>-6.81224059090938-1.85546867243672i</v>
      </c>
      <c r="AD417" s="20">
        <f t="shared" si="382"/>
        <v>16.976598122358769</v>
      </c>
      <c r="AE417" s="43">
        <f t="shared" si="383"/>
        <v>-164.76378963558574</v>
      </c>
      <c r="AF417" t="str">
        <f t="shared" si="365"/>
        <v>247.084651286898</v>
      </c>
      <c r="AG417" t="str">
        <f t="shared" si="366"/>
        <v>1+1553.67916028407i</v>
      </c>
      <c r="AH417">
        <f t="shared" si="384"/>
        <v>1553.6794821008007</v>
      </c>
      <c r="AI417">
        <f t="shared" si="385"/>
        <v>1.5701526933553329</v>
      </c>
      <c r="AJ417" t="str">
        <f t="shared" si="367"/>
        <v>1+10.1005673920169i</v>
      </c>
      <c r="AK417">
        <f t="shared" si="386"/>
        <v>10.149948849165453</v>
      </c>
      <c r="AL417">
        <f t="shared" si="387"/>
        <v>1.4721135739656674</v>
      </c>
      <c r="AM417" t="str">
        <f t="shared" si="368"/>
        <v>1-10.0339622647087i</v>
      </c>
      <c r="AN417">
        <f t="shared" si="388"/>
        <v>10.08366990383948</v>
      </c>
      <c r="AO417">
        <f t="shared" si="389"/>
        <v>-1.4714628074189968</v>
      </c>
      <c r="AP417" s="41" t="str">
        <f t="shared" si="390"/>
        <v>0.0210685763323784-16.2767033296043i</v>
      </c>
      <c r="AQ417">
        <f t="shared" si="391"/>
        <v>24.231336232579572</v>
      </c>
      <c r="AR417" s="43">
        <f t="shared" si="392"/>
        <v>-89.925836343786983</v>
      </c>
      <c r="AS417" t="str">
        <f t="shared" si="369"/>
        <v>-0.0000166666666666667</v>
      </c>
      <c r="AT417" t="str">
        <f t="shared" si="370"/>
        <v>0.00208765526643511i</v>
      </c>
      <c r="AU417">
        <f t="shared" si="393"/>
        <v>2.08765526643511E-3</v>
      </c>
      <c r="AV417">
        <f t="shared" si="394"/>
        <v>1.5707963267948966</v>
      </c>
      <c r="AW417" t="str">
        <f t="shared" si="371"/>
        <v>1+2.1216067534671i</v>
      </c>
      <c r="AX417">
        <f t="shared" si="395"/>
        <v>2.3454669506000738</v>
      </c>
      <c r="AY417">
        <f t="shared" si="396"/>
        <v>1.1303377325669108</v>
      </c>
      <c r="AZ417" t="str">
        <f t="shared" si="372"/>
        <v>1+72.1346296178815i</v>
      </c>
      <c r="BA417">
        <f t="shared" si="397"/>
        <v>72.141560768456813</v>
      </c>
      <c r="BB417">
        <f t="shared" si="398"/>
        <v>1.5569342476234445</v>
      </c>
      <c r="BC417" s="41" t="str">
        <f t="shared" si="399"/>
        <v>-0.10160384836722+0.223546849009082i</v>
      </c>
      <c r="BD417">
        <f t="shared" si="400"/>
        <v>-12.197076392273035</v>
      </c>
      <c r="BE417" s="43">
        <f t="shared" si="401"/>
        <v>114.44217986772837</v>
      </c>
      <c r="BF417" s="41" t="str">
        <f t="shared" si="402"/>
        <v>1.10693403519807-1.33433216114517i</v>
      </c>
      <c r="BG417" s="20">
        <f t="shared" si="403"/>
        <v>4.7795217300857278</v>
      </c>
      <c r="BH417" s="43">
        <f t="shared" si="404"/>
        <v>-50.321609767857375</v>
      </c>
      <c r="BI417" s="41" t="str">
        <f t="shared" si="357"/>
        <v>3.63646509315369+1.65848551087155i</v>
      </c>
      <c r="BJ417" s="20">
        <f t="shared" si="405"/>
        <v>12.034259840306547</v>
      </c>
      <c r="BK417" s="43">
        <f t="shared" si="358"/>
        <v>24.516343523941362</v>
      </c>
      <c r="BL417">
        <f t="shared" si="406"/>
        <v>4.7795217300857278</v>
      </c>
      <c r="BM417" s="43">
        <f t="shared" si="407"/>
        <v>-50.321609767857375</v>
      </c>
    </row>
    <row r="418" spans="14:65" x14ac:dyDescent="0.25">
      <c r="N418" s="9">
        <v>100</v>
      </c>
      <c r="O418" s="34">
        <f t="shared" si="359"/>
        <v>100000</v>
      </c>
      <c r="P418" s="33" t="str">
        <f t="shared" si="360"/>
        <v>16.5157725627975</v>
      </c>
      <c r="Q418" s="4" t="str">
        <f t="shared" si="361"/>
        <v>1+1625.75599888486i</v>
      </c>
      <c r="R418" s="4">
        <f t="shared" si="373"/>
        <v>1625.7563064340573</v>
      </c>
      <c r="S418" s="4">
        <f t="shared" si="374"/>
        <v>1.5701812284193897</v>
      </c>
      <c r="T418" s="4" t="str">
        <f t="shared" si="362"/>
        <v>1+10.3358398303104i</v>
      </c>
      <c r="U418" s="4">
        <f t="shared" si="375"/>
        <v>10.384102512871824</v>
      </c>
      <c r="V418" s="4">
        <f t="shared" si="376"/>
        <v>1.4743458021823959</v>
      </c>
      <c r="W418" t="str">
        <f t="shared" si="363"/>
        <v>1-157.07963267949i</v>
      </c>
      <c r="X418" s="4">
        <f t="shared" si="377"/>
        <v>157.08281574610098</v>
      </c>
      <c r="Y418" s="4">
        <f t="shared" si="378"/>
        <v>-1.5644302150732214</v>
      </c>
      <c r="Z418" t="str">
        <f t="shared" si="364"/>
        <v>0.793388429752066+2.19911485751285i</v>
      </c>
      <c r="AA418" s="4">
        <f t="shared" si="379"/>
        <v>2.337856145488471</v>
      </c>
      <c r="AB418" s="4">
        <f t="shared" si="380"/>
        <v>1.224553718827847</v>
      </c>
      <c r="AC418" s="47" t="str">
        <f t="shared" si="381"/>
        <v>-6.85560980362036-1.80007363083823i</v>
      </c>
      <c r="AD418" s="20">
        <f t="shared" si="382"/>
        <v>17.010466125789044</v>
      </c>
      <c r="AE418" s="43">
        <f t="shared" si="383"/>
        <v>-165.28797399354167</v>
      </c>
      <c r="AF418" t="str">
        <f t="shared" si="365"/>
        <v>247.084651286898</v>
      </c>
      <c r="AG418" t="str">
        <f t="shared" si="366"/>
        <v>1+1589.86899697133i</v>
      </c>
      <c r="AH418">
        <f t="shared" si="384"/>
        <v>1589.8693114626194</v>
      </c>
      <c r="AI418">
        <f t="shared" si="385"/>
        <v>1.5701673442371942</v>
      </c>
      <c r="AJ418" t="str">
        <f t="shared" si="367"/>
        <v>1+10.3358398303104i</v>
      </c>
      <c r="AK418">
        <f t="shared" si="386"/>
        <v>10.384102512871824</v>
      </c>
      <c r="AL418">
        <f t="shared" si="387"/>
        <v>1.4743458021823959</v>
      </c>
      <c r="AM418" t="str">
        <f t="shared" si="368"/>
        <v>1-10.2676832702859i</v>
      </c>
      <c r="AN418">
        <f t="shared" si="388"/>
        <v>10.316264815276359</v>
      </c>
      <c r="AO418">
        <f t="shared" si="389"/>
        <v>-1.473709569106062</v>
      </c>
      <c r="AP418" s="41" t="str">
        <f t="shared" si="390"/>
        <v>0.0210639698444076-16.6485127421946i</v>
      </c>
      <c r="AQ418">
        <f t="shared" si="391"/>
        <v>24.427515808957988</v>
      </c>
      <c r="AR418" s="43">
        <f t="shared" si="392"/>
        <v>-89.927508483995751</v>
      </c>
      <c r="AS418" t="str">
        <f t="shared" si="369"/>
        <v>-0.0000166666666666667</v>
      </c>
      <c r="AT418" t="str">
        <f t="shared" si="370"/>
        <v>0.00213628300444106i</v>
      </c>
      <c r="AU418">
        <f t="shared" si="393"/>
        <v>2.13628300444106E-3</v>
      </c>
      <c r="AV418">
        <f t="shared" si="394"/>
        <v>1.5707963267948966</v>
      </c>
      <c r="AW418" t="str">
        <f t="shared" si="371"/>
        <v>1+2.17102532319841i</v>
      </c>
      <c r="AX418">
        <f t="shared" si="395"/>
        <v>2.3902616915243318</v>
      </c>
      <c r="AY418">
        <f t="shared" si="396"/>
        <v>1.1391527063989209</v>
      </c>
      <c r="AZ418" t="str">
        <f t="shared" si="372"/>
        <v>1+73.8148609887458i</v>
      </c>
      <c r="BA418">
        <f t="shared" si="397"/>
        <v>73.821634381716763</v>
      </c>
      <c r="BB418">
        <f t="shared" si="398"/>
        <v>1.5572497480175973</v>
      </c>
      <c r="BC418" s="41" t="str">
        <f t="shared" si="399"/>
        <v>-0.0978313149641075+0.220195975085539i</v>
      </c>
      <c r="BD418">
        <f t="shared" si="400"/>
        <v>-12.36143661704601</v>
      </c>
      <c r="BE418" s="43">
        <f t="shared" si="401"/>
        <v>113.95519591165562</v>
      </c>
      <c r="BF418" s="41" t="str">
        <f t="shared" si="402"/>
        <v>1.0670622903372-1.33347411517705i</v>
      </c>
      <c r="BG418" s="20">
        <f t="shared" si="403"/>
        <v>4.6490295087430544</v>
      </c>
      <c r="BH418" s="43">
        <f t="shared" si="404"/>
        <v>-51.332778081886048</v>
      </c>
      <c r="BI418" s="41" t="str">
        <f t="shared" si="357"/>
        <v>3.66387478112332+1.63338409514466i</v>
      </c>
      <c r="BJ418" s="20">
        <f t="shared" si="405"/>
        <v>12.066079191911982</v>
      </c>
      <c r="BK418" s="43">
        <f t="shared" si="358"/>
        <v>24.027687427659892</v>
      </c>
      <c r="BL418">
        <f t="shared" si="406"/>
        <v>4.6490295087430544</v>
      </c>
      <c r="BM418" s="43">
        <f t="shared" si="407"/>
        <v>-51.332778081886048</v>
      </c>
    </row>
    <row r="419" spans="14:65" x14ac:dyDescent="0.25">
      <c r="N419" s="9">
        <v>1</v>
      </c>
      <c r="O419" s="34">
        <f>10^(5+(N419/100))</f>
        <v>102329.29922807543</v>
      </c>
      <c r="P419" s="33" t="str">
        <f t="shared" si="360"/>
        <v>16.5157725627975</v>
      </c>
      <c r="Q419" s="4" t="str">
        <f t="shared" si="361"/>
        <v>1+1663.62472081727i</v>
      </c>
      <c r="R419" s="4">
        <f t="shared" si="373"/>
        <v>1663.6250213657943</v>
      </c>
      <c r="S419" s="4">
        <f t="shared" si="374"/>
        <v>1.57019522976439</v>
      </c>
      <c r="T419" s="4" t="str">
        <f t="shared" si="362"/>
        <v>1+10.576592467693i</v>
      </c>
      <c r="U419" s="4">
        <f t="shared" si="375"/>
        <v>10.623761491470916</v>
      </c>
      <c r="V419" s="4">
        <f t="shared" si="376"/>
        <v>1.4765281507568633</v>
      </c>
      <c r="W419" t="str">
        <f t="shared" si="363"/>
        <v>1-160.738487350957i</v>
      </c>
      <c r="X419" s="4">
        <f t="shared" si="377"/>
        <v>160.74159796354448</v>
      </c>
      <c r="Y419" s="4">
        <f t="shared" si="378"/>
        <v>-1.5645751216851811</v>
      </c>
      <c r="Z419" t="str">
        <f t="shared" si="364"/>
        <v>0.783651126435764+2.25033882291339i</v>
      </c>
      <c r="AA419" s="4">
        <f t="shared" si="379"/>
        <v>2.3828835275512867</v>
      </c>
      <c r="AB419" s="4">
        <f t="shared" si="380"/>
        <v>1.2356930165766213</v>
      </c>
      <c r="AC419" s="47" t="str">
        <f t="shared" si="381"/>
        <v>-6.89747696092753-1.74401401810772i</v>
      </c>
      <c r="AD419" s="20">
        <f t="shared" si="382"/>
        <v>17.042944566427444</v>
      </c>
      <c r="AE419" s="43">
        <f t="shared" si="383"/>
        <v>-165.81027413380747</v>
      </c>
      <c r="AF419" t="str">
        <f t="shared" si="365"/>
        <v>247.084651286898</v>
      </c>
      <c r="AG419" t="str">
        <f t="shared" si="366"/>
        <v>1+1626.90180324519i</v>
      </c>
      <c r="AH419">
        <f t="shared" si="384"/>
        <v>1626.9021105777849</v>
      </c>
      <c r="AI419">
        <f t="shared" si="385"/>
        <v>1.5701816616245294</v>
      </c>
      <c r="AJ419" t="str">
        <f t="shared" si="367"/>
        <v>1+10.576592467693i</v>
      </c>
      <c r="AK419">
        <f t="shared" si="386"/>
        <v>10.623761491470916</v>
      </c>
      <c r="AL419">
        <f t="shared" si="387"/>
        <v>1.4765281507568633</v>
      </c>
      <c r="AM419" t="str">
        <f t="shared" si="368"/>
        <v>1-10.5068483374419i</v>
      </c>
      <c r="AN419">
        <f t="shared" si="388"/>
        <v>10.554329063754155</v>
      </c>
      <c r="AO419">
        <f t="shared" si="389"/>
        <v>-1.4759061387784465</v>
      </c>
      <c r="AP419" s="41" t="str">
        <f t="shared" si="390"/>
        <v>0.0210595706823905-17.0291494163492i</v>
      </c>
      <c r="AQ419">
        <f t="shared" si="391"/>
        <v>24.623865763278388</v>
      </c>
      <c r="AR419" s="43">
        <f t="shared" si="392"/>
        <v>-89.929143618754409</v>
      </c>
      <c r="AS419" t="str">
        <f t="shared" si="369"/>
        <v>-0.0000166666666666667</v>
      </c>
      <c r="AT419" t="str">
        <f t="shared" si="370"/>
        <v>0.00218604342797301i</v>
      </c>
      <c r="AU419">
        <f t="shared" si="393"/>
        <v>2.1860434279730098E-3</v>
      </c>
      <c r="AV419">
        <f t="shared" si="394"/>
        <v>1.5707963267948966</v>
      </c>
      <c r="AW419" t="str">
        <f t="shared" si="371"/>
        <v>1+2.22159499929299i</v>
      </c>
      <c r="AX419">
        <f t="shared" si="395"/>
        <v>2.4362849465700074</v>
      </c>
      <c r="AY419">
        <f t="shared" si="396"/>
        <v>1.1478367520448642</v>
      </c>
      <c r="AZ419" t="str">
        <f t="shared" si="372"/>
        <v>1+75.5342299759616i</v>
      </c>
      <c r="BA419">
        <f t="shared" si="397"/>
        <v>75.540849201352344</v>
      </c>
      <c r="BB419">
        <f t="shared" si="398"/>
        <v>1.5575580693521143</v>
      </c>
      <c r="BC419" s="41" t="str">
        <f t="shared" si="399"/>
        <v>-0.094170012854417+0.216831753870559i</v>
      </c>
      <c r="BD419">
        <f t="shared" si="400"/>
        <v>-12.527125097436226</v>
      </c>
      <c r="BE419" s="43">
        <f t="shared" si="401"/>
        <v>113.47530225824575</v>
      </c>
      <c r="BF419" s="41" t="str">
        <f t="shared" si="402"/>
        <v>1.02769311239473-1.3313582042162i</v>
      </c>
      <c r="BG419" s="20">
        <f t="shared" si="403"/>
        <v>4.5158194689912134</v>
      </c>
      <c r="BH419" s="43">
        <f t="shared" si="404"/>
        <v>-52.334971875561642</v>
      </c>
      <c r="BI419" s="41" t="str">
        <f t="shared" si="357"/>
        <v>3.69047715482893+1.60820160308422i</v>
      </c>
      <c r="BJ419" s="20">
        <f t="shared" si="405"/>
        <v>12.096740665842155</v>
      </c>
      <c r="BK419" s="43">
        <f t="shared" si="358"/>
        <v>23.546158639491427</v>
      </c>
      <c r="BL419">
        <f t="shared" si="406"/>
        <v>4.5158194689912134</v>
      </c>
      <c r="BM419" s="43">
        <f t="shared" si="407"/>
        <v>-52.334971875561642</v>
      </c>
    </row>
    <row r="420" spans="14:65" x14ac:dyDescent="0.25">
      <c r="N420" s="9">
        <v>2</v>
      </c>
      <c r="O420" s="34">
        <f t="shared" ref="O420:O483" si="408">10^(5+(N420/100))</f>
        <v>104712.85480508996</v>
      </c>
      <c r="P420" s="33" t="str">
        <f t="shared" si="360"/>
        <v>16.5157725627975</v>
      </c>
      <c r="Q420" s="4" t="str">
        <f t="shared" si="361"/>
        <v>1+1702.37551859734i</v>
      </c>
      <c r="R420" s="4">
        <f t="shared" si="373"/>
        <v>1702.3758123045459</v>
      </c>
      <c r="S420" s="4">
        <f t="shared" si="374"/>
        <v>1.5702089124000953</v>
      </c>
      <c r="T420" s="4" t="str">
        <f t="shared" si="362"/>
        <v>1+10.8229529543996i</v>
      </c>
      <c r="U420" s="4">
        <f t="shared" si="375"/>
        <v>10.869052886666207</v>
      </c>
      <c r="V420" s="4">
        <f t="shared" si="376"/>
        <v>1.4786616936033639</v>
      </c>
      <c r="W420" t="str">
        <f t="shared" si="363"/>
        <v>1-164.482567696043i</v>
      </c>
      <c r="X420" s="4">
        <f t="shared" si="377"/>
        <v>164.4856075037672</v>
      </c>
      <c r="Y420" s="4">
        <f t="shared" si="378"/>
        <v>-1.564716730072411</v>
      </c>
      <c r="Z420" t="str">
        <f t="shared" si="364"/>
        <v>0.773454918152234+2.3027559477446i</v>
      </c>
      <c r="AA420" s="4">
        <f t="shared" si="379"/>
        <v>2.4291804101974415</v>
      </c>
      <c r="AB420" s="4">
        <f t="shared" si="380"/>
        <v>1.246753477243046</v>
      </c>
      <c r="AC420" s="47" t="str">
        <f t="shared" si="381"/>
        <v>-6.93784531907526-1.68733345677594i</v>
      </c>
      <c r="AD420" s="20">
        <f t="shared" si="382"/>
        <v>17.074065769210758</v>
      </c>
      <c r="AE420" s="43">
        <f t="shared" si="383"/>
        <v>-166.33064636915964</v>
      </c>
      <c r="AF420" t="str">
        <f t="shared" si="365"/>
        <v>247.084651286898</v>
      </c>
      <c r="AG420" t="str">
        <f t="shared" si="366"/>
        <v>1+1664.79721438973i</v>
      </c>
      <c r="AH420">
        <f t="shared" si="384"/>
        <v>1664.7975147265822</v>
      </c>
      <c r="AI420">
        <f t="shared" si="385"/>
        <v>1.5701956531085841</v>
      </c>
      <c r="AJ420" t="str">
        <f t="shared" si="367"/>
        <v>1+10.8229529543996i</v>
      </c>
      <c r="AK420">
        <f t="shared" si="386"/>
        <v>10.869052886666207</v>
      </c>
      <c r="AL420">
        <f t="shared" si="387"/>
        <v>1.4786616936033639</v>
      </c>
      <c r="AM420" t="str">
        <f t="shared" si="368"/>
        <v>1-10.751584274661i</v>
      </c>
      <c r="AN420">
        <f t="shared" si="388"/>
        <v>10.797988906048094</v>
      </c>
      <c r="AO420">
        <f t="shared" si="389"/>
        <v>-1.4780535962536485</v>
      </c>
      <c r="AP420" s="41" t="str">
        <f t="shared" si="390"/>
        <v>0.0210553695151129-17.4188151706881i</v>
      </c>
      <c r="AQ420">
        <f t="shared" si="391"/>
        <v>24.820378564159768</v>
      </c>
      <c r="AR420" s="43">
        <f t="shared" si="392"/>
        <v>-89.930742521237946</v>
      </c>
      <c r="AS420" t="str">
        <f t="shared" si="369"/>
        <v>-0.0000166666666666667</v>
      </c>
      <c r="AT420" t="str">
        <f t="shared" si="370"/>
        <v>0.00223696292066618i</v>
      </c>
      <c r="AU420">
        <f t="shared" si="393"/>
        <v>2.2369629206661799E-3</v>
      </c>
      <c r="AV420">
        <f t="shared" si="394"/>
        <v>1.5707963267948966</v>
      </c>
      <c r="AW420" t="str">
        <f t="shared" si="371"/>
        <v>1+2.27334259446248i</v>
      </c>
      <c r="AX420">
        <f t="shared" si="395"/>
        <v>2.4835632771881211</v>
      </c>
      <c r="AY420">
        <f t="shared" si="396"/>
        <v>1.1563892337722124</v>
      </c>
      <c r="AZ420" t="str">
        <f t="shared" si="372"/>
        <v>1+77.2936482117244i</v>
      </c>
      <c r="BA420">
        <f t="shared" si="397"/>
        <v>77.300116777905359</v>
      </c>
      <c r="BB420">
        <f t="shared" si="398"/>
        <v>1.5578593748684364</v>
      </c>
      <c r="BC420" s="41" t="str">
        <f t="shared" si="399"/>
        <v>-0.0906188056838022+0.213458168794885i</v>
      </c>
      <c r="BD420">
        <f t="shared" si="400"/>
        <v>-12.694102307368913</v>
      </c>
      <c r="BE420" s="43">
        <f t="shared" si="401"/>
        <v>113.00254468533538</v>
      </c>
      <c r="BF420" s="41" t="str">
        <f t="shared" si="402"/>
        <v>0.988874366663293-1.32803561454861i</v>
      </c>
      <c r="BG420" s="20">
        <f t="shared" si="403"/>
        <v>4.379963461841835</v>
      </c>
      <c r="BH420" s="43">
        <f t="shared" si="404"/>
        <v>-53.328101683824215</v>
      </c>
      <c r="BI420" s="41" t="str">
        <f t="shared" si="357"/>
        <v>3.71628037647295+1.58296666781465i</v>
      </c>
      <c r="BJ420" s="20">
        <f t="shared" si="405"/>
        <v>12.126276256790851</v>
      </c>
      <c r="BK420" s="43">
        <f t="shared" si="358"/>
        <v>23.071802164097502</v>
      </c>
      <c r="BL420">
        <f t="shared" si="406"/>
        <v>4.379963461841835</v>
      </c>
      <c r="BM420" s="43">
        <f t="shared" si="407"/>
        <v>-53.328101683824215</v>
      </c>
    </row>
    <row r="421" spans="14:65" x14ac:dyDescent="0.25">
      <c r="N421" s="9">
        <v>3</v>
      </c>
      <c r="O421" s="34">
        <f t="shared" si="408"/>
        <v>107151.93052376082</v>
      </c>
      <c r="P421" s="33" t="str">
        <f t="shared" si="360"/>
        <v>16.5157725627975</v>
      </c>
      <c r="Q421" s="4" t="str">
        <f t="shared" si="361"/>
        <v>1+1742.02893841098i</v>
      </c>
      <c r="R421" s="4">
        <f t="shared" si="373"/>
        <v>1742.0292254325948</v>
      </c>
      <c r="S421" s="4">
        <f t="shared" si="374"/>
        <v>1.5702222835811999</v>
      </c>
      <c r="T421" s="4" t="str">
        <f t="shared" si="362"/>
        <v>1+11.0750519140214i</v>
      </c>
      <c r="U421" s="4">
        <f t="shared" si="375"/>
        <v>11.120106784481392</v>
      </c>
      <c r="V421" s="4">
        <f t="shared" si="376"/>
        <v>1.480747484216508</v>
      </c>
      <c r="W421" t="str">
        <f t="shared" si="363"/>
        <v>1-168.313858875706i</v>
      </c>
      <c r="X421" s="4">
        <f t="shared" si="377"/>
        <v>168.3168294901941</v>
      </c>
      <c r="Y421" s="4">
        <f t="shared" si="378"/>
        <v>-1.564855115294822</v>
      </c>
      <c r="Z421" t="str">
        <f t="shared" si="364"/>
        <v>0.762778177376676+2.35639402425987i</v>
      </c>
      <c r="AA421" s="4">
        <f t="shared" si="379"/>
        <v>2.4767768057396102</v>
      </c>
      <c r="AB421" s="4">
        <f t="shared" si="380"/>
        <v>1.2577355227098068</v>
      </c>
      <c r="AC421" s="47" t="str">
        <f t="shared" si="381"/>
        <v>-6.9767199500606-1.63007373917336i</v>
      </c>
      <c r="AD421" s="20">
        <f t="shared" si="382"/>
        <v>17.103861690856668</v>
      </c>
      <c r="AE421" s="43">
        <f t="shared" si="383"/>
        <v>-166.84905922718028</v>
      </c>
      <c r="AF421" t="str">
        <f t="shared" si="365"/>
        <v>247.084651286898</v>
      </c>
      <c r="AG421" t="str">
        <f t="shared" si="366"/>
        <v>1+1703.57532305353i</v>
      </c>
      <c r="AH421">
        <f t="shared" si="384"/>
        <v>1703.5756165538819</v>
      </c>
      <c r="AI421">
        <f t="shared" si="385"/>
        <v>1.5702093261078058</v>
      </c>
      <c r="AJ421" t="str">
        <f t="shared" si="367"/>
        <v>1+11.0750519140214i</v>
      </c>
      <c r="AK421">
        <f t="shared" si="386"/>
        <v>11.120106784481392</v>
      </c>
      <c r="AL421">
        <f t="shared" si="387"/>
        <v>1.480747484216508</v>
      </c>
      <c r="AM421" t="str">
        <f t="shared" si="368"/>
        <v>1-11.0020208441766i</v>
      </c>
      <c r="AN421">
        <f t="shared" si="388"/>
        <v>11.047373563689082</v>
      </c>
      <c r="AO421">
        <f t="shared" si="389"/>
        <v>-1.4801530008730943</v>
      </c>
      <c r="AP421" s="41" t="str">
        <f t="shared" si="390"/>
        <v>0.0210513574313809-17.8177166111687i</v>
      </c>
      <c r="AQ421">
        <f t="shared" si="391"/>
        <v>25.017047007298778</v>
      </c>
      <c r="AR421" s="43">
        <f t="shared" si="392"/>
        <v>-89.932305951489994</v>
      </c>
      <c r="AS421" t="str">
        <f t="shared" si="369"/>
        <v>-0.0000166666666666667</v>
      </c>
      <c r="AT421" t="str">
        <f t="shared" si="370"/>
        <v>0.00228906848070959i</v>
      </c>
      <c r="AU421">
        <f t="shared" si="393"/>
        <v>2.2890684807095902E-3</v>
      </c>
      <c r="AV421">
        <f t="shared" si="394"/>
        <v>1.5707963267948966</v>
      </c>
      <c r="AW421" t="str">
        <f t="shared" si="371"/>
        <v>1+2.32629554596681i</v>
      </c>
      <c r="AX421">
        <f t="shared" si="395"/>
        <v>2.5321238056590003</v>
      </c>
      <c r="AY421">
        <f t="shared" si="396"/>
        <v>1.1648096806097379</v>
      </c>
      <c r="AZ421" t="str">
        <f t="shared" si="372"/>
        <v>1+79.0940485628715i</v>
      </c>
      <c r="BA421">
        <f t="shared" si="397"/>
        <v>79.100369898413717</v>
      </c>
      <c r="BB421">
        <f t="shared" si="398"/>
        <v>1.5581538241037787</v>
      </c>
      <c r="BC421" s="41" t="str">
        <f t="shared" si="399"/>
        <v>-0.08717639801962+0.210079048540865i</v>
      </c>
      <c r="BD421">
        <f t="shared" si="400"/>
        <v>-12.86232915282627</v>
      </c>
      <c r="BE421" s="43">
        <f t="shared" si="401"/>
        <v>112.53695931839673</v>
      </c>
      <c r="BF421" s="41" t="str">
        <f t="shared" si="402"/>
        <v>0.950649655414896-1.3235587319573i</v>
      </c>
      <c r="BG421" s="20">
        <f t="shared" si="403"/>
        <v>4.2415325380304196</v>
      </c>
      <c r="BH421" s="43">
        <f t="shared" si="404"/>
        <v>-54.312099908783658</v>
      </c>
      <c r="BI421" s="41" t="str">
        <f t="shared" si="357"/>
        <v>3.74129377133079+1.55770680423572i</v>
      </c>
      <c r="BJ421" s="20">
        <f t="shared" si="405"/>
        <v>12.154717854472498</v>
      </c>
      <c r="BK421" s="43">
        <f t="shared" si="358"/>
        <v>22.604653366906827</v>
      </c>
      <c r="BL421">
        <f t="shared" si="406"/>
        <v>4.2415325380304196</v>
      </c>
      <c r="BM421" s="43">
        <f t="shared" si="407"/>
        <v>-54.312099908783658</v>
      </c>
    </row>
    <row r="422" spans="14:65" x14ac:dyDescent="0.25">
      <c r="N422" s="9">
        <v>4</v>
      </c>
      <c r="O422" s="34">
        <f t="shared" si="408"/>
        <v>109647.81961431868</v>
      </c>
      <c r="P422" s="33" t="str">
        <f t="shared" si="360"/>
        <v>16.5157725627975</v>
      </c>
      <c r="Q422" s="4" t="str">
        <f t="shared" si="361"/>
        <v>1+1782.60600502623i</v>
      </c>
      <c r="R422" s="4">
        <f t="shared" si="373"/>
        <v>1782.6062855144362</v>
      </c>
      <c r="S422" s="4">
        <f t="shared" si="374"/>
        <v>1.5702353503972617</v>
      </c>
      <c r="T422" s="4" t="str">
        <f t="shared" si="362"/>
        <v>1+11.3330230127637i</v>
      </c>
      <c r="U422" s="4">
        <f t="shared" si="375"/>
        <v>11.377056324367548</v>
      </c>
      <c r="V422" s="4">
        <f t="shared" si="376"/>
        <v>1.4827865558757305</v>
      </c>
      <c r="W422" t="str">
        <f t="shared" si="363"/>
        <v>1-172.234392291241i</v>
      </c>
      <c r="X422" s="4">
        <f t="shared" si="377"/>
        <v>172.23729528744084</v>
      </c>
      <c r="Y422" s="4">
        <f t="shared" si="378"/>
        <v>-1.5649903507048772</v>
      </c>
      <c r="Z422" t="str">
        <f t="shared" si="364"/>
        <v>0.751598257310451+2.41128149207738i</v>
      </c>
      <c r="AA422" s="4">
        <f t="shared" si="379"/>
        <v>2.5257035404866945</v>
      </c>
      <c r="AB422" s="4">
        <f t="shared" si="380"/>
        <v>1.2686397634258384</v>
      </c>
      <c r="AC422" s="47" t="str">
        <f t="shared" si="381"/>
        <v>-7.01410756451601-1.57227476681813i</v>
      </c>
      <c r="AD422" s="20">
        <f t="shared" si="382"/>
        <v>17.132363843655245</v>
      </c>
      <c r="AE422" s="43">
        <f t="shared" si="383"/>
        <v>-167.36549309045424</v>
      </c>
      <c r="AF422" t="str">
        <f t="shared" si="365"/>
        <v>247.084651286898</v>
      </c>
      <c r="AG422" t="str">
        <f t="shared" si="366"/>
        <v>1+1743.2566899031i</v>
      </c>
      <c r="AH422">
        <f t="shared" si="384"/>
        <v>1743.2569767225696</v>
      </c>
      <c r="AI422">
        <f t="shared" si="385"/>
        <v>1.5702226878717795</v>
      </c>
      <c r="AJ422" t="str">
        <f t="shared" si="367"/>
        <v>1+11.3330230127637i</v>
      </c>
      <c r="AK422">
        <f t="shared" si="386"/>
        <v>11.377056324367548</v>
      </c>
      <c r="AL422">
        <f t="shared" si="387"/>
        <v>1.4827865558757305</v>
      </c>
      <c r="AM422" t="str">
        <f t="shared" si="368"/>
        <v>1-11.2582908307727i</v>
      </c>
      <c r="AN422">
        <f t="shared" si="388"/>
        <v>11.302615291615504</v>
      </c>
      <c r="AO422">
        <f t="shared" si="389"/>
        <v>-1.4822053917030036</v>
      </c>
      <c r="AP422" s="41" t="str">
        <f t="shared" si="390"/>
        <v>0.0210475259210534-18.2260652406299i</v>
      </c>
      <c r="AQ422">
        <f t="shared" si="391"/>
        <v>25.213864201774797</v>
      </c>
      <c r="AR422" s="43">
        <f t="shared" si="392"/>
        <v>-89.933834656439501</v>
      </c>
      <c r="AS422" t="str">
        <f t="shared" si="369"/>
        <v>-0.0000166666666666667</v>
      </c>
      <c r="AT422" t="str">
        <f t="shared" si="370"/>
        <v>0.00234238773516088i</v>
      </c>
      <c r="AU422">
        <f t="shared" si="393"/>
        <v>2.3423877351608801E-3</v>
      </c>
      <c r="AV422">
        <f t="shared" si="394"/>
        <v>1.5707963267948966</v>
      </c>
      <c r="AW422" t="str">
        <f t="shared" si="371"/>
        <v>1+2.38048193016177i</v>
      </c>
      <c r="AX422">
        <f t="shared" si="395"/>
        <v>2.5819942331125967</v>
      </c>
      <c r="AY422">
        <f t="shared" si="396"/>
        <v>1.1730977797981539</v>
      </c>
      <c r="AZ422" t="str">
        <f t="shared" si="372"/>
        <v>1+80.9363856255001i</v>
      </c>
      <c r="BA422">
        <f t="shared" si="397"/>
        <v>80.942563080987625</v>
      </c>
      <c r="BB422">
        <f t="shared" si="398"/>
        <v>1.558441572974675</v>
      </c>
      <c r="BC422" s="41" t="str">
        <f t="shared" si="399"/>
        <v>-0.0838413489876143+0.2066980629927i</v>
      </c>
      <c r="BD422">
        <f t="shared" si="400"/>
        <v>-13.031767026476738</v>
      </c>
      <c r="BE422" s="43">
        <f t="shared" si="401"/>
        <v>112.07857301057682</v>
      </c>
      <c r="BF422" s="41" t="str">
        <f t="shared" si="402"/>
        <v>0.913058388946859-1.31798080977869i</v>
      </c>
      <c r="BG422" s="20">
        <f t="shared" si="403"/>
        <v>4.1005968171785323</v>
      </c>
      <c r="BH422" s="43">
        <f t="shared" si="404"/>
        <v>-55.286920079877525</v>
      </c>
      <c r="BI422" s="41" t="str">
        <f t="shared" si="357"/>
        <v>3.76552772825071+1.53244837934935i</v>
      </c>
      <c r="BJ422" s="20">
        <f t="shared" si="405"/>
        <v>12.182097175298068</v>
      </c>
      <c r="BK422" s="43">
        <f t="shared" si="358"/>
        <v>22.144738354137321</v>
      </c>
      <c r="BL422">
        <f t="shared" si="406"/>
        <v>4.1005968171785323</v>
      </c>
      <c r="BM422" s="43">
        <f t="shared" si="407"/>
        <v>-55.286920079877525</v>
      </c>
    </row>
    <row r="423" spans="14:65" x14ac:dyDescent="0.25">
      <c r="N423" s="9">
        <v>5</v>
      </c>
      <c r="O423" s="34">
        <f t="shared" si="408"/>
        <v>112201.84543019651</v>
      </c>
      <c r="P423" s="33" t="str">
        <f t="shared" si="360"/>
        <v>16.5157725627975</v>
      </c>
      <c r="Q423" s="4" t="str">
        <f t="shared" si="361"/>
        <v>1+1824.12823294094i</v>
      </c>
      <c r="R423" s="4">
        <f t="shared" si="373"/>
        <v>1824.128507044456</v>
      </c>
      <c r="S423" s="4">
        <f t="shared" si="374"/>
        <v>1.5702481197764619</v>
      </c>
      <c r="T423" s="4" t="str">
        <f t="shared" si="362"/>
        <v>1+11.5970030303176i</v>
      </c>
      <c r="U423" s="4">
        <f t="shared" si="375"/>
        <v>11.640037769921349</v>
      </c>
      <c r="V423" s="4">
        <f t="shared" si="376"/>
        <v>1.4847799218616275</v>
      </c>
      <c r="W423" t="str">
        <f t="shared" si="363"/>
        <v>1-176.246246661362i</v>
      </c>
      <c r="X423" s="4">
        <f t="shared" si="377"/>
        <v>176.2490835783768</v>
      </c>
      <c r="Y423" s="4">
        <f t="shared" si="378"/>
        <v>-1.565122507986384</v>
      </c>
      <c r="Z423" t="str">
        <f t="shared" si="364"/>
        <v>0.739891443844179+2.46744745325906i</v>
      </c>
      <c r="AA423" s="4">
        <f t="shared" si="379"/>
        <v>2.5759922909955386</v>
      </c>
      <c r="AB423" s="4">
        <f t="shared" si="380"/>
        <v>1.279466992060565</v>
      </c>
      <c r="AC423" s="47" t="str">
        <f t="shared" si="381"/>
        <v>-7.05001633579957-1.51397450413913i</v>
      </c>
      <c r="AD423" s="20">
        <f t="shared" si="382"/>
        <v>17.159603224158843</v>
      </c>
      <c r="AE423" s="43">
        <f t="shared" si="383"/>
        <v>-167.87993982302794</v>
      </c>
      <c r="AF423" t="str">
        <f t="shared" si="365"/>
        <v>247.084651286898</v>
      </c>
      <c r="AG423" t="str">
        <f t="shared" si="366"/>
        <v>1+1783.86235452439i</v>
      </c>
      <c r="AH423">
        <f t="shared" si="384"/>
        <v>1783.8626348150524</v>
      </c>
      <c r="AI423">
        <f t="shared" si="385"/>
        <v>1.5702357454850702</v>
      </c>
      <c r="AJ423" t="str">
        <f t="shared" si="367"/>
        <v>1+11.5970030303176i</v>
      </c>
      <c r="AK423">
        <f t="shared" si="386"/>
        <v>11.640037769921349</v>
      </c>
      <c r="AL423">
        <f t="shared" si="387"/>
        <v>1.4847799218616275</v>
      </c>
      <c r="AM423" t="str">
        <f t="shared" si="368"/>
        <v>1-11.5205301121883i</v>
      </c>
      <c r="AN423">
        <f t="shared" si="388"/>
        <v>11.563849448424921</v>
      </c>
      <c r="AO423">
        <f t="shared" si="389"/>
        <v>-1.4842117877474645</v>
      </c>
      <c r="AP423" s="41" t="str">
        <f t="shared" si="390"/>
        <v>0.0210438668569876-18.644077570934i</v>
      </c>
      <c r="AQ423">
        <f t="shared" si="391"/>
        <v>25.41082355688426</v>
      </c>
      <c r="AR423" s="43">
        <f t="shared" si="392"/>
        <v>-89.935329369934081</v>
      </c>
      <c r="AS423" t="str">
        <f t="shared" si="369"/>
        <v>-0.0000166666666666667</v>
      </c>
      <c r="AT423" t="str">
        <f t="shared" si="370"/>
        <v>0.00239694895459452i</v>
      </c>
      <c r="AU423">
        <f t="shared" si="393"/>
        <v>2.3969489545945201E-3</v>
      </c>
      <c r="AV423">
        <f t="shared" si="394"/>
        <v>1.5707963267948966</v>
      </c>
      <c r="AW423" t="str">
        <f t="shared" si="371"/>
        <v>1+2.4359304773855i</v>
      </c>
      <c r="AX423">
        <f t="shared" si="395"/>
        <v>2.6332028578625595</v>
      </c>
      <c r="AY423">
        <f t="shared" si="396"/>
        <v>1.1812533700980328</v>
      </c>
      <c r="AZ423" t="str">
        <f t="shared" si="372"/>
        <v>1+82.821636231107i</v>
      </c>
      <c r="BA423">
        <f t="shared" si="397"/>
        <v>82.827673080908255</v>
      </c>
      <c r="BB423">
        <f t="shared" si="398"/>
        <v>1.5587227738586726</v>
      </c>
      <c r="BC423" s="41" t="str">
        <f t="shared" si="399"/>
        <v>-0.0806120856626287+0.203318720249407i</v>
      </c>
      <c r="BD423">
        <f t="shared" si="400"/>
        <v>-13.202377857458512</v>
      </c>
      <c r="BE423" s="43">
        <f t="shared" si="401"/>
        <v>111.62740373080432</v>
      </c>
      <c r="BF423" s="41" t="str">
        <f t="shared" si="402"/>
        <v>0.876135879456205-1.31135565671348i</v>
      </c>
      <c r="BG423" s="20">
        <f t="shared" si="403"/>
        <v>3.9572253667003188</v>
      </c>
      <c r="BH423" s="43">
        <f t="shared" si="404"/>
        <v>-56.252536092223572</v>
      </c>
      <c r="BI423" s="41" t="str">
        <f t="shared" si="357"/>
        <v>3.78899360195523+1.50721659032729i</v>
      </c>
      <c r="BJ423" s="20">
        <f t="shared" si="405"/>
        <v>12.208445699425765</v>
      </c>
      <c r="BK423" s="43">
        <f t="shared" si="358"/>
        <v>21.692074360870247</v>
      </c>
      <c r="BL423">
        <f t="shared" si="406"/>
        <v>3.9572253667003188</v>
      </c>
      <c r="BM423" s="43">
        <f t="shared" si="407"/>
        <v>-56.252536092223572</v>
      </c>
    </row>
    <row r="424" spans="14:65" x14ac:dyDescent="0.25">
      <c r="N424" s="9">
        <v>6</v>
      </c>
      <c r="O424" s="34">
        <f t="shared" si="408"/>
        <v>114815.36214968823</v>
      </c>
      <c r="P424" s="33" t="str">
        <f t="shared" si="360"/>
        <v>16.5157725627975</v>
      </c>
      <c r="Q424" s="4" t="str">
        <f t="shared" si="361"/>
        <v>1+1866.61763778993i</v>
      </c>
      <c r="R424" s="4">
        <f t="shared" si="373"/>
        <v>1866.6179056540893</v>
      </c>
      <c r="S424" s="4">
        <f t="shared" si="374"/>
        <v>1.5702605984892777</v>
      </c>
      <c r="T424" s="4" t="str">
        <f t="shared" si="362"/>
        <v>1+11.8671319323826i</v>
      </c>
      <c r="U424" s="4">
        <f t="shared" si="375"/>
        <v>11.909190581251725</v>
      </c>
      <c r="V424" s="4">
        <f t="shared" si="376"/>
        <v>1.4867285756828419</v>
      </c>
      <c r="W424" t="str">
        <f t="shared" si="363"/>
        <v>1-180.351549124356i</v>
      </c>
      <c r="X424" s="4">
        <f t="shared" si="377"/>
        <v>180.35432146625988</v>
      </c>
      <c r="Y424" s="4">
        <f t="shared" si="378"/>
        <v>-1.5652516571924056</v>
      </c>
      <c r="Z424" t="str">
        <f t="shared" si="364"/>
        <v>0.727632905256941+2.52492168774098i</v>
      </c>
      <c r="AA424" s="4">
        <f t="shared" si="379"/>
        <v>2.6276756219209054</v>
      </c>
      <c r="AB424" s="4">
        <f t="shared" si="380"/>
        <v>1.2902181769754311</v>
      </c>
      <c r="AC424" s="47" t="str">
        <f t="shared" si="381"/>
        <v>-7.08445572629808-1.45520894585617i</v>
      </c>
      <c r="AD424" s="20">
        <f t="shared" si="382"/>
        <v>17.185610246691027</v>
      </c>
      <c r="AE424" s="43">
        <f t="shared" si="383"/>
        <v>-168.39240238573737</v>
      </c>
      <c r="AF424" t="str">
        <f t="shared" si="365"/>
        <v>247.084651286898</v>
      </c>
      <c r="AG424" t="str">
        <f t="shared" si="366"/>
        <v>1+1825.41384657825i</v>
      </c>
      <c r="AH424">
        <f t="shared" si="384"/>
        <v>1825.4141204887189</v>
      </c>
      <c r="AI424">
        <f t="shared" si="385"/>
        <v>1.5702485058709792</v>
      </c>
      <c r="AJ424" t="str">
        <f t="shared" si="367"/>
        <v>1+11.8671319323826i</v>
      </c>
      <c r="AK424">
        <f t="shared" si="386"/>
        <v>11.909190581251725</v>
      </c>
      <c r="AL424">
        <f t="shared" si="387"/>
        <v>1.4867285756828419</v>
      </c>
      <c r="AM424" t="str">
        <f t="shared" si="368"/>
        <v>1-11.7888777311617i</v>
      </c>
      <c r="AN424">
        <f t="shared" si="388"/>
        <v>11.831214568263066</v>
      </c>
      <c r="AO424">
        <f t="shared" si="389"/>
        <v>-1.4861731881724125</v>
      </c>
      <c r="AP424" s="41" t="str">
        <f t="shared" si="390"/>
        <v>0.0210403724778144-19.0719752377652i</v>
      </c>
      <c r="AQ424">
        <f t="shared" si="391"/>
        <v>25.607918769487462</v>
      </c>
      <c r="AR424" s="43">
        <f t="shared" si="392"/>
        <v>-89.936790812788715</v>
      </c>
      <c r="AS424" t="str">
        <f t="shared" si="369"/>
        <v>-0.0000166666666666667</v>
      </c>
      <c r="AT424" t="str">
        <f t="shared" si="370"/>
        <v>0.00245278106809124i</v>
      </c>
      <c r="AU424">
        <f t="shared" si="393"/>
        <v>2.4527810680912399E-3</v>
      </c>
      <c r="AV424">
        <f t="shared" si="394"/>
        <v>1.5707963267948966</v>
      </c>
      <c r="AW424" t="str">
        <f t="shared" si="371"/>
        <v>1+2.49267058719169i</v>
      </c>
      <c r="AX424">
        <f t="shared" si="395"/>
        <v>2.6857785940487657</v>
      </c>
      <c r="AY424">
        <f t="shared" si="396"/>
        <v>1.1892764349973626</v>
      </c>
      <c r="AZ424" t="str">
        <f t="shared" si="372"/>
        <v>1+84.7507999645174i</v>
      </c>
      <c r="BA424">
        <f t="shared" si="397"/>
        <v>84.756699408516639</v>
      </c>
      <c r="BB424">
        <f t="shared" si="398"/>
        <v>1.5589975756742152</v>
      </c>
      <c r="BC424" s="41" t="str">
        <f t="shared" si="399"/>
        <v>-0.077486916142994+0.199944364634114i</v>
      </c>
      <c r="BD424">
        <f t="shared" si="400"/>
        <v>-13.37412415642085</v>
      </c>
      <c r="BE424" s="43">
        <f t="shared" si="401"/>
        <v>111.18346095754615</v>
      </c>
      <c r="BF424" s="41" t="str">
        <f t="shared" si="402"/>
        <v>0.839913454871504-1.30373734541509i</v>
      </c>
      <c r="BG424" s="20">
        <f t="shared" si="403"/>
        <v>3.8114860902701828</v>
      </c>
      <c r="BH424" s="43">
        <f t="shared" si="404"/>
        <v>-57.208941428191238</v>
      </c>
      <c r="BI424" s="41" t="str">
        <f t="shared" si="357"/>
        <v>3.81170361765471+1.48203544983671i</v>
      </c>
      <c r="BJ424" s="20">
        <f t="shared" si="405"/>
        <v>12.233794613066603</v>
      </c>
      <c r="BK424" s="43">
        <f t="shared" si="358"/>
        <v>21.246670144757438</v>
      </c>
      <c r="BL424">
        <f t="shared" si="406"/>
        <v>3.8114860902701828</v>
      </c>
      <c r="BM424" s="43">
        <f t="shared" si="407"/>
        <v>-57.208941428191238</v>
      </c>
    </row>
    <row r="425" spans="14:65" x14ac:dyDescent="0.25">
      <c r="N425" s="9">
        <v>7</v>
      </c>
      <c r="O425" s="34">
        <f t="shared" si="408"/>
        <v>117489.75549395311</v>
      </c>
      <c r="P425" s="33" t="str">
        <f t="shared" si="360"/>
        <v>16.5157725627975</v>
      </c>
      <c r="Q425" s="4" t="str">
        <f t="shared" si="361"/>
        <v>1+1910.09674801809i</v>
      </c>
      <c r="R425" s="4">
        <f t="shared" si="373"/>
        <v>1910.0970097849174</v>
      </c>
      <c r="S425" s="4">
        <f t="shared" si="374"/>
        <v>1.5702727931520719</v>
      </c>
      <c r="T425" s="4" t="str">
        <f t="shared" si="362"/>
        <v>1+12.1435529448783i</v>
      </c>
      <c r="U425" s="4">
        <f t="shared" si="375"/>
        <v>12.184657489033592</v>
      </c>
      <c r="V425" s="4">
        <f t="shared" si="376"/>
        <v>1.4886334913123083</v>
      </c>
      <c r="W425" t="str">
        <f t="shared" si="363"/>
        <v>1-184.552476365932i</v>
      </c>
      <c r="X425" s="4">
        <f t="shared" si="377"/>
        <v>184.55518560256684</v>
      </c>
      <c r="Y425" s="4">
        <f t="shared" si="378"/>
        <v>-1.5653778667823177</v>
      </c>
      <c r="Z425" t="str">
        <f t="shared" si="364"/>
        <v>0.714796639544858+2.58373466912305i</v>
      </c>
      <c r="AA425" s="4">
        <f t="shared" si="379"/>
        <v>2.6807870255454871</v>
      </c>
      <c r="AB425" s="4">
        <f t="shared" si="380"/>
        <v>1.3008944555542401</v>
      </c>
      <c r="AC425" s="47" t="str">
        <f t="shared" si="381"/>
        <v>-7.1174363168387-1.3960120972895i</v>
      </c>
      <c r="AD425" s="20">
        <f t="shared" si="382"/>
        <v>17.210414681569596</v>
      </c>
      <c r="AE425" s="43">
        <f t="shared" si="383"/>
        <v>-168.90289444285887</v>
      </c>
      <c r="AF425" t="str">
        <f t="shared" si="365"/>
        <v>247.084651286898</v>
      </c>
      <c r="AG425" t="str">
        <f t="shared" si="366"/>
        <v>1+1867.93319721578i</v>
      </c>
      <c r="AH425">
        <f t="shared" si="384"/>
        <v>1867.9334648912863</v>
      </c>
      <c r="AI425">
        <f t="shared" si="385"/>
        <v>1.5702609757952157</v>
      </c>
      <c r="AJ425" t="str">
        <f t="shared" si="367"/>
        <v>1+12.1435529448783i</v>
      </c>
      <c r="AK425">
        <f t="shared" si="386"/>
        <v>12.184657489033592</v>
      </c>
      <c r="AL425">
        <f t="shared" si="387"/>
        <v>1.4886334913123083</v>
      </c>
      <c r="AM425" t="str">
        <f t="shared" si="368"/>
        <v>1-12.0634759691524i</v>
      </c>
      <c r="AN425">
        <f t="shared" si="388"/>
        <v>12.104852434388345</v>
      </c>
      <c r="AO425">
        <f t="shared" si="389"/>
        <v>-1.4880905725392994</v>
      </c>
      <c r="AP425" s="41" t="str">
        <f t="shared" si="390"/>
        <v>0.0210370353715313-19.5099851181426i</v>
      </c>
      <c r="AQ425">
        <f t="shared" si="391"/>
        <v>25.805143811850179</v>
      </c>
      <c r="AR425" s="43">
        <f t="shared" si="392"/>
        <v>-89.938219692848349</v>
      </c>
      <c r="AS425" t="str">
        <f t="shared" si="369"/>
        <v>-0.0000166666666666667</v>
      </c>
      <c r="AT425" t="str">
        <f t="shared" si="370"/>
        <v>0.00250991367857668i</v>
      </c>
      <c r="AU425">
        <f t="shared" si="393"/>
        <v>2.50991367857668E-3</v>
      </c>
      <c r="AV425">
        <f t="shared" si="394"/>
        <v>1.5707963267948966</v>
      </c>
      <c r="AW425" t="str">
        <f t="shared" si="371"/>
        <v>1+2.55073234393761i</v>
      </c>
      <c r="AX425">
        <f t="shared" si="395"/>
        <v>2.7397509905846285</v>
      </c>
      <c r="AY425">
        <f t="shared" si="396"/>
        <v>1.1971670958583354</v>
      </c>
      <c r="AZ425" t="str">
        <f t="shared" si="372"/>
        <v>1+86.7248996938787i</v>
      </c>
      <c r="BA425">
        <f t="shared" si="397"/>
        <v>86.730664859168002</v>
      </c>
      <c r="BB425">
        <f t="shared" si="398"/>
        <v>1.5592661239587517</v>
      </c>
      <c r="BC425" s="41" t="str">
        <f t="shared" si="399"/>
        <v>-0.074464042247589+0.196578175630744i</v>
      </c>
      <c r="BD425">
        <f t="shared" si="400"/>
        <v>-13.546969055946247</v>
      </c>
      <c r="BE425" s="43">
        <f t="shared" si="401"/>
        <v>110.74674607594291</v>
      </c>
      <c r="BF425" s="41" t="str">
        <f t="shared" si="402"/>
        <v>0.80441858983522-1.29517994254144i</v>
      </c>
      <c r="BG425" s="20">
        <f t="shared" si="403"/>
        <v>3.6634456256233379</v>
      </c>
      <c r="BH425" s="43">
        <f t="shared" si="404"/>
        <v>-58.156148366915907</v>
      </c>
      <c r="BI425" s="41" t="str">
        <f t="shared" si="357"/>
        <v>3.83367077841677+1.45692777812122i</v>
      </c>
      <c r="BJ425" s="20">
        <f t="shared" si="405"/>
        <v>12.258174755903937</v>
      </c>
      <c r="BK425" s="43">
        <f t="shared" si="358"/>
        <v>20.80852638309457</v>
      </c>
      <c r="BL425">
        <f t="shared" si="406"/>
        <v>3.6634456256233379</v>
      </c>
      <c r="BM425" s="43">
        <f t="shared" si="407"/>
        <v>-58.156148366915907</v>
      </c>
    </row>
    <row r="426" spans="14:65" x14ac:dyDescent="0.25">
      <c r="N426" s="9">
        <v>8</v>
      </c>
      <c r="O426" s="34">
        <f t="shared" si="408"/>
        <v>120226.44346174144</v>
      </c>
      <c r="P426" s="33" t="str">
        <f t="shared" si="360"/>
        <v>16.5157725627975</v>
      </c>
      <c r="Q426" s="4" t="str">
        <f t="shared" si="361"/>
        <v>1+1954.58861682517i</v>
      </c>
      <c r="R426" s="4">
        <f t="shared" si="373"/>
        <v>1954.5888726334576</v>
      </c>
      <c r="S426" s="4">
        <f t="shared" si="374"/>
        <v>1.5702847102306019</v>
      </c>
      <c r="T426" s="4" t="str">
        <f t="shared" si="362"/>
        <v>1+12.4264126298843i</v>
      </c>
      <c r="U426" s="4">
        <f t="shared" si="375"/>
        <v>12.466584570288209</v>
      </c>
      <c r="V426" s="4">
        <f t="shared" si="376"/>
        <v>1.490495623431749</v>
      </c>
      <c r="W426" t="str">
        <f t="shared" si="363"/>
        <v>1-188.851255773318i</v>
      </c>
      <c r="X426" s="4">
        <f t="shared" si="377"/>
        <v>188.85390334107257</v>
      </c>
      <c r="Y426" s="4">
        <f t="shared" si="378"/>
        <v>-1.5655012036580234</v>
      </c>
      <c r="Z426" t="str">
        <f t="shared" si="364"/>
        <v>0.70135541926737+2.64391758082645i</v>
      </c>
      <c r="AA426" s="4">
        <f t="shared" si="379"/>
        <v>2.7353609630794429</v>
      </c>
      <c r="AB426" s="4">
        <f t="shared" si="380"/>
        <v>1.3114971274309741</v>
      </c>
      <c r="AC426" s="47" t="str">
        <f t="shared" si="381"/>
        <v>-7.1489696399929-1.33641596683624i</v>
      </c>
      <c r="AD426" s="20">
        <f t="shared" si="382"/>
        <v>17.234045597912658</v>
      </c>
      <c r="AE426" s="43">
        <f t="shared" si="383"/>
        <v>-169.41143996235832</v>
      </c>
      <c r="AF426" t="str">
        <f t="shared" si="365"/>
        <v>247.084651286898</v>
      </c>
      <c r="AG426" t="str">
        <f t="shared" si="366"/>
        <v>1+1911.44295075949i</v>
      </c>
      <c r="AH426">
        <f t="shared" si="384"/>
        <v>1911.4432123419585</v>
      </c>
      <c r="AI426">
        <f t="shared" si="385"/>
        <v>1.5702731618694832</v>
      </c>
      <c r="AJ426" t="str">
        <f t="shared" si="367"/>
        <v>1+12.4264126298843i</v>
      </c>
      <c r="AK426">
        <f t="shared" si="386"/>
        <v>12.466584570288209</v>
      </c>
      <c r="AL426">
        <f t="shared" si="387"/>
        <v>1.490495623431749</v>
      </c>
      <c r="AM426" t="str">
        <f t="shared" si="368"/>
        <v>1-12.344470421781i</v>
      </c>
      <c r="AN426">
        <f t="shared" si="388"/>
        <v>12.38490815445258</v>
      </c>
      <c r="AO426">
        <f t="shared" si="389"/>
        <v>-1.4899649010473321</v>
      </c>
      <c r="AP426" s="41" t="str">
        <f t="shared" si="390"/>
        <v>0.0210338484596788-19.9583394507141i</v>
      </c>
      <c r="AQ426">
        <f t="shared" si="391"/>
        <v>26.002492919966052</v>
      </c>
      <c r="AR426" s="43">
        <f t="shared" si="392"/>
        <v>-89.939616705064324</v>
      </c>
      <c r="AS426" t="str">
        <f t="shared" si="369"/>
        <v>-0.0000166666666666667</v>
      </c>
      <c r="AT426" t="str">
        <f t="shared" si="370"/>
        <v>0.00256837707851712i</v>
      </c>
      <c r="AU426">
        <f t="shared" si="393"/>
        <v>2.56837707851712E-3</v>
      </c>
      <c r="AV426">
        <f t="shared" si="394"/>
        <v>1.5707963267948966</v>
      </c>
      <c r="AW426" t="str">
        <f t="shared" si="371"/>
        <v>1+2.61014653273522i</v>
      </c>
      <c r="AX426">
        <f t="shared" si="395"/>
        <v>2.7951502504068881</v>
      </c>
      <c r="AY426">
        <f t="shared" si="396"/>
        <v>1.204925605040079</v>
      </c>
      <c r="AZ426" t="str">
        <f t="shared" si="372"/>
        <v>1+88.7449821129974i</v>
      </c>
      <c r="BA426">
        <f t="shared" si="397"/>
        <v>88.750616055530728</v>
      </c>
      <c r="BB426">
        <f t="shared" si="398"/>
        <v>1.5595285609451106</v>
      </c>
      <c r="BC426" s="41" t="str">
        <f t="shared" si="399"/>
        <v>-0.071541571783645+0.193223167677497i</v>
      </c>
      <c r="BD426">
        <f t="shared" si="400"/>
        <v>-13.720876346497889</v>
      </c>
      <c r="BE426" s="43">
        <f t="shared" si="401"/>
        <v>110.31725277622188</v>
      </c>
      <c r="BF426" s="41" t="str">
        <f t="shared" si="402"/>
        <v>0.769675051125534-1.28573726064546i</v>
      </c>
      <c r="BG426" s="20">
        <f t="shared" si="403"/>
        <v>3.5131692514147761</v>
      </c>
      <c r="BH426" s="43">
        <f t="shared" si="404"/>
        <v>-59.094187186136459</v>
      </c>
      <c r="BI426" s="41" t="str">
        <f t="shared" si="357"/>
        <v>3.85490877567027+1.43191520132344i</v>
      </c>
      <c r="BJ426" s="20">
        <f t="shared" si="405"/>
        <v>12.281616573468161</v>
      </c>
      <c r="BK426" s="43">
        <f t="shared" si="358"/>
        <v>20.377636071157511</v>
      </c>
      <c r="BL426">
        <f t="shared" si="406"/>
        <v>3.5131692514147761</v>
      </c>
      <c r="BM426" s="43">
        <f t="shared" si="407"/>
        <v>-59.094187186136459</v>
      </c>
    </row>
    <row r="427" spans="14:65" x14ac:dyDescent="0.25">
      <c r="N427" s="9">
        <v>9</v>
      </c>
      <c r="O427" s="34">
        <f t="shared" si="408"/>
        <v>123026.87708123829</v>
      </c>
      <c r="P427" s="33" t="str">
        <f t="shared" si="360"/>
        <v>16.5157725627975</v>
      </c>
      <c r="Q427" s="4" t="str">
        <f t="shared" si="361"/>
        <v>1+2000.11683438893i</v>
      </c>
      <c r="R427" s="4">
        <f t="shared" si="373"/>
        <v>2000.1170843743109</v>
      </c>
      <c r="S427" s="4">
        <f t="shared" si="374"/>
        <v>1.5702963560434471</v>
      </c>
      <c r="T427" s="4" t="str">
        <f t="shared" si="362"/>
        <v>1+12.7158609633497i</v>
      </c>
      <c r="U427" s="4">
        <f t="shared" si="375"/>
        <v>12.755121325931823</v>
      </c>
      <c r="V427" s="4">
        <f t="shared" si="376"/>
        <v>1.4923159076834007</v>
      </c>
      <c r="W427" t="str">
        <f t="shared" si="363"/>
        <v>1-193.250166616256i</v>
      </c>
      <c r="X427" s="4">
        <f t="shared" si="377"/>
        <v>193.25275391882701</v>
      </c>
      <c r="Y427" s="4">
        <f t="shared" si="378"/>
        <v>-1.5656217331993483</v>
      </c>
      <c r="Z427" t="str">
        <f t="shared" si="364"/>
        <v>0.687280733794171+2.70550233262759i</v>
      </c>
      <c r="AA427" s="4">
        <f t="shared" si="379"/>
        <v>2.7914329078267284</v>
      </c>
      <c r="AB427" s="4">
        <f t="shared" si="380"/>
        <v>1.3220276476508399</v>
      </c>
      <c r="AC427" s="47" t="str">
        <f t="shared" si="381"/>
        <v>-7.17906801795068-1.2764505698279i</v>
      </c>
      <c r="AD427" s="20">
        <f t="shared" si="382"/>
        <v>17.256531310876689</v>
      </c>
      <c r="AE427" s="43">
        <f t="shared" si="383"/>
        <v>-169.91807281184953</v>
      </c>
      <c r="AF427" t="str">
        <f t="shared" si="365"/>
        <v>247.084651286898</v>
      </c>
      <c r="AG427" t="str">
        <f t="shared" si="366"/>
        <v>1+1955.96617665663i</v>
      </c>
      <c r="AH427">
        <f t="shared" si="384"/>
        <v>1955.9664322847555</v>
      </c>
      <c r="AI427">
        <f t="shared" si="385"/>
        <v>1.5702850705549847</v>
      </c>
      <c r="AJ427" t="str">
        <f t="shared" si="367"/>
        <v>1+12.7158609633497i</v>
      </c>
      <c r="AK427">
        <f t="shared" si="386"/>
        <v>12.755121325931823</v>
      </c>
      <c r="AL427">
        <f t="shared" si="387"/>
        <v>1.4923159076834007</v>
      </c>
      <c r="AM427" t="str">
        <f t="shared" si="368"/>
        <v>1-12.6320100760255i</v>
      </c>
      <c r="AN427">
        <f t="shared" si="388"/>
        <v>12.671530237536812</v>
      </c>
      <c r="AO427">
        <f t="shared" si="389"/>
        <v>-1.4917971147832183</v>
      </c>
      <c r="AP427" s="41" t="str">
        <f t="shared" si="390"/>
        <v>0.0210308049824272-20.417275958892i</v>
      </c>
      <c r="AQ427">
        <f t="shared" si="391"/>
        <v>26.199960582342324</v>
      </c>
      <c r="AR427" s="43">
        <f t="shared" si="392"/>
        <v>-89.940982531581525</v>
      </c>
      <c r="AS427" t="str">
        <f t="shared" si="369"/>
        <v>-0.0000166666666666667</v>
      </c>
      <c r="AT427" t="str">
        <f t="shared" si="370"/>
        <v>0.00262820226598109i</v>
      </c>
      <c r="AU427">
        <f t="shared" si="393"/>
        <v>2.6282022659810901E-3</v>
      </c>
      <c r="AV427">
        <f t="shared" si="394"/>
        <v>1.5707963267948966</v>
      </c>
      <c r="AW427" t="str">
        <f t="shared" si="371"/>
        <v>1+2.67094465577386i</v>
      </c>
      <c r="AX427">
        <f t="shared" si="395"/>
        <v>2.8520072500270657</v>
      </c>
      <c r="AY427">
        <f t="shared" si="396"/>
        <v>1.2125523390311193</v>
      </c>
      <c r="AZ427" t="str">
        <f t="shared" si="372"/>
        <v>1+90.8121182963111i</v>
      </c>
      <c r="BA427">
        <f t="shared" si="397"/>
        <v>90.817624002520574</v>
      </c>
      <c r="BB427">
        <f t="shared" si="398"/>
        <v>1.5597850256361738</v>
      </c>
      <c r="BC427" s="41" t="str">
        <f t="shared" si="399"/>
        <v>-0.0687175303420388+0.189882190745804i</v>
      </c>
      <c r="BD427">
        <f t="shared" si="400"/>
        <v>-13.895810508056909</v>
      </c>
      <c r="BE427" s="43">
        <f t="shared" si="401"/>
        <v>109.89496745145843</v>
      </c>
      <c r="BF427" s="41" t="str">
        <f t="shared" si="402"/>
        <v>0.735703054928738-1.27546263199935i</v>
      </c>
      <c r="BG427" s="20">
        <f t="shared" si="403"/>
        <v>3.3607208028197757</v>
      </c>
      <c r="BH427" s="43">
        <f t="shared" si="404"/>
        <v>-60.023105360391078</v>
      </c>
      <c r="BI427" s="41" t="str">
        <f t="shared" si="357"/>
        <v>3.87543190315655+1.40701815553015i</v>
      </c>
      <c r="BJ427" s="20">
        <f t="shared" si="405"/>
        <v>12.304150074285417</v>
      </c>
      <c r="BK427" s="43">
        <f t="shared" si="358"/>
        <v>19.953984919876909</v>
      </c>
      <c r="BL427">
        <f t="shared" si="406"/>
        <v>3.3607208028197757</v>
      </c>
      <c r="BM427" s="43">
        <f t="shared" si="407"/>
        <v>-60.023105360391078</v>
      </c>
    </row>
    <row r="428" spans="14:65" x14ac:dyDescent="0.25">
      <c r="N428" s="9">
        <v>10</v>
      </c>
      <c r="O428" s="34">
        <f t="shared" si="408"/>
        <v>125892.54117941685</v>
      </c>
      <c r="P428" s="33" t="str">
        <f t="shared" si="360"/>
        <v>16.5157725627975</v>
      </c>
      <c r="Q428" s="4" t="str">
        <f t="shared" si="361"/>
        <v>1+2046.70554037296i</v>
      </c>
      <c r="R428" s="4">
        <f t="shared" si="373"/>
        <v>2046.7057846679795</v>
      </c>
      <c r="S428" s="4">
        <f t="shared" si="374"/>
        <v>1.5703077367653586</v>
      </c>
      <c r="T428" s="4" t="str">
        <f t="shared" si="362"/>
        <v>1+13.0120514146121i</v>
      </c>
      <c r="U428" s="4">
        <f t="shared" si="375"/>
        <v>13.050420760132937</v>
      </c>
      <c r="V428" s="4">
        <f t="shared" si="376"/>
        <v>1.4940952609280016</v>
      </c>
      <c r="W428" t="str">
        <f t="shared" si="363"/>
        <v>1-197.751541255503i</v>
      </c>
      <c r="X428" s="4">
        <f t="shared" si="377"/>
        <v>197.75406966463902</v>
      </c>
      <c r="Y428" s="4">
        <f t="shared" si="378"/>
        <v>-1.565739519298635</v>
      </c>
      <c r="Z428" t="str">
        <f t="shared" si="364"/>
        <v>0.672542728830348+2.76852157757704i</v>
      </c>
      <c r="AA428" s="4">
        <f t="shared" si="379"/>
        <v>2.8490393903230324</v>
      </c>
      <c r="AB428" s="4">
        <f t="shared" si="380"/>
        <v>1.3324876197971349</v>
      </c>
      <c r="AC428" s="47" t="str">
        <f t="shared" si="381"/>
        <v>-7.20774440553956-1.21614394297367i</v>
      </c>
      <c r="AD428" s="20">
        <f t="shared" si="382"/>
        <v>17.277899333157141</v>
      </c>
      <c r="AE428" s="43">
        <f t="shared" si="383"/>
        <v>-170.42283635218593</v>
      </c>
      <c r="AF428" t="str">
        <f t="shared" si="365"/>
        <v>247.084651286898</v>
      </c>
      <c r="AG428" t="str">
        <f t="shared" si="366"/>
        <v>1+2001.52648171091i</v>
      </c>
      <c r="AH428">
        <f t="shared" si="384"/>
        <v>2001.5267315202295</v>
      </c>
      <c r="AI428">
        <f t="shared" si="385"/>
        <v>1.5702967081658497</v>
      </c>
      <c r="AJ428" t="str">
        <f t="shared" si="367"/>
        <v>1+13.0120514146121i</v>
      </c>
      <c r="AK428">
        <f t="shared" si="386"/>
        <v>13.050420760132937</v>
      </c>
      <c r="AL428">
        <f t="shared" si="387"/>
        <v>1.4940952609280016</v>
      </c>
      <c r="AM428" t="str">
        <f t="shared" si="368"/>
        <v>1-12.9262473892168i</v>
      </c>
      <c r="AN428">
        <f t="shared" si="388"/>
        <v>12.964870672985292</v>
      </c>
      <c r="AO428">
        <f t="shared" si="389"/>
        <v>-1.493588135977455</v>
      </c>
      <c r="AP428" s="41" t="str">
        <f t="shared" si="390"/>
        <v>0.0210278984841267-20.8870379768977i</v>
      </c>
      <c r="AQ428">
        <f t="shared" si="391"/>
        <v>26.397541529234392</v>
      </c>
      <c r="AR428" s="43">
        <f t="shared" si="392"/>
        <v>-89.942317841837379</v>
      </c>
      <c r="AS428" t="str">
        <f t="shared" si="369"/>
        <v>-0.0000166666666666667</v>
      </c>
      <c r="AT428" t="str">
        <f t="shared" si="370"/>
        <v>0.00268942096107484i</v>
      </c>
      <c r="AU428">
        <f t="shared" si="393"/>
        <v>2.68942096107484E-3</v>
      </c>
      <c r="AV428">
        <f t="shared" si="394"/>
        <v>1.5707963267948966</v>
      </c>
      <c r="AW428" t="str">
        <f t="shared" si="371"/>
        <v>1+2.73315894902312i</v>
      </c>
      <c r="AX428">
        <f t="shared" si="395"/>
        <v>2.9103535593850389</v>
      </c>
      <c r="AY428">
        <f t="shared" si="396"/>
        <v>1.2200477916224197</v>
      </c>
      <c r="AZ428" t="str">
        <f t="shared" si="372"/>
        <v>1+92.9274042667861i</v>
      </c>
      <c r="BA428">
        <f t="shared" si="397"/>
        <v>92.932784655161896</v>
      </c>
      <c r="BB428">
        <f t="shared" si="398"/>
        <v>1.5600356538778881</v>
      </c>
      <c r="BC428" s="41" t="str">
        <f t="shared" si="399"/>
        <v>-0.0659898725850601+0.186557931633784i</v>
      </c>
      <c r="BD428">
        <f t="shared" si="400"/>
        <v>-14.071736737621476</v>
      </c>
      <c r="BE428" s="43">
        <f t="shared" si="401"/>
        <v>109.47986959291345</v>
      </c>
      <c r="BF428" s="41" t="str">
        <f t="shared" si="402"/>
        <v>0.702519433517358-1.26440870420051i</v>
      </c>
      <c r="BG428" s="20">
        <f t="shared" si="403"/>
        <v>3.2061625955356483</v>
      </c>
      <c r="BH428" s="43">
        <f t="shared" si="404"/>
        <v>-60.942966759272416</v>
      </c>
      <c r="BI428" s="41" t="str">
        <f t="shared" si="357"/>
        <v>3.89525497458463+1.38225589602259i</v>
      </c>
      <c r="BJ428" s="20">
        <f t="shared" si="405"/>
        <v>12.325804791612905</v>
      </c>
      <c r="BK428" s="43">
        <f t="shared" si="358"/>
        <v>19.537551751076016</v>
      </c>
      <c r="BL428">
        <f t="shared" si="406"/>
        <v>3.2061625955356483</v>
      </c>
      <c r="BM428" s="43">
        <f t="shared" si="407"/>
        <v>-60.942966759272416</v>
      </c>
    </row>
    <row r="429" spans="14:65" x14ac:dyDescent="0.25">
      <c r="N429" s="9">
        <v>11</v>
      </c>
      <c r="O429" s="34">
        <f t="shared" si="408"/>
        <v>128824.95516931375</v>
      </c>
      <c r="P429" s="33" t="str">
        <f t="shared" si="360"/>
        <v>16.5157725627975</v>
      </c>
      <c r="Q429" s="4" t="str">
        <f t="shared" si="361"/>
        <v>1+2094.37943672585i</v>
      </c>
      <c r="R429" s="4">
        <f t="shared" si="373"/>
        <v>2094.3796754600371</v>
      </c>
      <c r="S429" s="4">
        <f t="shared" si="374"/>
        <v>1.5703188584305341</v>
      </c>
      <c r="T429" s="4" t="str">
        <f t="shared" si="362"/>
        <v>1+13.3151410277695i</v>
      </c>
      <c r="U429" s="4">
        <f t="shared" si="375"/>
        <v>13.352639461521852</v>
      </c>
      <c r="V429" s="4">
        <f t="shared" si="376"/>
        <v>1.4958345815081644</v>
      </c>
      <c r="W429" t="str">
        <f t="shared" si="363"/>
        <v>1-202.357766379475i</v>
      </c>
      <c r="X429" s="4">
        <f t="shared" si="377"/>
        <v>202.36023723570347</v>
      </c>
      <c r="Y429" s="4">
        <f t="shared" si="378"/>
        <v>-1.5658546243945517</v>
      </c>
      <c r="Z429" t="str">
        <f t="shared" si="364"/>
        <v>0.657110143091412+2.83300872931265i</v>
      </c>
      <c r="AA429" s="4">
        <f t="shared" si="379"/>
        <v>2.9082180455590483</v>
      </c>
      <c r="AB429" s="4">
        <f t="shared" si="380"/>
        <v>1.3428787891135467</v>
      </c>
      <c r="AC429" s="47" t="str">
        <f t="shared" si="381"/>
        <v>-7.23501223886512-1.15552216859418i</v>
      </c>
      <c r="AD429" s="20">
        <f t="shared" si="382"/>
        <v>17.298176330566822</v>
      </c>
      <c r="AE429" s="43">
        <f t="shared" si="383"/>
        <v>-170.92578303043072</v>
      </c>
      <c r="AF429" t="str">
        <f t="shared" si="365"/>
        <v>247.084651286898</v>
      </c>
      <c r="AG429" t="str">
        <f t="shared" si="366"/>
        <v>1+2048.14802259913i</v>
      </c>
      <c r="AH429">
        <f t="shared" si="384"/>
        <v>2048.1482667220962</v>
      </c>
      <c r="AI429">
        <f t="shared" si="385"/>
        <v>1.5703080808724805</v>
      </c>
      <c r="AJ429" t="str">
        <f t="shared" si="367"/>
        <v>1+13.3151410277695i</v>
      </c>
      <c r="AK429">
        <f t="shared" si="386"/>
        <v>13.352639461521852</v>
      </c>
      <c r="AL429">
        <f t="shared" si="387"/>
        <v>1.4958345815081644</v>
      </c>
      <c r="AM429" t="str">
        <f t="shared" si="368"/>
        <v>1-13.2273383698729i</v>
      </c>
      <c r="AN429">
        <f t="shared" si="388"/>
        <v>13.265085011077458</v>
      </c>
      <c r="AO429">
        <f t="shared" si="389"/>
        <v>-1.495338868266233</v>
      </c>
      <c r="AP429" s="41" t="str">
        <f t="shared" si="390"/>
        <v>0.0210251227997565-21.3678745787807i</v>
      </c>
      <c r="AQ429">
        <f t="shared" si="391"/>
        <v>26.595230722312884</v>
      </c>
      <c r="AR429" s="43">
        <f t="shared" si="392"/>
        <v>-89.94362329266967</v>
      </c>
      <c r="AS429" t="str">
        <f t="shared" si="369"/>
        <v>-0.0000166666666666667</v>
      </c>
      <c r="AT429" t="str">
        <f t="shared" si="370"/>
        <v>0.00275206562276086i</v>
      </c>
      <c r="AU429">
        <f t="shared" si="393"/>
        <v>2.75206562276086E-3</v>
      </c>
      <c r="AV429">
        <f t="shared" si="394"/>
        <v>1.5707963267948966</v>
      </c>
      <c r="AW429" t="str">
        <f t="shared" si="371"/>
        <v>1+2.79682239932479i</v>
      </c>
      <c r="AX429">
        <f t="shared" si="395"/>
        <v>2.9702214620066418</v>
      </c>
      <c r="AY429">
        <f t="shared" si="396"/>
        <v>1.2274125671489498</v>
      </c>
      <c r="AZ429" t="str">
        <f t="shared" si="372"/>
        <v>1+95.091961577043i</v>
      </c>
      <c r="BA429">
        <f t="shared" si="397"/>
        <v>95.097219499677379</v>
      </c>
      <c r="BB429">
        <f t="shared" si="398"/>
        <v>1.5602805784306475</v>
      </c>
      <c r="BC429" s="41" t="str">
        <f t="shared" si="399"/>
        <v>-0.063356492999329+0.183252915903985i</v>
      </c>
      <c r="BD429">
        <f t="shared" si="400"/>
        <v>-14.248620972758527</v>
      </c>
      <c r="BE429" s="43">
        <f t="shared" si="401"/>
        <v>109.07193218135444</v>
      </c>
      <c r="BF429" s="41" t="str">
        <f t="shared" si="402"/>
        <v>0.670137809048297-1.25262725718795i</v>
      </c>
      <c r="BG429" s="20">
        <f t="shared" si="403"/>
        <v>3.0495553578083188</v>
      </c>
      <c r="BH429" s="43">
        <f t="shared" si="404"/>
        <v>-61.853850849076373</v>
      </c>
      <c r="BI429" s="41" t="str">
        <f t="shared" si="357"/>
        <v>3.91439324518673+1.35764651122135i</v>
      </c>
      <c r="BJ429" s="20">
        <f t="shared" si="405"/>
        <v>12.346609749554364</v>
      </c>
      <c r="BK429" s="43">
        <f t="shared" si="358"/>
        <v>19.128308888684696</v>
      </c>
      <c r="BL429">
        <f t="shared" si="406"/>
        <v>3.0495553578083188</v>
      </c>
      <c r="BM429" s="43">
        <f t="shared" si="407"/>
        <v>-61.853850849076373</v>
      </c>
    </row>
    <row r="430" spans="14:65" x14ac:dyDescent="0.25">
      <c r="N430" s="9">
        <v>12</v>
      </c>
      <c r="O430" s="34">
        <f t="shared" si="408"/>
        <v>131825.67385564081</v>
      </c>
      <c r="P430" s="33" t="str">
        <f t="shared" si="360"/>
        <v>16.5157725627975</v>
      </c>
      <c r="Q430" s="4" t="str">
        <f t="shared" si="361"/>
        <v>1+2143.16380077847i</v>
      </c>
      <c r="R430" s="4">
        <f t="shared" si="373"/>
        <v>2143.1640340784038</v>
      </c>
      <c r="S430" s="4">
        <f t="shared" si="374"/>
        <v>1.5703297269358167</v>
      </c>
      <c r="T430" s="4" t="str">
        <f t="shared" si="362"/>
        <v>1+13.6252905049464i</v>
      </c>
      <c r="U430" s="4">
        <f t="shared" si="375"/>
        <v>13.661937686294085</v>
      </c>
      <c r="V430" s="4">
        <f t="shared" si="376"/>
        <v>1.4975347495162923</v>
      </c>
      <c r="W430" t="str">
        <f t="shared" si="363"/>
        <v>1-207.071284269703i</v>
      </c>
      <c r="X430" s="4">
        <f t="shared" si="377"/>
        <v>207.07369888304058</v>
      </c>
      <c r="Y430" s="4">
        <f t="shared" si="378"/>
        <v>-1.5659671095051366</v>
      </c>
      <c r="Z430" t="str">
        <f t="shared" si="364"/>
        <v>0.640950241993931+2.89899797977583i</v>
      </c>
      <c r="AA430" s="4">
        <f t="shared" si="379"/>
        <v>2.9690076624112005</v>
      </c>
      <c r="AB430" s="4">
        <f t="shared" si="380"/>
        <v>1.3532030356483471</v>
      </c>
      <c r="AC430" s="47" t="str">
        <f t="shared" si="381"/>
        <v>-7.26088528995968-1.0946094078597i</v>
      </c>
      <c r="AD430" s="20">
        <f t="shared" si="382"/>
        <v>17.317388081496638</v>
      </c>
      <c r="AE430" s="43">
        <f t="shared" si="383"/>
        <v>-171.42697397377538</v>
      </c>
      <c r="AF430" t="str">
        <f t="shared" si="365"/>
        <v>247.084651286898</v>
      </c>
      <c r="AG430" t="str">
        <f t="shared" si="366"/>
        <v>1+2095.85551867937i</v>
      </c>
      <c r="AH430">
        <f t="shared" si="384"/>
        <v>2095.8557572454197</v>
      </c>
      <c r="AI430">
        <f t="shared" si="385"/>
        <v>1.5703191947048254</v>
      </c>
      <c r="AJ430" t="str">
        <f t="shared" si="367"/>
        <v>1+13.6252905049464i</v>
      </c>
      <c r="AK430">
        <f t="shared" si="386"/>
        <v>13.661937686294085</v>
      </c>
      <c r="AL430">
        <f t="shared" si="387"/>
        <v>1.4975347495162923</v>
      </c>
      <c r="AM430" t="str">
        <f t="shared" si="368"/>
        <v>1-13.5354426604173i</v>
      </c>
      <c r="AN430">
        <f t="shared" si="388"/>
        <v>13.572332445583719</v>
      </c>
      <c r="AO430">
        <f t="shared" si="389"/>
        <v>-1.4970501969581365</v>
      </c>
      <c r="AP430" s="41" t="str">
        <f t="shared" si="390"/>
        <v>0.0210224720416777-21.8600407104806i</v>
      </c>
      <c r="AQ430">
        <f t="shared" si="391"/>
        <v>26.79302334474858</v>
      </c>
      <c r="AR430" s="43">
        <f t="shared" si="392"/>
        <v>-89.944899528434064</v>
      </c>
      <c r="AS430" t="str">
        <f t="shared" si="369"/>
        <v>-0.0000166666666666667</v>
      </c>
      <c r="AT430" t="str">
        <f t="shared" si="370"/>
        <v>0.00281616946606796i</v>
      </c>
      <c r="AU430">
        <f t="shared" si="393"/>
        <v>2.8161694660679601E-3</v>
      </c>
      <c r="AV430">
        <f t="shared" si="394"/>
        <v>1.5707963267948966</v>
      </c>
      <c r="AW430" t="str">
        <f t="shared" si="371"/>
        <v>1+2.8619687618829i</v>
      </c>
      <c r="AX430">
        <f t="shared" si="395"/>
        <v>3.0316439754683495</v>
      </c>
      <c r="AY430">
        <f t="shared" si="396"/>
        <v>1.2346473738248556</v>
      </c>
      <c r="AZ430" t="str">
        <f t="shared" si="372"/>
        <v>1+97.3069379040186i</v>
      </c>
      <c r="BA430">
        <f t="shared" si="397"/>
        <v>97.312076148115011</v>
      </c>
      <c r="BB430">
        <f t="shared" si="398"/>
        <v>1.5605199290390837</v>
      </c>
      <c r="BC430" s="41" t="str">
        <f t="shared" si="399"/>
        <v>-0.0608152360937123+0.179969510396962i</v>
      </c>
      <c r="BD430">
        <f t="shared" si="400"/>
        <v>-14.426429911399916</v>
      </c>
      <c r="BE430" s="43">
        <f t="shared" si="401"/>
        <v>108.67112207291909</v>
      </c>
      <c r="BF430" s="41" t="str">
        <f t="shared" si="402"/>
        <v>0.638568772366679-1.24016904111316i</v>
      </c>
      <c r="BG430" s="20">
        <f t="shared" si="403"/>
        <v>2.8909581700967175</v>
      </c>
      <c r="BH430" s="43">
        <f t="shared" si="404"/>
        <v>-62.755851900856285</v>
      </c>
      <c r="BI430" s="41" t="str">
        <f t="shared" si="357"/>
        <v>3.93286233732236+1.33320694082671i</v>
      </c>
      <c r="BJ430" s="20">
        <f t="shared" si="405"/>
        <v>12.366593433348656</v>
      </c>
      <c r="BK430" s="43">
        <f t="shared" si="358"/>
        <v>18.726222544484987</v>
      </c>
      <c r="BL430">
        <f t="shared" si="406"/>
        <v>2.8909581700967175</v>
      </c>
      <c r="BM430" s="43">
        <f t="shared" si="407"/>
        <v>-62.755851900856285</v>
      </c>
    </row>
    <row r="431" spans="14:65" x14ac:dyDescent="0.25">
      <c r="N431" s="9">
        <v>13</v>
      </c>
      <c r="O431" s="34">
        <f t="shared" si="408"/>
        <v>134896.28825916545</v>
      </c>
      <c r="P431" s="33" t="str">
        <f t="shared" si="360"/>
        <v>16.5157725627975</v>
      </c>
      <c r="Q431" s="4" t="str">
        <f t="shared" si="361"/>
        <v>1+2193.08449864639i</v>
      </c>
      <c r="R431" s="4">
        <f t="shared" si="373"/>
        <v>2193.0847266357696</v>
      </c>
      <c r="S431" s="4">
        <f t="shared" si="374"/>
        <v>1.5703403480438218</v>
      </c>
      <c r="T431" s="4" t="str">
        <f t="shared" si="362"/>
        <v>1+13.9426642915012i</v>
      </c>
      <c r="U431" s="4">
        <f t="shared" si="375"/>
        <v>13.978479443255003</v>
      </c>
      <c r="V431" s="4">
        <f t="shared" si="376"/>
        <v>1.4991966270662969</v>
      </c>
      <c r="W431" t="str">
        <f t="shared" si="363"/>
        <v>1-211.894594095762i</v>
      </c>
      <c r="X431" s="4">
        <f t="shared" si="377"/>
        <v>211.89695374640883</v>
      </c>
      <c r="Y431" s="4">
        <f t="shared" si="378"/>
        <v>-1.5660770342600918</v>
      </c>
      <c r="Z431" t="str">
        <f t="shared" si="364"/>
        <v>0.624028748221078+2.96652431734067i</v>
      </c>
      <c r="AA431" s="4">
        <f t="shared" si="379"/>
        <v>3.0314482354115655</v>
      </c>
      <c r="AB431" s="4">
        <f t="shared" si="380"/>
        <v>1.3634623674439648</v>
      </c>
      <c r="AC431" s="47" t="str">
        <f t="shared" si="381"/>
        <v>-7.28537752774062-1.03342794226554i</v>
      </c>
      <c r="AD431" s="20">
        <f t="shared" si="382"/>
        <v>17.335559440053913</v>
      </c>
      <c r="AE431" s="43">
        <f t="shared" si="383"/>
        <v>-171.92647858579122</v>
      </c>
      <c r="AF431" t="str">
        <f t="shared" si="365"/>
        <v>247.084651286898</v>
      </c>
      <c r="AG431" t="str">
        <f t="shared" si="366"/>
        <v>1+2144.67426509754i</v>
      </c>
      <c r="AH431">
        <f t="shared" si="384"/>
        <v>2144.6744982331634</v>
      </c>
      <c r="AI431">
        <f t="shared" si="385"/>
        <v>1.5703300555555739</v>
      </c>
      <c r="AJ431" t="str">
        <f t="shared" si="367"/>
        <v>1+13.9426642915012i</v>
      </c>
      <c r="AK431">
        <f t="shared" si="386"/>
        <v>13.978479443255003</v>
      </c>
      <c r="AL431">
        <f t="shared" si="387"/>
        <v>1.4991966270662969</v>
      </c>
      <c r="AM431" t="str">
        <f t="shared" si="368"/>
        <v>1-13.850723621823i</v>
      </c>
      <c r="AN431">
        <f t="shared" si="388"/>
        <v>13.886775898246707</v>
      </c>
      <c r="AO431">
        <f t="shared" si="389"/>
        <v>-1.4987229893048366</v>
      </c>
      <c r="AP431" s="41" t="str">
        <f t="shared" si="390"/>
        <v>0.0210199405873296-22.3637973250032i</v>
      </c>
      <c r="AQ431">
        <f t="shared" si="391"/>
        <v>26.990914791700593</v>
      </c>
      <c r="AR431" s="43">
        <f t="shared" si="392"/>
        <v>-89.946147181128779</v>
      </c>
      <c r="AS431" t="str">
        <f t="shared" si="369"/>
        <v>-0.0000166666666666667</v>
      </c>
      <c r="AT431" t="str">
        <f t="shared" si="370"/>
        <v>0.00288176647970237i</v>
      </c>
      <c r="AU431">
        <f t="shared" si="393"/>
        <v>2.8817664797023699E-3</v>
      </c>
      <c r="AV431">
        <f t="shared" si="394"/>
        <v>1.5707963267948966</v>
      </c>
      <c r="AW431" t="str">
        <f t="shared" si="371"/>
        <v>1+2.9286325781612i</v>
      </c>
      <c r="AX431">
        <f t="shared" si="395"/>
        <v>3.0946548721734901</v>
      </c>
      <c r="AY431">
        <f t="shared" si="396"/>
        <v>1.2417530171945541</v>
      </c>
      <c r="AZ431" t="str">
        <f t="shared" si="372"/>
        <v>1+99.5735076574807i</v>
      </c>
      <c r="BA431">
        <f t="shared" si="397"/>
        <v>99.578528946828527</v>
      </c>
      <c r="BB431">
        <f t="shared" si="398"/>
        <v>1.5607538325002981</v>
      </c>
      <c r="BC431" s="41" t="str">
        <f t="shared" si="399"/>
        <v>-0.058363906028643+0.176709926254207i</v>
      </c>
      <c r="BD431">
        <f t="shared" si="400"/>
        <v>-14.605131028087879</v>
      </c>
      <c r="BE431" s="43">
        <f t="shared" si="401"/>
        <v>108.27740037825144</v>
      </c>
      <c r="BF431" s="41" t="str">
        <f t="shared" si="402"/>
        <v>0.607820064879021-1.22708363435134i</v>
      </c>
      <c r="BG431" s="20">
        <f t="shared" si="403"/>
        <v>2.7304284119660216</v>
      </c>
      <c r="BH431" s="43">
        <f t="shared" si="404"/>
        <v>-63.649078207539759</v>
      </c>
      <c r="BI431" s="41" t="str">
        <f t="shared" si="357"/>
        <v>3.95067817022818+1.30895299767116i</v>
      </c>
      <c r="BJ431" s="20">
        <f t="shared" si="405"/>
        <v>12.385783763612707</v>
      </c>
      <c r="BK431" s="43">
        <f t="shared" si="358"/>
        <v>18.331253197122678</v>
      </c>
      <c r="BL431">
        <f t="shared" si="406"/>
        <v>2.7304284119660216</v>
      </c>
      <c r="BM431" s="43">
        <f t="shared" si="407"/>
        <v>-63.649078207539759</v>
      </c>
    </row>
    <row r="432" spans="14:65" x14ac:dyDescent="0.25">
      <c r="N432" s="9">
        <v>14</v>
      </c>
      <c r="O432" s="34">
        <f t="shared" si="408"/>
        <v>138038.42646028858</v>
      </c>
      <c r="P432" s="33" t="str">
        <f t="shared" si="360"/>
        <v>16.5157725627975</v>
      </c>
      <c r="Q432" s="4" t="str">
        <f t="shared" si="361"/>
        <v>1+2244.1679989444i</v>
      </c>
      <c r="R432" s="4">
        <f t="shared" si="373"/>
        <v>2244.1682217441085</v>
      </c>
      <c r="S432" s="4">
        <f t="shared" si="374"/>
        <v>1.5703507273859914</v>
      </c>
      <c r="T432" s="4" t="str">
        <f t="shared" si="362"/>
        <v>1+14.2674306632163i</v>
      </c>
      <c r="U432" s="4">
        <f t="shared" si="375"/>
        <v>14.30243258084738</v>
      </c>
      <c r="V432" s="4">
        <f t="shared" si="376"/>
        <v>1.5008210585683854</v>
      </c>
      <c r="W432" t="str">
        <f t="shared" si="363"/>
        <v>1-216.830253240369i</v>
      </c>
      <c r="X432" s="4">
        <f t="shared" si="377"/>
        <v>216.8325591793874</v>
      </c>
      <c r="Y432" s="4">
        <f t="shared" si="378"/>
        <v>-1.5661844569323449</v>
      </c>
      <c r="Z432" t="str">
        <f t="shared" si="364"/>
        <v>0.606309769015858+3.03562354536516i</v>
      </c>
      <c r="AA432" s="4">
        <f t="shared" si="379"/>
        <v>3.0955810189977915</v>
      </c>
      <c r="AB432" s="4">
        <f t="shared" si="380"/>
        <v>1.3736589137923709</v>
      </c>
      <c r="AC432" s="47" t="str">
        <f t="shared" si="381"/>
        <v>-7.30850298550285-0.971998222601367i</v>
      </c>
      <c r="AD432" s="20">
        <f t="shared" si="382"/>
        <v>17.352714302667323</v>
      </c>
      <c r="AE432" s="43">
        <f t="shared" si="383"/>
        <v>-172.42437414623129</v>
      </c>
      <c r="AF432" t="str">
        <f t="shared" si="365"/>
        <v>247.084651286898</v>
      </c>
      <c r="AG432" t="str">
        <f t="shared" si="366"/>
        <v>1+2194.63014619919i</v>
      </c>
      <c r="AH432">
        <f t="shared" si="384"/>
        <v>2194.630374028</v>
      </c>
      <c r="AI432">
        <f t="shared" si="385"/>
        <v>1.5703406691832831</v>
      </c>
      <c r="AJ432" t="str">
        <f t="shared" si="367"/>
        <v>1+14.2674306632163i</v>
      </c>
      <c r="AK432">
        <f t="shared" si="386"/>
        <v>14.30243258084738</v>
      </c>
      <c r="AL432">
        <f t="shared" si="387"/>
        <v>1.5008210585683854</v>
      </c>
      <c r="AM432" t="str">
        <f t="shared" si="368"/>
        <v>1-14.173348420229i</v>
      </c>
      <c r="AN432">
        <f t="shared" si="388"/>
        <v>14.208582105235127</v>
      </c>
      <c r="AO432">
        <f t="shared" si="389"/>
        <v>-1.5003580947750703</v>
      </c>
      <c r="AP432" s="41" t="str">
        <f t="shared" si="390"/>
        <v>0.0210175230671422-22.8794115207811i</v>
      </c>
      <c r="AQ432">
        <f t="shared" si="391"/>
        <v>27.188900661192996</v>
      </c>
      <c r="AR432" s="43">
        <f t="shared" si="392"/>
        <v>-89.947366870527219</v>
      </c>
      <c r="AS432" t="str">
        <f t="shared" si="369"/>
        <v>-0.0000166666666666667</v>
      </c>
      <c r="AT432" t="str">
        <f t="shared" si="370"/>
        <v>0.00294889144406902i</v>
      </c>
      <c r="AU432">
        <f t="shared" si="393"/>
        <v>2.9488914440690202E-3</v>
      </c>
      <c r="AV432">
        <f t="shared" si="394"/>
        <v>1.5707963267948966</v>
      </c>
      <c r="AW432" t="str">
        <f t="shared" si="371"/>
        <v>1+2.99684919419747i</v>
      </c>
      <c r="AX432">
        <f t="shared" si="395"/>
        <v>3.1592887004454067</v>
      </c>
      <c r="AY432">
        <f t="shared" si="396"/>
        <v>1.2487303937193563</v>
      </c>
      <c r="AZ432" t="str">
        <f t="shared" si="372"/>
        <v>1+101.892872602714i</v>
      </c>
      <c r="BA432">
        <f t="shared" si="397"/>
        <v>101.89777959913016</v>
      </c>
      <c r="BB432">
        <f t="shared" si="398"/>
        <v>1.5609824127305665</v>
      </c>
      <c r="BC432" s="41" t="str">
        <f t="shared" si="399"/>
        <v>-0.0560002756692271+0.173476222386682i</v>
      </c>
      <c r="BD432">
        <f t="shared" si="400"/>
        <v>-14.784692586872064</v>
      </c>
      <c r="BE432" s="43">
        <f t="shared" si="401"/>
        <v>107.89072283378106</v>
      </c>
      <c r="BF432" s="41" t="str">
        <f t="shared" si="402"/>
        <v>0.577896761740983-1.21341932081115i</v>
      </c>
      <c r="BG432" s="20">
        <f t="shared" si="403"/>
        <v>2.5680217157952789</v>
      </c>
      <c r="BH432" s="43">
        <f t="shared" si="404"/>
        <v>-64.533651312450289</v>
      </c>
      <c r="BI432" s="41" t="str">
        <f t="shared" si="357"/>
        <v>3.96785689396979+1.28489939281904i</v>
      </c>
      <c r="BJ432" s="20">
        <f t="shared" si="405"/>
        <v>12.404208074320922</v>
      </c>
      <c r="BK432" s="43">
        <f t="shared" si="358"/>
        <v>17.943355963253794</v>
      </c>
      <c r="BL432">
        <f t="shared" si="406"/>
        <v>2.5680217157952789</v>
      </c>
      <c r="BM432" s="43">
        <f t="shared" si="407"/>
        <v>-64.533651312450289</v>
      </c>
    </row>
    <row r="433" spans="14:65" x14ac:dyDescent="0.25">
      <c r="N433" s="9">
        <v>15</v>
      </c>
      <c r="O433" s="34">
        <f t="shared" si="408"/>
        <v>141253.75446227577</v>
      </c>
      <c r="P433" s="33" t="str">
        <f t="shared" si="360"/>
        <v>16.5157725627975</v>
      </c>
      <c r="Q433" s="4" t="str">
        <f t="shared" si="361"/>
        <v>1+2296.44138682054i</v>
      </c>
      <c r="R433" s="4">
        <f t="shared" si="373"/>
        <v>2296.4416045487087</v>
      </c>
      <c r="S433" s="4">
        <f t="shared" si="374"/>
        <v>1.5703608704655814</v>
      </c>
      <c r="T433" s="4" t="str">
        <f t="shared" si="362"/>
        <v>1+14.5997618155208i</v>
      </c>
      <c r="U433" s="4">
        <f t="shared" si="375"/>
        <v>14.633968876211922</v>
      </c>
      <c r="V433" s="4">
        <f t="shared" si="376"/>
        <v>1.5024088710062848</v>
      </c>
      <c r="W433" t="str">
        <f t="shared" si="363"/>
        <v>1-221.880878655331i</v>
      </c>
      <c r="X433" s="4">
        <f t="shared" si="377"/>
        <v>221.88313210530833</v>
      </c>
      <c r="Y433" s="4">
        <f t="shared" si="378"/>
        <v>-1.5662894344688958</v>
      </c>
      <c r="Z433" t="str">
        <f t="shared" si="364"/>
        <v>0.58775572004775+3.10633230117463i</v>
      </c>
      <c r="AA433" s="4">
        <f t="shared" si="379"/>
        <v>3.1614485843944582</v>
      </c>
      <c r="AB433" s="4">
        <f t="shared" si="380"/>
        <v>1.3837949185738811</v>
      </c>
      <c r="AC433" s="47" t="str">
        <f t="shared" si="381"/>
        <v>-7.33027563509966-0.910338924702403i</v>
      </c>
      <c r="AD433" s="20">
        <f t="shared" si="382"/>
        <v>17.368875577943289</v>
      </c>
      <c r="AE433" s="43">
        <f t="shared" si="383"/>
        <v>-172.92074541542601</v>
      </c>
      <c r="AF433" t="str">
        <f t="shared" si="365"/>
        <v>247.084651286898</v>
      </c>
      <c r="AG433" t="str">
        <f t="shared" si="366"/>
        <v>1+2245.74964925373i</v>
      </c>
      <c r="AH433">
        <f t="shared" si="384"/>
        <v>2245.749871896523</v>
      </c>
      <c r="AI433">
        <f t="shared" si="385"/>
        <v>1.5703510412154291</v>
      </c>
      <c r="AJ433" t="str">
        <f t="shared" si="367"/>
        <v>1+14.5997618155208i</v>
      </c>
      <c r="AK433">
        <f t="shared" si="386"/>
        <v>14.633968876211922</v>
      </c>
      <c r="AL433">
        <f t="shared" si="387"/>
        <v>1.5024088710062848</v>
      </c>
      <c r="AM433" t="str">
        <f t="shared" si="368"/>
        <v>1-14.5034881155738i</v>
      </c>
      <c r="AN433">
        <f t="shared" si="388"/>
        <v>14.537921705614956</v>
      </c>
      <c r="AO433">
        <f t="shared" si="389"/>
        <v>-1.5019563453312268</v>
      </c>
      <c r="AP433" s="41" t="str">
        <f t="shared" si="390"/>
        <v>0.021015214353247-23.4071566832928i</v>
      </c>
      <c r="AQ433">
        <f t="shared" si="391"/>
        <v>27.386976745366006</v>
      </c>
      <c r="AR433" s="43">
        <f t="shared" si="392"/>
        <v>-89.948559204316339</v>
      </c>
      <c r="AS433" t="str">
        <f t="shared" si="369"/>
        <v>-0.0000166666666666667</v>
      </c>
      <c r="AT433" t="str">
        <f t="shared" si="370"/>
        <v>0.0030175799497125i</v>
      </c>
      <c r="AU433">
        <f t="shared" si="393"/>
        <v>3.0175799497124999E-3</v>
      </c>
      <c r="AV433">
        <f t="shared" si="394"/>
        <v>1.5707963267948966</v>
      </c>
      <c r="AW433" t="str">
        <f t="shared" si="371"/>
        <v>1+3.0666547793445i</v>
      </c>
      <c r="AX433">
        <f t="shared" si="395"/>
        <v>3.2255808059443281</v>
      </c>
      <c r="AY433">
        <f t="shared" si="396"/>
        <v>1.2555804845166936</v>
      </c>
      <c r="AZ433" t="str">
        <f t="shared" si="372"/>
        <v>1+104.266262497713i</v>
      </c>
      <c r="BA433">
        <f t="shared" si="397"/>
        <v>104.27105780245058</v>
      </c>
      <c r="BB433">
        <f t="shared" si="398"/>
        <v>1.5612057908305534</v>
      </c>
      <c r="BC433" s="41" t="str">
        <f t="shared" si="399"/>
        <v>-0.0537220950599069+0.17027030932803i</v>
      </c>
      <c r="BD433">
        <f t="shared" si="400"/>
        <v>-14.965083651067069</v>
      </c>
      <c r="BE433" s="43">
        <f t="shared" si="401"/>
        <v>107.51104016417715</v>
      </c>
      <c r="BF433" s="41" t="str">
        <f t="shared" si="402"/>
        <v>0.548801454786568-1.19922298559854i</v>
      </c>
      <c r="BG433" s="20">
        <f t="shared" si="403"/>
        <v>2.4037919268761905</v>
      </c>
      <c r="BH433" s="43">
        <f t="shared" si="404"/>
        <v>-65.409705251248781</v>
      </c>
      <c r="BI433" s="41" t="str">
        <f t="shared" si="357"/>
        <v>3.98441482761074+1.26105976347051i</v>
      </c>
      <c r="BJ433" s="20">
        <f t="shared" si="405"/>
        <v>12.421893094298934</v>
      </c>
      <c r="BK433" s="43">
        <f t="shared" si="358"/>
        <v>17.562480959860775</v>
      </c>
      <c r="BL433">
        <f t="shared" si="406"/>
        <v>2.4037919268761905</v>
      </c>
      <c r="BM433" s="43">
        <f t="shared" si="407"/>
        <v>-65.409705251248781</v>
      </c>
    </row>
    <row r="434" spans="14:65" x14ac:dyDescent="0.25">
      <c r="N434" s="9">
        <v>16</v>
      </c>
      <c r="O434" s="34">
        <f t="shared" si="408"/>
        <v>144543.97707459307</v>
      </c>
      <c r="P434" s="33" t="str">
        <f t="shared" si="360"/>
        <v>16.5157725627975</v>
      </c>
      <c r="Q434" s="4" t="str">
        <f t="shared" si="361"/>
        <v>1+2349.93237831695i</v>
      </c>
      <c r="R434" s="4">
        <f t="shared" si="373"/>
        <v>2349.9325910890202</v>
      </c>
      <c r="S434" s="4">
        <f t="shared" si="374"/>
        <v>1.5703707826605784</v>
      </c>
      <c r="T434" s="4" t="str">
        <f t="shared" si="362"/>
        <v>1+14.9398339547906i</v>
      </c>
      <c r="U434" s="4">
        <f t="shared" si="375"/>
        <v>14.973264126325766</v>
      </c>
      <c r="V434" s="4">
        <f t="shared" si="376"/>
        <v>1.5039608742162875</v>
      </c>
      <c r="W434" t="str">
        <f t="shared" si="363"/>
        <v>1-227.049148249097i</v>
      </c>
      <c r="X434" s="4">
        <f t="shared" si="377"/>
        <v>227.05135040479371</v>
      </c>
      <c r="Y434" s="4">
        <f t="shared" si="378"/>
        <v>-1.566392022520964</v>
      </c>
      <c r="Z434" t="str">
        <f t="shared" si="364"/>
        <v>0.568327245691312+3.17868807548735i</v>
      </c>
      <c r="AA434" s="4">
        <f t="shared" si="379"/>
        <v>3.2290948792874672</v>
      </c>
      <c r="AB434" s="4">
        <f t="shared" si="380"/>
        <v>1.3938727336941277</v>
      </c>
      <c r="AC434" s="47" t="str">
        <f t="shared" si="381"/>
        <v>-7.35070926790545-0.848467011305497i</v>
      </c>
      <c r="AD434" s="20">
        <f t="shared" si="382"/>
        <v>17.384065159559032</v>
      </c>
      <c r="AE434" s="43">
        <f t="shared" si="383"/>
        <v>-173.41568424415638</v>
      </c>
      <c r="AF434" t="str">
        <f t="shared" si="365"/>
        <v>247.084651286898</v>
      </c>
      <c r="AG434" t="str">
        <f t="shared" si="366"/>
        <v>1+2298.0598784983i</v>
      </c>
      <c r="AH434">
        <f t="shared" si="384"/>
        <v>2298.0600960731249</v>
      </c>
      <c r="AI434">
        <f t="shared" si="385"/>
        <v>1.5703611771513917</v>
      </c>
      <c r="AJ434" t="str">
        <f t="shared" si="367"/>
        <v>1+14.9398339547906i</v>
      </c>
      <c r="AK434">
        <f t="shared" si="386"/>
        <v>14.973264126325766</v>
      </c>
      <c r="AL434">
        <f t="shared" si="387"/>
        <v>1.5039608742162875</v>
      </c>
      <c r="AM434" t="str">
        <f t="shared" si="368"/>
        <v>1-14.8413177522939i</v>
      </c>
      <c r="AN434">
        <f t="shared" si="388"/>
        <v>14.874969331886168</v>
      </c>
      <c r="AO434">
        <f t="shared" si="389"/>
        <v>-1.5035185557079291</v>
      </c>
      <c r="AP434" s="41" t="str">
        <f t="shared" si="390"/>
        <v>0.0210130095485492-23.947312630016i</v>
      </c>
      <c r="AQ434">
        <f t="shared" si="391"/>
        <v>27.585139022088171</v>
      </c>
      <c r="AR434" s="43">
        <f t="shared" si="392"/>
        <v>-89.949724778241077</v>
      </c>
      <c r="AS434" t="str">
        <f t="shared" si="369"/>
        <v>-0.0000166666666666667</v>
      </c>
      <c r="AT434" t="str">
        <f t="shared" si="370"/>
        <v>0.00308786841618771i</v>
      </c>
      <c r="AU434">
        <f t="shared" si="393"/>
        <v>3.0878684161877099E-3</v>
      </c>
      <c r="AV434">
        <f t="shared" si="394"/>
        <v>1.5707963267948966</v>
      </c>
      <c r="AW434" t="str">
        <f t="shared" si="371"/>
        <v>1+3.13808634544751i</v>
      </c>
      <c r="AX434">
        <f t="shared" si="395"/>
        <v>3.293567353415459</v>
      </c>
      <c r="AY434">
        <f t="shared" si="396"/>
        <v>1.2623043492665362</v>
      </c>
      <c r="AZ434" t="str">
        <f t="shared" si="372"/>
        <v>1+106.694935745215i</v>
      </c>
      <c r="BA434">
        <f t="shared" si="397"/>
        <v>106.6996219003402</v>
      </c>
      <c r="BB434">
        <f t="shared" si="398"/>
        <v>1.5614240851490642</v>
      </c>
      <c r="BC434" s="41" t="str">
        <f t="shared" si="399"/>
        <v>-0.0515270993232196+0.167093953414842i</v>
      </c>
      <c r="BD434">
        <f t="shared" si="400"/>
        <v>-15.146274090076266</v>
      </c>
      <c r="BE434" s="43">
        <f t="shared" si="401"/>
        <v>107.13829843513666</v>
      </c>
      <c r="BF434" s="41" t="str">
        <f t="shared" si="402"/>
        <v>0.520534433804586-1.18454002801343i</v>
      </c>
      <c r="BG434" s="20">
        <f t="shared" si="403"/>
        <v>2.2377910694827832</v>
      </c>
      <c r="BH434" s="43">
        <f t="shared" si="404"/>
        <v>-66.277385809019762</v>
      </c>
      <c r="BI434" s="41" t="str">
        <f t="shared" ref="BI434:BI497" si="409">IMPRODUCT(AP434,BC434)</f>
        <v>4.00036840158046+1.23744670324964i</v>
      </c>
      <c r="BJ434" s="20">
        <f t="shared" si="405"/>
        <v>12.438864932011901</v>
      </c>
      <c r="BK434" s="43">
        <f t="shared" ref="BK434:BK497" si="410">(180/PI())*IMARGUMENT(BI434)</f>
        <v>17.188573656895649</v>
      </c>
      <c r="BL434">
        <f t="shared" si="406"/>
        <v>2.2377910694827832</v>
      </c>
      <c r="BM434" s="43">
        <f t="shared" si="407"/>
        <v>-66.277385809019762</v>
      </c>
    </row>
    <row r="435" spans="14:65" x14ac:dyDescent="0.25">
      <c r="N435" s="9">
        <v>17</v>
      </c>
      <c r="O435" s="34">
        <f t="shared" si="408"/>
        <v>147910.83881682079</v>
      </c>
      <c r="P435" s="33" t="str">
        <f t="shared" si="360"/>
        <v>16.5157725627975</v>
      </c>
      <c r="Q435" s="4" t="str">
        <f t="shared" si="361"/>
        <v>1+2404.66933506538i</v>
      </c>
      <c r="R435" s="4">
        <f t="shared" si="373"/>
        <v>2404.6695429941674</v>
      </c>
      <c r="S435" s="4">
        <f t="shared" si="374"/>
        <v>1.5703804692265515</v>
      </c>
      <c r="T435" s="4" t="str">
        <f t="shared" si="362"/>
        <v>1+15.2878273917752i</v>
      </c>
      <c r="U435" s="4">
        <f t="shared" si="375"/>
        <v>15.320498241268531</v>
      </c>
      <c r="V435" s="4">
        <f t="shared" si="376"/>
        <v>1.5054778611675625</v>
      </c>
      <c r="W435" t="str">
        <f t="shared" si="363"/>
        <v>1-232.337802306614i</v>
      </c>
      <c r="X435" s="4">
        <f t="shared" si="377"/>
        <v>232.3399543355969</v>
      </c>
      <c r="Y435" s="4">
        <f t="shared" si="378"/>
        <v>-1.56649227547345</v>
      </c>
      <c r="Z435" t="str">
        <f t="shared" si="364"/>
        <v>0.547983135547613+3.25272923229259i</v>
      </c>
      <c r="AA435" s="4">
        <f t="shared" si="379"/>
        <v>3.2985652904642246</v>
      </c>
      <c r="AB435" s="4">
        <f t="shared" si="380"/>
        <v>1.4038948126313178</v>
      </c>
      <c r="AC435" s="47" t="str">
        <f t="shared" si="381"/>
        <v>-7.36981738259576-0.78639779937183i</v>
      </c>
      <c r="AD435" s="20">
        <f t="shared" si="382"/>
        <v>17.398303901974078</v>
      </c>
      <c r="AE435" s="43">
        <f t="shared" si="383"/>
        <v>-173.90928918972926</v>
      </c>
      <c r="AF435" t="str">
        <f t="shared" si="365"/>
        <v>247.084651286898</v>
      </c>
      <c r="AG435" t="str">
        <f t="shared" si="366"/>
        <v>1+2351.58856950887i</v>
      </c>
      <c r="AH435">
        <f t="shared" si="384"/>
        <v>2351.588782131088</v>
      </c>
      <c r="AI435">
        <f t="shared" si="385"/>
        <v>1.5703710823653698</v>
      </c>
      <c r="AJ435" t="str">
        <f t="shared" si="367"/>
        <v>1+15.2878273917752i</v>
      </c>
      <c r="AK435">
        <f t="shared" si="386"/>
        <v>15.320498241268531</v>
      </c>
      <c r="AL435">
        <f t="shared" si="387"/>
        <v>1.5054778611675625</v>
      </c>
      <c r="AM435" t="str">
        <f t="shared" si="368"/>
        <v>1-15.1870164521342i</v>
      </c>
      <c r="AN435">
        <f t="shared" si="388"/>
        <v>15.21990370263212</v>
      </c>
      <c r="AO435">
        <f t="shared" si="389"/>
        <v>-1.5050455236920348</v>
      </c>
      <c r="AP435" s="41" t="str">
        <f t="shared" si="390"/>
        <v>0.0210109039763744-24.500165758789i</v>
      </c>
      <c r="AQ435">
        <f t="shared" si="391"/>
        <v>27.783383646915066</v>
      </c>
      <c r="AR435" s="43">
        <f t="shared" si="392"/>
        <v>-89.950864176253589</v>
      </c>
      <c r="AS435" t="str">
        <f t="shared" si="369"/>
        <v>-0.0000166666666666667</v>
      </c>
      <c r="AT435" t="str">
        <f t="shared" si="370"/>
        <v>0.00315979411136995i</v>
      </c>
      <c r="AU435">
        <f t="shared" si="393"/>
        <v>3.1597941113699502E-3</v>
      </c>
      <c r="AV435">
        <f t="shared" si="394"/>
        <v>1.5707963267948966</v>
      </c>
      <c r="AW435" t="str">
        <f t="shared" si="371"/>
        <v>1+3.21118176646835i</v>
      </c>
      <c r="AX435">
        <f t="shared" si="395"/>
        <v>3.3632853487771137</v>
      </c>
      <c r="AY435">
        <f t="shared" si="396"/>
        <v>1.2689031202973362</v>
      </c>
      <c r="AZ435" t="str">
        <f t="shared" si="372"/>
        <v>1+109.180180059924i</v>
      </c>
      <c r="BA435">
        <f t="shared" si="397"/>
        <v>109.18475954966162</v>
      </c>
      <c r="BB435">
        <f t="shared" si="398"/>
        <v>1.5616374113453704</v>
      </c>
      <c r="BC435" s="41" t="str">
        <f t="shared" si="399"/>
        <v>-0.0494130159894134+0.163948781239742i</v>
      </c>
      <c r="BD435">
        <f t="shared" si="400"/>
        <v>-15.328234583487577</v>
      </c>
      <c r="BE435" s="43">
        <f t="shared" si="401"/>
        <v>106.77243939580667</v>
      </c>
      <c r="BF435" s="41" t="str">
        <f t="shared" si="402"/>
        <v>0.493093864941888-1.16941429080164i</v>
      </c>
      <c r="BG435" s="20">
        <f t="shared" si="403"/>
        <v>2.0700693184865009</v>
      </c>
      <c r="BH435" s="43">
        <f t="shared" si="404"/>
        <v>-67.136849793922579</v>
      </c>
      <c r="BI435" s="41" t="str">
        <f t="shared" si="409"/>
        <v>4.01573410419098+1.21407179448199i</v>
      </c>
      <c r="BJ435" s="20">
        <f t="shared" si="405"/>
        <v>12.455149063427488</v>
      </c>
      <c r="BK435" s="43">
        <f t="shared" si="410"/>
        <v>16.821575219553058</v>
      </c>
      <c r="BL435">
        <f t="shared" si="406"/>
        <v>2.0700693184865009</v>
      </c>
      <c r="BM435" s="43">
        <f t="shared" si="407"/>
        <v>-67.136849793922579</v>
      </c>
    </row>
    <row r="436" spans="14:65" x14ac:dyDescent="0.25">
      <c r="N436" s="9">
        <v>18</v>
      </c>
      <c r="O436" s="34">
        <f t="shared" si="408"/>
        <v>151356.12484362084</v>
      </c>
      <c r="P436" s="33" t="str">
        <f t="shared" si="360"/>
        <v>16.5157725627975</v>
      </c>
      <c r="Q436" s="4" t="str">
        <f t="shared" si="361"/>
        <v>1+2460.68127932482i</v>
      </c>
      <c r="R436" s="4">
        <f t="shared" si="373"/>
        <v>2460.6814825205706</v>
      </c>
      <c r="S436" s="4">
        <f t="shared" si="374"/>
        <v>1.5703899352994393</v>
      </c>
      <c r="T436" s="4" t="str">
        <f t="shared" si="362"/>
        <v>1+15.6439266372013i</v>
      </c>
      <c r="U436" s="4">
        <f t="shared" si="375"/>
        <v>15.675855339666041</v>
      </c>
      <c r="V436" s="4">
        <f t="shared" si="376"/>
        <v>1.5069606082432263</v>
      </c>
      <c r="W436" t="str">
        <f t="shared" si="363"/>
        <v>1-237.749644942269i</v>
      </c>
      <c r="X436" s="4">
        <f t="shared" si="377"/>
        <v>237.75174798552999</v>
      </c>
      <c r="Y436" s="4">
        <f t="shared" si="378"/>
        <v>-1.5665902464737309</v>
      </c>
      <c r="Z436" t="str">
        <f t="shared" si="364"/>
        <v>0.526680237031452+3.32849502919177i</v>
      </c>
      <c r="AA436" s="4">
        <f t="shared" si="379"/>
        <v>3.3699067096039661</v>
      </c>
      <c r="AB436" s="4">
        <f t="shared" si="380"/>
        <v>1.4138637041033115</v>
      </c>
      <c r="AC436" s="47" t="str">
        <f t="shared" si="381"/>
        <v>-7.38761307973764-0.724145032279989i</v>
      </c>
      <c r="AD436" s="20">
        <f t="shared" si="382"/>
        <v>17.411611598750223</v>
      </c>
      <c r="AE436" s="43">
        <f t="shared" si="383"/>
        <v>-174.40166513883335</v>
      </c>
      <c r="AF436" t="str">
        <f t="shared" si="365"/>
        <v>247.084651286898</v>
      </c>
      <c r="AG436" t="str">
        <f t="shared" si="366"/>
        <v>1+2406.36410390595i</v>
      </c>
      <c r="AH436">
        <f t="shared" si="384"/>
        <v>2406.3643116882959</v>
      </c>
      <c r="AI436">
        <f t="shared" si="385"/>
        <v>1.5703807621092316</v>
      </c>
      <c r="AJ436" t="str">
        <f t="shared" si="367"/>
        <v>1+15.6439266372013i</v>
      </c>
      <c r="AK436">
        <f t="shared" si="386"/>
        <v>15.675855339666041</v>
      </c>
      <c r="AL436">
        <f t="shared" si="387"/>
        <v>1.5069606082432263</v>
      </c>
      <c r="AM436" t="str">
        <f t="shared" si="368"/>
        <v>1-15.5407675091215i</v>
      </c>
      <c r="AN436">
        <f t="shared" si="388"/>
        <v>15.572907717332896</v>
      </c>
      <c r="AO436">
        <f t="shared" si="389"/>
        <v>-1.5065380304035414</v>
      </c>
      <c r="AP436" s="41" t="str">
        <f t="shared" si="390"/>
        <v>0.0210088931705154-25.066009199665i</v>
      </c>
      <c r="AQ436">
        <f t="shared" si="391"/>
        <v>27.981706945383706</v>
      </c>
      <c r="AR436" s="43">
        <f t="shared" si="392"/>
        <v>-89.951977970667016</v>
      </c>
      <c r="AS436" t="str">
        <f t="shared" si="369"/>
        <v>-0.0000166666666666667</v>
      </c>
      <c r="AT436" t="str">
        <f t="shared" si="370"/>
        <v>0.00323339517121486i</v>
      </c>
      <c r="AU436">
        <f t="shared" si="393"/>
        <v>3.23339517121486E-3</v>
      </c>
      <c r="AV436">
        <f t="shared" si="394"/>
        <v>1.5707963267948966</v>
      </c>
      <c r="AW436" t="str">
        <f t="shared" si="371"/>
        <v>1+3.2859797985668i</v>
      </c>
      <c r="AX436">
        <f t="shared" si="395"/>
        <v>3.4347726615584193</v>
      </c>
      <c r="AY436">
        <f t="shared" si="396"/>
        <v>1.2753779968616308</v>
      </c>
      <c r="AZ436" t="str">
        <f t="shared" si="372"/>
        <v>1+111.723313151271i</v>
      </c>
      <c r="BA436">
        <f t="shared" si="397"/>
        <v>111.72778840331962</v>
      </c>
      <c r="BB436">
        <f t="shared" si="398"/>
        <v>1.5618458824501358</v>
      </c>
      <c r="BC436" s="41" t="str">
        <f t="shared" si="399"/>
        <v>-0.0473775717673221+0.16083628432663i</v>
      </c>
      <c r="BD436">
        <f t="shared" si="400"/>
        <v>-15.51093662264333</v>
      </c>
      <c r="BE436" s="43">
        <f t="shared" si="401"/>
        <v>106.41340081025787</v>
      </c>
      <c r="BF436" s="41" t="str">
        <f t="shared" si="402"/>
        <v>0.466475965179978-1.15388800455102i</v>
      </c>
      <c r="BG436" s="20">
        <f t="shared" si="403"/>
        <v>1.9006749761069006</v>
      </c>
      <c r="BH436" s="43">
        <f t="shared" si="404"/>
        <v>-67.988264328575539</v>
      </c>
      <c r="BI436" s="41" t="str">
        <f t="shared" si="409"/>
        <v>4.0305284322273+1.19094564209285i</v>
      </c>
      <c r="BJ436" s="20">
        <f t="shared" si="405"/>
        <v>12.470770322740369</v>
      </c>
      <c r="BK436" s="43">
        <f t="shared" si="410"/>
        <v>16.461422839590938</v>
      </c>
      <c r="BL436">
        <f t="shared" si="406"/>
        <v>1.9006749761069006</v>
      </c>
      <c r="BM436" s="43">
        <f t="shared" si="407"/>
        <v>-67.988264328575539</v>
      </c>
    </row>
    <row r="437" spans="14:65" x14ac:dyDescent="0.25">
      <c r="N437" s="9">
        <v>19</v>
      </c>
      <c r="O437" s="34">
        <f t="shared" si="408"/>
        <v>154881.66189124843</v>
      </c>
      <c r="P437" s="33" t="str">
        <f t="shared" si="360"/>
        <v>16.5157725627975</v>
      </c>
      <c r="Q437" s="4" t="str">
        <f t="shared" si="361"/>
        <v>1+2517.99790936954i</v>
      </c>
      <c r="R437" s="4">
        <f t="shared" si="373"/>
        <v>2517.9981079399909</v>
      </c>
      <c r="S437" s="4">
        <f t="shared" si="374"/>
        <v>1.5703991858982718</v>
      </c>
      <c r="T437" s="4" t="str">
        <f t="shared" si="362"/>
        <v>1+16.0083204996024i</v>
      </c>
      <c r="U437" s="4">
        <f t="shared" si="375"/>
        <v>16.039523846361227</v>
      </c>
      <c r="V437" s="4">
        <f t="shared" si="376"/>
        <v>1.5084098755216928</v>
      </c>
      <c r="W437" t="str">
        <f t="shared" si="363"/>
        <v>1-243.287545586662i</v>
      </c>
      <c r="X437" s="4">
        <f t="shared" si="377"/>
        <v>243.28960075922302</v>
      </c>
      <c r="Y437" s="4">
        <f t="shared" si="378"/>
        <v>-1.5666859874598005</v>
      </c>
      <c r="Z437" t="str">
        <f t="shared" si="364"/>
        <v>0.504373363838946+3.40602563821327i</v>
      </c>
      <c r="AA437" s="4">
        <f t="shared" si="379"/>
        <v>3.4431676024144289</v>
      </c>
      <c r="AB437" s="4">
        <f t="shared" si="380"/>
        <v>1.4237820458616495</v>
      </c>
      <c r="AC437" s="47" t="str">
        <f t="shared" si="381"/>
        <v>-7.40410896313742-0.661720956335842i</v>
      </c>
      <c r="AD437" s="20">
        <f t="shared" si="382"/>
        <v>17.42400696326732</v>
      </c>
      <c r="AE437" s="43">
        <f t="shared" si="383"/>
        <v>-174.89292293761122</v>
      </c>
      <c r="AF437" t="str">
        <f t="shared" si="365"/>
        <v>247.084651286898</v>
      </c>
      <c r="AG437" t="str">
        <f t="shared" si="366"/>
        <v>1+2462.41552440292i</v>
      </c>
      <c r="AH437">
        <f t="shared" si="384"/>
        <v>2462.4157274555623</v>
      </c>
      <c r="AI437">
        <f t="shared" si="385"/>
        <v>1.5703902215152978</v>
      </c>
      <c r="AJ437" t="str">
        <f t="shared" si="367"/>
        <v>1+16.0083204996024i</v>
      </c>
      <c r="AK437">
        <f t="shared" si="386"/>
        <v>16.039523846361227</v>
      </c>
      <c r="AL437">
        <f t="shared" si="387"/>
        <v>1.5084098755216928</v>
      </c>
      <c r="AM437" t="str">
        <f t="shared" si="368"/>
        <v>1-15.9027584867485i</v>
      </c>
      <c r="AN437">
        <f t="shared" si="388"/>
        <v>15.934168553390272</v>
      </c>
      <c r="AO437">
        <f t="shared" si="389"/>
        <v>-1.5079968405768984</v>
      </c>
      <c r="AP437" s="41" t="str">
        <f t="shared" si="390"/>
        <v>0.0210069728658097-25.6451429703314i</v>
      </c>
      <c r="AQ437">
        <f t="shared" si="391"/>
        <v>28.180105405627025</v>
      </c>
      <c r="AR437" s="43">
        <f t="shared" si="392"/>
        <v>-89.953066722312869</v>
      </c>
      <c r="AS437" t="str">
        <f t="shared" si="369"/>
        <v>-0.0000166666666666667</v>
      </c>
      <c r="AT437" t="str">
        <f t="shared" si="370"/>
        <v>0.00330871061997861i</v>
      </c>
      <c r="AU437">
        <f t="shared" si="393"/>
        <v>3.30871061997861E-3</v>
      </c>
      <c r="AV437">
        <f t="shared" si="394"/>
        <v>1.5707963267948966</v>
      </c>
      <c r="AW437" t="str">
        <f t="shared" si="371"/>
        <v>1+3.36252010064954i</v>
      </c>
      <c r="AX437">
        <f t="shared" si="395"/>
        <v>3.5080680476969364</v>
      </c>
      <c r="AY437">
        <f t="shared" si="396"/>
        <v>1.2817302396094374</v>
      </c>
      <c r="AZ437" t="str">
        <f t="shared" si="372"/>
        <v>1+114.325683422084i</v>
      </c>
      <c r="BA437">
        <f t="shared" si="397"/>
        <v>114.33005680890119</v>
      </c>
      <c r="BB437">
        <f t="shared" si="398"/>
        <v>1.5620496089249765</v>
      </c>
      <c r="BC437" s="41" t="str">
        <f t="shared" si="399"/>
        <v>-0.0454184987700554+0.157757823981082i</v>
      </c>
      <c r="BD437">
        <f t="shared" si="400"/>
        <v>-15.694352509880662</v>
      </c>
      <c r="BE437" s="43">
        <f t="shared" si="401"/>
        <v>106.06111677754937</v>
      </c>
      <c r="BF437" s="41" t="str">
        <f t="shared" si="402"/>
        <v>0.440675171989836-1.13800174610193i</v>
      </c>
      <c r="BG437" s="20">
        <f t="shared" si="403"/>
        <v>1.7296544533866847</v>
      </c>
      <c r="BH437" s="43">
        <f t="shared" si="404"/>
        <v>-68.83180616006193</v>
      </c>
      <c r="BI437" s="41" t="str">
        <f t="shared" si="409"/>
        <v>4.04476784551195+1.16807790878363i</v>
      </c>
      <c r="BJ437" s="20">
        <f t="shared" si="405"/>
        <v>12.48575289574635</v>
      </c>
      <c r="BK437" s="43">
        <f t="shared" si="410"/>
        <v>16.108050055236504</v>
      </c>
      <c r="BL437">
        <f t="shared" si="406"/>
        <v>1.7296544533866847</v>
      </c>
      <c r="BM437" s="43">
        <f t="shared" si="407"/>
        <v>-68.83180616006193</v>
      </c>
    </row>
    <row r="438" spans="14:65" x14ac:dyDescent="0.25">
      <c r="N438" s="9">
        <v>20</v>
      </c>
      <c r="O438" s="34">
        <f t="shared" si="408"/>
        <v>158489.31924611164</v>
      </c>
      <c r="P438" s="33" t="str">
        <f t="shared" si="360"/>
        <v>16.5157725627975</v>
      </c>
      <c r="Q438" s="4" t="str">
        <f t="shared" si="361"/>
        <v>1+2576.64961523543i</v>
      </c>
      <c r="R438" s="4">
        <f t="shared" si="373"/>
        <v>2576.6498092858656</v>
      </c>
      <c r="S438" s="4">
        <f t="shared" si="374"/>
        <v>1.5704082259278327</v>
      </c>
      <c r="T438" s="4" t="str">
        <f t="shared" si="362"/>
        <v>1+16.3812021854274i</v>
      </c>
      <c r="U438" s="4">
        <f t="shared" si="375"/>
        <v>16.411696592365196</v>
      </c>
      <c r="V438" s="4">
        <f t="shared" si="376"/>
        <v>1.5098264070578753</v>
      </c>
      <c r="W438" t="str">
        <f t="shared" si="363"/>
        <v>1-248.954440508016i</v>
      </c>
      <c r="X438" s="4">
        <f t="shared" si="377"/>
        <v>248.95644889951996</v>
      </c>
      <c r="Y438" s="4">
        <f t="shared" si="378"/>
        <v>-1.5667795491877723</v>
      </c>
      <c r="Z438" t="str">
        <f t="shared" si="364"/>
        <v>0.481015200101325+3.48536216711222i</v>
      </c>
      <c r="AA438" s="4">
        <f t="shared" si="379"/>
        <v>3.5183980813241855</v>
      </c>
      <c r="AB438" s="4">
        <f t="shared" si="380"/>
        <v>1.4336525586174096</v>
      </c>
      <c r="AC438" s="47" t="str">
        <f t="shared" si="381"/>
        <v>-7.41931704786453-0.59913640109024i</v>
      </c>
      <c r="AD438" s="20">
        <f t="shared" si="382"/>
        <v>17.435507611633231</v>
      </c>
      <c r="AE438" s="43">
        <f t="shared" si="383"/>
        <v>-175.38317902925314</v>
      </c>
      <c r="AF438" t="str">
        <f t="shared" si="365"/>
        <v>247.084651286898</v>
      </c>
      <c r="AG438" t="str">
        <f t="shared" si="366"/>
        <v>1+2519.77255020484i</v>
      </c>
      <c r="AH438">
        <f t="shared" si="384"/>
        <v>2519.7727486354411</v>
      </c>
      <c r="AI438">
        <f t="shared" si="385"/>
        <v>1.5703994655990641</v>
      </c>
      <c r="AJ438" t="str">
        <f t="shared" si="367"/>
        <v>1+16.3812021854274i</v>
      </c>
      <c r="AK438">
        <f t="shared" si="386"/>
        <v>16.411696592365196</v>
      </c>
      <c r="AL438">
        <f t="shared" si="387"/>
        <v>1.5098264070578753</v>
      </c>
      <c r="AM438" t="str">
        <f t="shared" si="368"/>
        <v>1-16.273181317423i</v>
      </c>
      <c r="AN438">
        <f t="shared" si="388"/>
        <v>16.303877765419028</v>
      </c>
      <c r="AO438">
        <f t="shared" si="389"/>
        <v>-1.5094227028422968</v>
      </c>
      <c r="AP438" s="41" t="str">
        <f t="shared" si="390"/>
        <v>0.0210051389890159-26.2378741351838i</v>
      </c>
      <c r="AQ438">
        <f t="shared" si="391"/>
        <v>28.378575671298588</v>
      </c>
      <c r="AR438" s="43">
        <f t="shared" si="392"/>
        <v>-89.954130980702004</v>
      </c>
      <c r="AS438" t="str">
        <f t="shared" si="369"/>
        <v>-0.0000166666666666667</v>
      </c>
      <c r="AT438" t="str">
        <f t="shared" si="370"/>
        <v>0.00338578039090902i</v>
      </c>
      <c r="AU438">
        <f t="shared" si="393"/>
        <v>3.3857803909090201E-3</v>
      </c>
      <c r="AV438">
        <f t="shared" si="394"/>
        <v>1.5707963267948966</v>
      </c>
      <c r="AW438" t="str">
        <f t="shared" si="371"/>
        <v>1+3.44084325539785i</v>
      </c>
      <c r="AX438">
        <f t="shared" si="395"/>
        <v>3.5832111727076419</v>
      </c>
      <c r="AY438">
        <f t="shared" si="396"/>
        <v>1.2879611652657343</v>
      </c>
      <c r="AZ438" t="str">
        <f t="shared" si="372"/>
        <v>1+116.988670683527i</v>
      </c>
      <c r="BA438">
        <f t="shared" si="397"/>
        <v>116.99294452358541</v>
      </c>
      <c r="BB438">
        <f t="shared" si="398"/>
        <v>1.5622486987206827</v>
      </c>
      <c r="BC438" s="41" t="str">
        <f t="shared" si="399"/>
        <v>-0.0435335402116414+0.154714636272492i</v>
      </c>
      <c r="BD438">
        <f t="shared" si="400"/>
        <v>-15.878455355637682</v>
      </c>
      <c r="BE438" s="43">
        <f t="shared" si="401"/>
        <v>105.71551804002189</v>
      </c>
      <c r="BF438" s="41" t="str">
        <f t="shared" si="402"/>
        <v>0.415684307418413-1.12179440984154i</v>
      </c>
      <c r="BG438" s="20">
        <f t="shared" si="403"/>
        <v>1.5570522559955537</v>
      </c>
      <c r="BH438" s="43">
        <f t="shared" si="404"/>
        <v>-69.667660989231265</v>
      </c>
      <c r="BI438" s="41" t="str">
        <f t="shared" si="409"/>
        <v>4.05846872532556+1.14547735117055i</v>
      </c>
      <c r="BJ438" s="20">
        <f t="shared" si="405"/>
        <v>12.500120315660912</v>
      </c>
      <c r="BK438" s="43">
        <f t="shared" si="410"/>
        <v>15.761387059319908</v>
      </c>
      <c r="BL438">
        <f t="shared" si="406"/>
        <v>1.5570522559955537</v>
      </c>
      <c r="BM438" s="43">
        <f t="shared" si="407"/>
        <v>-69.667660989231265</v>
      </c>
    </row>
    <row r="439" spans="14:65" x14ac:dyDescent="0.25">
      <c r="N439" s="9">
        <v>21</v>
      </c>
      <c r="O439" s="34">
        <f t="shared" si="408"/>
        <v>162181.00973589328</v>
      </c>
      <c r="P439" s="33" t="str">
        <f t="shared" si="360"/>
        <v>16.5157725627975</v>
      </c>
      <c r="Q439" s="4" t="str">
        <f t="shared" si="361"/>
        <v>1+2636.66749483331i</v>
      </c>
      <c r="R439" s="4">
        <f t="shared" si="373"/>
        <v>2636.667684466619</v>
      </c>
      <c r="S439" s="4">
        <f t="shared" si="374"/>
        <v>1.5704170601812595</v>
      </c>
      <c r="T439" s="4" t="str">
        <f t="shared" si="362"/>
        <v>1+16.762769401482i</v>
      </c>
      <c r="U439" s="4">
        <f t="shared" si="375"/>
        <v>16.792570917142534</v>
      </c>
      <c r="V439" s="4">
        <f t="shared" si="376"/>
        <v>1.5112109311638475</v>
      </c>
      <c r="W439" t="str">
        <f t="shared" si="363"/>
        <v>1-254.753334369027i</v>
      </c>
      <c r="X439" s="4">
        <f t="shared" si="377"/>
        <v>254.75529704431517</v>
      </c>
      <c r="Y439" s="4">
        <f t="shared" si="378"/>
        <v>-1.5668709812587567</v>
      </c>
      <c r="Z439" t="str">
        <f t="shared" si="364"/>
        <v>0.456556200021618+3.56654668116638i</v>
      </c>
      <c r="AA439" s="4">
        <f t="shared" si="379"/>
        <v>3.5956499819527901</v>
      </c>
      <c r="AB439" s="4">
        <f t="shared" si="380"/>
        <v>1.4434780401016238</v>
      </c>
      <c r="AC439" s="47" t="str">
        <f t="shared" si="381"/>
        <v>-7.4332486748405-0.536400862999977i</v>
      </c>
      <c r="AD439" s="20">
        <f t="shared" si="382"/>
        <v>17.446130047589989</v>
      </c>
      <c r="AE439" s="43">
        <f t="shared" si="383"/>
        <v>-175.87255509929227</v>
      </c>
      <c r="AF439" t="str">
        <f t="shared" si="365"/>
        <v>247.084651286898</v>
      </c>
      <c r="AG439" t="str">
        <f t="shared" si="366"/>
        <v>1+2578.46559276601i</v>
      </c>
      <c r="AH439">
        <f t="shared" si="384"/>
        <v>2578.4657866797788</v>
      </c>
      <c r="AI439">
        <f t="shared" si="385"/>
        <v>1.5704084992618597</v>
      </c>
      <c r="AJ439" t="str">
        <f t="shared" si="367"/>
        <v>1+16.762769401482i</v>
      </c>
      <c r="AK439">
        <f t="shared" si="386"/>
        <v>16.792570917142534</v>
      </c>
      <c r="AL439">
        <f t="shared" si="387"/>
        <v>1.5112109311638475</v>
      </c>
      <c r="AM439" t="str">
        <f t="shared" si="368"/>
        <v>1-16.652232404233i</v>
      </c>
      <c r="AN439">
        <f t="shared" si="388"/>
        <v>16.682231386855523</v>
      </c>
      <c r="AO439">
        <f t="shared" si="389"/>
        <v>-1.5108163500065233</v>
      </c>
      <c r="AP439" s="41" t="str">
        <f t="shared" si="390"/>
        <v>0.021003387650254-26.8445169681366i</v>
      </c>
      <c r="AQ439">
        <f t="shared" si="391"/>
        <v>28.57711453479487</v>
      </c>
      <c r="AR439" s="43">
        <f t="shared" si="392"/>
        <v>-89.955171284187941</v>
      </c>
      <c r="AS439" t="str">
        <f t="shared" si="369"/>
        <v>-0.0000166666666666667</v>
      </c>
      <c r="AT439" t="str">
        <f t="shared" si="370"/>
        <v>0.00346464534741879i</v>
      </c>
      <c r="AU439">
        <f t="shared" si="393"/>
        <v>3.4646453474187901E-3</v>
      </c>
      <c r="AV439">
        <f t="shared" si="394"/>
        <v>1.5707963267948966</v>
      </c>
      <c r="AW439" t="str">
        <f t="shared" si="371"/>
        <v>1+3.5209907907851i</v>
      </c>
      <c r="AX439">
        <f t="shared" si="395"/>
        <v>3.6602426352351949</v>
      </c>
      <c r="AY439">
        <f t="shared" si="396"/>
        <v>1.2940721415165808</v>
      </c>
      <c r="AZ439" t="str">
        <f t="shared" si="372"/>
        <v>1+119.713686886693i</v>
      </c>
      <c r="BA439">
        <f t="shared" si="397"/>
        <v>119.71786344570792</v>
      </c>
      <c r="BB439">
        <f t="shared" si="398"/>
        <v>1.5624432573341329</v>
      </c>
      <c r="BC439" s="41" t="str">
        <f t="shared" si="399"/>
        <v>-0.0417204555929808+0.151707837108283i</v>
      </c>
      <c r="BD439">
        <f t="shared" si="400"/>
        <v>-16.0632190736086</v>
      </c>
      <c r="BE439" s="43">
        <f t="shared" si="401"/>
        <v>105.37653227956243</v>
      </c>
      <c r="BF439" s="41" t="str">
        <f t="shared" si="402"/>
        <v>0.391494735999009-1.10530319076324i</v>
      </c>
      <c r="BG439" s="20">
        <f t="shared" si="403"/>
        <v>1.3829109739814152</v>
      </c>
      <c r="BH439" s="43">
        <f t="shared" si="404"/>
        <v>-70.49602281972993</v>
      </c>
      <c r="BI439" s="41" t="str">
        <f t="shared" si="409"/>
        <v>4.07164733655084+1.12315185659653i</v>
      </c>
      <c r="BJ439" s="20">
        <f t="shared" si="405"/>
        <v>12.513895461186264</v>
      </c>
      <c r="BK439" s="43">
        <f t="shared" si="410"/>
        <v>15.421360995374492</v>
      </c>
      <c r="BL439">
        <f t="shared" si="406"/>
        <v>1.3829109739814152</v>
      </c>
      <c r="BM439" s="43">
        <f t="shared" si="407"/>
        <v>-70.49602281972993</v>
      </c>
    </row>
    <row r="440" spans="14:65" x14ac:dyDescent="0.25">
      <c r="N440" s="9">
        <v>22</v>
      </c>
      <c r="O440" s="34">
        <f t="shared" si="408"/>
        <v>165958.69074375604</v>
      </c>
      <c r="P440" s="33" t="str">
        <f t="shared" si="360"/>
        <v>16.5157725627975</v>
      </c>
      <c r="Q440" s="4" t="str">
        <f t="shared" si="361"/>
        <v>1+2698.08337043739i</v>
      </c>
      <c r="R440" s="4">
        <f t="shared" si="373"/>
        <v>2698.0835557541177</v>
      </c>
      <c r="S440" s="4">
        <f t="shared" si="374"/>
        <v>1.5704256933425849</v>
      </c>
      <c r="T440" s="4" t="str">
        <f t="shared" si="362"/>
        <v>1+17.1532244597548i</v>
      </c>
      <c r="U440" s="4">
        <f t="shared" si="375"/>
        <v>17.182348773282722</v>
      </c>
      <c r="V440" s="4">
        <f t="shared" si="376"/>
        <v>1.5125641606885911</v>
      </c>
      <c r="W440" t="str">
        <f t="shared" si="363"/>
        <v>1-260.687301819983i</v>
      </c>
      <c r="X440" s="4">
        <f t="shared" si="377"/>
        <v>260.6892198196598</v>
      </c>
      <c r="Y440" s="4">
        <f t="shared" si="378"/>
        <v>-1.56696033214513</v>
      </c>
      <c r="Z440" t="str">
        <f t="shared" si="364"/>
        <v>0.430944482781371+3.64962222547975i</v>
      </c>
      <c r="AA440" s="4">
        <f t="shared" si="379"/>
        <v>3.6749769435950843</v>
      </c>
      <c r="AB440" s="4">
        <f t="shared" si="380"/>
        <v>1.4532613592610206</v>
      </c>
      <c r="AC440" s="47" t="str">
        <f t="shared" si="381"/>
        <v>-7.44591443186262-0.473522592011289i</v>
      </c>
      <c r="AD440" s="20">
        <f t="shared" si="382"/>
        <v>17.455889649226734</v>
      </c>
      <c r="AE440" s="43">
        <f t="shared" si="383"/>
        <v>-176.3611777286676</v>
      </c>
      <c r="AF440" t="str">
        <f t="shared" si="365"/>
        <v>247.084651286898</v>
      </c>
      <c r="AG440" t="str">
        <f t="shared" si="366"/>
        <v>1+2638.52577191451i</v>
      </c>
      <c r="AH440">
        <f t="shared" si="384"/>
        <v>2638.5259614142628</v>
      </c>
      <c r="AI440">
        <f t="shared" si="385"/>
        <v>1.5704173272934461</v>
      </c>
      <c r="AJ440" t="str">
        <f t="shared" si="367"/>
        <v>1+17.1532244597548i</v>
      </c>
      <c r="AK440">
        <f t="shared" si="386"/>
        <v>17.182348773282722</v>
      </c>
      <c r="AL440">
        <f t="shared" si="387"/>
        <v>1.5125641606885911</v>
      </c>
      <c r="AM440" t="str">
        <f t="shared" si="368"/>
        <v>1-17.0401127250822i</v>
      </c>
      <c r="AN440">
        <f t="shared" si="388"/>
        <v>17.069430033938108</v>
      </c>
      <c r="AO440">
        <f t="shared" si="389"/>
        <v>-1.512178499333005</v>
      </c>
      <c r="AP440" s="41" t="str">
        <f t="shared" si="390"/>
        <v>0.021001715134691-27.4653931192539i</v>
      </c>
      <c r="AQ440">
        <f t="shared" si="391"/>
        <v>28.775718930762544</v>
      </c>
      <c r="AR440" s="43">
        <f t="shared" si="392"/>
        <v>-89.956188160132953</v>
      </c>
      <c r="AS440" t="str">
        <f t="shared" si="369"/>
        <v>-0.0000166666666666667</v>
      </c>
      <c r="AT440" t="str">
        <f t="shared" si="370"/>
        <v>0.00354534730475176i</v>
      </c>
      <c r="AU440">
        <f t="shared" si="393"/>
        <v>3.5453473047517602E-3</v>
      </c>
      <c r="AV440">
        <f t="shared" si="394"/>
        <v>1.5707963267948966</v>
      </c>
      <c r="AW440" t="str">
        <f t="shared" si="371"/>
        <v>1+3.60300520209548i</v>
      </c>
      <c r="AX440">
        <f t="shared" si="395"/>
        <v>3.739203991002241</v>
      </c>
      <c r="AY440">
        <f t="shared" si="396"/>
        <v>1.3000645821068848</v>
      </c>
      <c r="AZ440" t="str">
        <f t="shared" si="372"/>
        <v>1+122.502176871246i</v>
      </c>
      <c r="BA440">
        <f t="shared" si="397"/>
        <v>122.5062583633752</v>
      </c>
      <c r="BB440">
        <f t="shared" si="398"/>
        <v>1.5626333878639282</v>
      </c>
      <c r="BC440" s="41" t="str">
        <f t="shared" si="399"/>
        <v>-0.0399770253971734+0.148738427364003i</v>
      </c>
      <c r="BD440">
        <f t="shared" si="400"/>
        <v>-16.248618374128622</v>
      </c>
      <c r="BE440" s="43">
        <f t="shared" si="401"/>
        <v>105.04408440166883</v>
      </c>
      <c r="BF440" s="41" t="str">
        <f t="shared" si="402"/>
        <v>0.368096516004837-1.08856357819521i</v>
      </c>
      <c r="BG440" s="20">
        <f t="shared" si="403"/>
        <v>1.2072712750981194</v>
      </c>
      <c r="BH440" s="43">
        <f t="shared" si="404"/>
        <v>-71.317093326998787</v>
      </c>
      <c r="BI440" s="41" t="str">
        <f t="shared" si="409"/>
        <v>4.08431979339261+1.10110848035285i</v>
      </c>
      <c r="BJ440" s="20">
        <f t="shared" si="405"/>
        <v>12.527100556633922</v>
      </c>
      <c r="BK440" s="43">
        <f t="shared" si="410"/>
        <v>15.087896241535939</v>
      </c>
      <c r="BL440">
        <f t="shared" si="406"/>
        <v>1.2072712750981194</v>
      </c>
      <c r="BM440" s="43">
        <f t="shared" si="407"/>
        <v>-71.317093326998787</v>
      </c>
    </row>
    <row r="441" spans="14:65" x14ac:dyDescent="0.25">
      <c r="N441" s="9">
        <v>23</v>
      </c>
      <c r="O441" s="34">
        <f t="shared" si="408"/>
        <v>169824.36524617471</v>
      </c>
      <c r="P441" s="33" t="str">
        <f t="shared" si="360"/>
        <v>16.5157725627975</v>
      </c>
      <c r="Q441" s="4" t="str">
        <f t="shared" si="361"/>
        <v>1+2760.92980555781i</v>
      </c>
      <c r="R441" s="4">
        <f t="shared" si="373"/>
        <v>2760.9299866562151</v>
      </c>
      <c r="S441" s="4">
        <f t="shared" si="374"/>
        <v>1.5704341299892197</v>
      </c>
      <c r="T441" s="4" t="str">
        <f t="shared" si="362"/>
        <v>1+17.5527743846859i</v>
      </c>
      <c r="U441" s="4">
        <f t="shared" si="375"/>
        <v>17.581236833615701</v>
      </c>
      <c r="V441" s="4">
        <f t="shared" si="376"/>
        <v>1.5138867932965068</v>
      </c>
      <c r="W441" t="str">
        <f t="shared" si="363"/>
        <v>1-266.759489128965i</v>
      </c>
      <c r="X441" s="4">
        <f t="shared" si="377"/>
        <v>266.76136346994934</v>
      </c>
      <c r="Y441" s="4">
        <f t="shared" si="378"/>
        <v>-1.5670476492162047</v>
      </c>
      <c r="Z441" t="str">
        <f t="shared" si="364"/>
        <v>0.404125722494507+3.73463284780551i</v>
      </c>
      <c r="AA441" s="4">
        <f t="shared" si="379"/>
        <v>3.7564344939702594</v>
      </c>
      <c r="AB441" s="4">
        <f t="shared" si="380"/>
        <v>1.4630054505880148</v>
      </c>
      <c r="AC441" s="47" t="str">
        <f t="shared" si="381"/>
        <v>-7.45732408091687-0.41050868068864i</v>
      </c>
      <c r="AD441" s="20">
        <f t="shared" si="382"/>
        <v>17.464800657318946</v>
      </c>
      <c r="AE441" s="43">
        <f t="shared" si="383"/>
        <v>-176.8491780545119</v>
      </c>
      <c r="AF441" t="str">
        <f t="shared" si="365"/>
        <v>247.084651286898</v>
      </c>
      <c r="AG441" t="str">
        <f t="shared" si="366"/>
        <v>1+2699.98493235227i</v>
      </c>
      <c r="AH441">
        <f t="shared" si="384"/>
        <v>2699.985117538482</v>
      </c>
      <c r="AI441">
        <f t="shared" si="385"/>
        <v>1.5704259543745573</v>
      </c>
      <c r="AJ441" t="str">
        <f t="shared" si="367"/>
        <v>1+17.5527743846859i</v>
      </c>
      <c r="AK441">
        <f t="shared" si="386"/>
        <v>17.581236833615701</v>
      </c>
      <c r="AL441">
        <f t="shared" si="387"/>
        <v>1.5138867932965068</v>
      </c>
      <c r="AM441" t="str">
        <f t="shared" si="368"/>
        <v>1-17.4370279392506i</v>
      </c>
      <c r="AN441">
        <f t="shared" si="388"/>
        <v>17.46567901211419</v>
      </c>
      <c r="AO441">
        <f t="shared" si="389"/>
        <v>-1.5135098528207076</v>
      </c>
      <c r="AP441" s="41" t="str">
        <f t="shared" si="390"/>
        <v>0.0210001178947224-28.1008317852935i</v>
      </c>
      <c r="AQ441">
        <f t="shared" si="391"/>
        <v>28.974385929881127</v>
      </c>
      <c r="AR441" s="43">
        <f t="shared" si="392"/>
        <v>-89.957182125075576</v>
      </c>
      <c r="AS441" t="str">
        <f t="shared" si="369"/>
        <v>-0.0000166666666666667</v>
      </c>
      <c r="AT441" t="str">
        <f t="shared" si="370"/>
        <v>0.00362792905215394i</v>
      </c>
      <c r="AU441">
        <f t="shared" si="393"/>
        <v>3.6279290521539398E-3</v>
      </c>
      <c r="AV441">
        <f t="shared" si="394"/>
        <v>1.5707963267948966</v>
      </c>
      <c r="AW441" t="str">
        <f t="shared" si="371"/>
        <v>1+3.68692997445539i</v>
      </c>
      <c r="AX441">
        <f t="shared" si="395"/>
        <v>3.8201377771668943</v>
      </c>
      <c r="AY441">
        <f t="shared" si="396"/>
        <v>1.3059399421513873</v>
      </c>
      <c r="AZ441" t="str">
        <f t="shared" si="372"/>
        <v>1+125.355619131483i</v>
      </c>
      <c r="BA441">
        <f t="shared" si="397"/>
        <v>125.35960772049913</v>
      </c>
      <c r="BB441">
        <f t="shared" si="398"/>
        <v>1.5628191910647755</v>
      </c>
      <c r="BC441" s="41" t="str">
        <f t="shared" si="399"/>
        <v>-0.0383010553156399+0.145807298036612i</v>
      </c>
      <c r="BD441">
        <f t="shared" si="400"/>
        <v>-16.434628755961118</v>
      </c>
      <c r="BE441" s="43">
        <f t="shared" si="401"/>
        <v>104.71809680722765</v>
      </c>
      <c r="BF441" s="41" t="str">
        <f t="shared" si="402"/>
        <v>0.345478543681635-1.07160935913524i</v>
      </c>
      <c r="BG441" s="20">
        <f t="shared" si="403"/>
        <v>1.030171901357799</v>
      </c>
      <c r="BH441" s="43">
        <f t="shared" si="404"/>
        <v>-72.131081247284229</v>
      </c>
      <c r="BI441" s="41" t="str">
        <f t="shared" si="409"/>
        <v>4.09650202851787+1.0793534830727i</v>
      </c>
      <c r="BJ441" s="20">
        <f t="shared" si="405"/>
        <v>12.539757173920012</v>
      </c>
      <c r="BK441" s="43">
        <f t="shared" si="410"/>
        <v>14.760914682152103</v>
      </c>
      <c r="BL441">
        <f t="shared" si="406"/>
        <v>1.030171901357799</v>
      </c>
      <c r="BM441" s="43">
        <f t="shared" si="407"/>
        <v>-72.131081247284229</v>
      </c>
    </row>
    <row r="442" spans="14:65" x14ac:dyDescent="0.25">
      <c r="N442" s="9">
        <v>24</v>
      </c>
      <c r="O442" s="34">
        <f t="shared" si="408"/>
        <v>173780.0828749378</v>
      </c>
      <c r="P442" s="33" t="str">
        <f t="shared" si="360"/>
        <v>16.5157725627975</v>
      </c>
      <c r="Q442" s="4" t="str">
        <f t="shared" si="361"/>
        <v>1+2825.24012220638i</v>
      </c>
      <c r="R442" s="4">
        <f t="shared" si="373"/>
        <v>2825.240299182482</v>
      </c>
      <c r="S442" s="4">
        <f t="shared" si="374"/>
        <v>1.5704423745943812</v>
      </c>
      <c r="T442" s="4" t="str">
        <f t="shared" si="362"/>
        <v>1+17.9616310229343i</v>
      </c>
      <c r="U442" s="4">
        <f t="shared" si="375"/>
        <v>17.989446600827829</v>
      </c>
      <c r="V442" s="4">
        <f t="shared" si="376"/>
        <v>1.5151795117443858</v>
      </c>
      <c r="W442" t="str">
        <f t="shared" si="363"/>
        <v>1-272.973115850065i</v>
      </c>
      <c r="X442" s="4">
        <f t="shared" si="377"/>
        <v>272.97494752612926</v>
      </c>
      <c r="Y442" s="4">
        <f t="shared" si="378"/>
        <v>-1.5671329787633186</v>
      </c>
      <c r="Z442" t="str">
        <f t="shared" si="364"/>
        <v>0.376043032974787+3.82162362190091i</v>
      </c>
      <c r="AA442" s="4">
        <f t="shared" si="379"/>
        <v>3.8400801385023087</v>
      </c>
      <c r="AB442" s="4">
        <f t="shared" si="380"/>
        <v>1.4727133085822566</v>
      </c>
      <c r="AC442" s="47" t="str">
        <f t="shared" si="381"/>
        <v>-7.46748649162594-0.34736515555258i</v>
      </c>
      <c r="AD442" s="20">
        <f t="shared" si="382"/>
        <v>17.472876165123331</v>
      </c>
      <c r="AE442" s="43">
        <f t="shared" si="383"/>
        <v>-177.33669143852896</v>
      </c>
      <c r="AF442" t="str">
        <f t="shared" si="365"/>
        <v>247.084651286898</v>
      </c>
      <c r="AG442" t="str">
        <f t="shared" si="366"/>
        <v>1+2762.87566053972i</v>
      </c>
      <c r="AH442">
        <f t="shared" si="384"/>
        <v>2762.8758415105794</v>
      </c>
      <c r="AI442">
        <f t="shared" si="385"/>
        <v>1.5704343850793807</v>
      </c>
      <c r="AJ442" t="str">
        <f t="shared" si="367"/>
        <v>1+17.9616310229343i</v>
      </c>
      <c r="AK442">
        <f t="shared" si="386"/>
        <v>17.989446600827829</v>
      </c>
      <c r="AL442">
        <f t="shared" si="387"/>
        <v>1.5151795117443858</v>
      </c>
      <c r="AM442" t="str">
        <f t="shared" si="368"/>
        <v>1-17.843188496439i</v>
      </c>
      <c r="AN442">
        <f t="shared" si="388"/>
        <v>17.871188424932829</v>
      </c>
      <c r="AO442">
        <f t="shared" si="389"/>
        <v>-1.5148110974815812</v>
      </c>
      <c r="AP442" s="41" t="str">
        <f t="shared" si="390"/>
        <v>0.0209985925423611-28.751169884251i</v>
      </c>
      <c r="AQ442">
        <f t="shared" si="391"/>
        <v>29.173112732908987</v>
      </c>
      <c r="AR442" s="43">
        <f t="shared" si="392"/>
        <v>-89.958153684900083</v>
      </c>
      <c r="AS442" t="str">
        <f t="shared" si="369"/>
        <v>-0.0000166666666666667</v>
      </c>
      <c r="AT442" t="str">
        <f t="shared" si="370"/>
        <v>0.00371243437556088i</v>
      </c>
      <c r="AU442">
        <f t="shared" si="393"/>
        <v>3.7124343755608798E-3</v>
      </c>
      <c r="AV442">
        <f t="shared" si="394"/>
        <v>1.5707963267948966</v>
      </c>
      <c r="AW442" t="str">
        <f t="shared" si="371"/>
        <v>1+3.77280960589007i</v>
      </c>
      <c r="AX442">
        <f t="shared" si="395"/>
        <v>3.903087537103977</v>
      </c>
      <c r="AY442">
        <f t="shared" si="396"/>
        <v>1.3116997136592214</v>
      </c>
      <c r="AZ442" t="str">
        <f t="shared" si="372"/>
        <v>1+128.275526600263i</v>
      </c>
      <c r="BA442">
        <f t="shared" si="397"/>
        <v>128.2794244006995</v>
      </c>
      <c r="BB442">
        <f t="shared" si="398"/>
        <v>1.5630007654006466</v>
      </c>
      <c r="BC442" s="41" t="str">
        <f t="shared" si="399"/>
        <v>-0.0366903800274429+0.142915235391671i</v>
      </c>
      <c r="BD442">
        <f t="shared" si="400"/>
        <v>-16.621226496649331</v>
      </c>
      <c r="BE442" s="43">
        <f t="shared" si="401"/>
        <v>104.3984896519824</v>
      </c>
      <c r="BF442" s="41" t="str">
        <f t="shared" si="402"/>
        <v>0.323628690200213-1.05447263016933i</v>
      </c>
      <c r="BG442" s="20">
        <f t="shared" si="403"/>
        <v>0.85164966847400425</v>
      </c>
      <c r="BH442" s="43">
        <f t="shared" si="404"/>
        <v>-72.938201786546614</v>
      </c>
      <c r="BI442" s="41" t="str">
        <f t="shared" si="409"/>
        <v>4.10820976545323+1.05789236808283i</v>
      </c>
      <c r="BJ442" s="20">
        <f t="shared" si="405"/>
        <v>12.551886236259646</v>
      </c>
      <c r="BK442" s="43">
        <f t="shared" si="410"/>
        <v>14.440335967082387</v>
      </c>
      <c r="BL442">
        <f t="shared" si="406"/>
        <v>0.85164966847400425</v>
      </c>
      <c r="BM442" s="43">
        <f t="shared" si="407"/>
        <v>-72.938201786546614</v>
      </c>
    </row>
    <row r="443" spans="14:65" x14ac:dyDescent="0.25">
      <c r="N443" s="9">
        <v>25</v>
      </c>
      <c r="O443" s="34">
        <f t="shared" si="408"/>
        <v>177827.94100389251</v>
      </c>
      <c r="P443" s="33" t="str">
        <f t="shared" si="360"/>
        <v>16.5157725627975</v>
      </c>
      <c r="Q443" s="4" t="str">
        <f t="shared" si="361"/>
        <v>1+2891.04841856422i</v>
      </c>
      <c r="R443" s="4">
        <f t="shared" si="373"/>
        <v>2891.0485915118538</v>
      </c>
      <c r="S443" s="4">
        <f t="shared" si="374"/>
        <v>1.5704504315294636</v>
      </c>
      <c r="T443" s="4" t="str">
        <f t="shared" si="362"/>
        <v>1+18.3800111557013i</v>
      </c>
      <c r="U443" s="4">
        <f t="shared" si="375"/>
        <v>18.407194519635638</v>
      </c>
      <c r="V443" s="4">
        <f t="shared" si="376"/>
        <v>1.5164429841565641</v>
      </c>
      <c r="W443" t="str">
        <f t="shared" si="363"/>
        <v>1-279.331476530415i</v>
      </c>
      <c r="X443" s="4">
        <f t="shared" si="377"/>
        <v>279.33326651271193</v>
      </c>
      <c r="Y443" s="4">
        <f t="shared" si="378"/>
        <v>-1.5672163660243539</v>
      </c>
      <c r="Z443" t="str">
        <f t="shared" si="364"/>
        <v>0.346636847072641+3.91064067142581i</v>
      </c>
      <c r="AA443" s="4">
        <f t="shared" si="379"/>
        <v>3.9259734544133349</v>
      </c>
      <c r="AB443" s="4">
        <f t="shared" si="380"/>
        <v>1.4823879823393888</v>
      </c>
      <c r="AC443" s="47" t="str">
        <f t="shared" si="381"/>
        <v>-7.47640958067237-0.28409707033089i</v>
      </c>
      <c r="AD443" s="20">
        <f t="shared" si="382"/>
        <v>17.48012810946663</v>
      </c>
      <c r="AE443" s="43">
        <f t="shared" si="383"/>
        <v>-177.82385714272814</v>
      </c>
      <c r="AF443" t="str">
        <f t="shared" si="365"/>
        <v>247.084651286898</v>
      </c>
      <c r="AG443" t="str">
        <f t="shared" si="366"/>
        <v>1+2827.23130197336i</v>
      </c>
      <c r="AH443">
        <f t="shared" si="384"/>
        <v>2827.2314788248204</v>
      </c>
      <c r="AI443">
        <f t="shared" si="385"/>
        <v>1.5704426238779827</v>
      </c>
      <c r="AJ443" t="str">
        <f t="shared" si="367"/>
        <v>1+18.3800111557013i</v>
      </c>
      <c r="AK443">
        <f t="shared" si="386"/>
        <v>18.407194519635638</v>
      </c>
      <c r="AL443">
        <f t="shared" si="387"/>
        <v>1.5164429841565641</v>
      </c>
      <c r="AM443" t="str">
        <f t="shared" si="368"/>
        <v>1-18.2588097483506i</v>
      </c>
      <c r="AN443">
        <f t="shared" si="388"/>
        <v>18.286173285476188</v>
      </c>
      <c r="AO443">
        <f t="shared" si="389"/>
        <v>-1.5160829056162584</v>
      </c>
      <c r="AP443" s="41" t="str">
        <f t="shared" si="390"/>
        <v>0.0209971358421547-29.4167522339979i</v>
      </c>
      <c r="AQ443">
        <f t="shared" si="391"/>
        <v>29.371896664982685</v>
      </c>
      <c r="AR443" s="43">
        <f t="shared" si="392"/>
        <v>-89.959103335006617</v>
      </c>
      <c r="AS443" t="str">
        <f t="shared" si="369"/>
        <v>-0.0000166666666666667</v>
      </c>
      <c r="AT443" t="str">
        <f t="shared" si="370"/>
        <v>0.00379890808081363i</v>
      </c>
      <c r="AU443">
        <f t="shared" si="393"/>
        <v>3.7989080808136298E-3</v>
      </c>
      <c r="AV443">
        <f t="shared" si="394"/>
        <v>1.5707963267948966</v>
      </c>
      <c r="AW443" t="str">
        <f t="shared" si="371"/>
        <v>1+3.86068963091684i</v>
      </c>
      <c r="AX443">
        <f t="shared" si="395"/>
        <v>3.9880978456237517</v>
      </c>
      <c r="AY443">
        <f t="shared" si="396"/>
        <v>1.3173454212711488</v>
      </c>
      <c r="AZ443" t="str">
        <f t="shared" si="372"/>
        <v>1+131.263447451173i</v>
      </c>
      <c r="BA443">
        <f t="shared" si="397"/>
        <v>131.26725652944398</v>
      </c>
      <c r="BB443">
        <f t="shared" si="398"/>
        <v>1.5631782070967386</v>
      </c>
      <c r="BC443" s="41" t="str">
        <f t="shared" si="399"/>
        <v>-0.0351428665549044+0.140062926078277i</v>
      </c>
      <c r="BD443">
        <f t="shared" si="400"/>
        <v>-16.80838864159039</v>
      </c>
      <c r="BE443" s="43">
        <f t="shared" si="401"/>
        <v>104.08518109374977</v>
      </c>
      <c r="BF443" s="41" t="str">
        <f t="shared" si="402"/>
        <v>0.302533931164188-1.03718381699736i</v>
      </c>
      <c r="BG443" s="20">
        <f t="shared" si="403"/>
        <v>0.67173946787625161</v>
      </c>
      <c r="BH443" s="43">
        <f t="shared" si="404"/>
        <v>-73.738676048978419</v>
      </c>
      <c r="BI443" s="41" t="str">
        <f t="shared" si="409"/>
        <v>4.1194584940705+1.03672991852339i</v>
      </c>
      <c r="BJ443" s="20">
        <f t="shared" si="405"/>
        <v>12.563508023392293</v>
      </c>
      <c r="BK443" s="43">
        <f t="shared" si="410"/>
        <v>14.12607775874317</v>
      </c>
      <c r="BL443">
        <f t="shared" si="406"/>
        <v>0.67173946787625161</v>
      </c>
      <c r="BM443" s="43">
        <f t="shared" si="407"/>
        <v>-73.738676048978419</v>
      </c>
    </row>
    <row r="444" spans="14:65" x14ac:dyDescent="0.25">
      <c r="N444" s="9">
        <v>26</v>
      </c>
      <c r="O444" s="34">
        <f t="shared" si="408"/>
        <v>181970.08586099857</v>
      </c>
      <c r="P444" s="33" t="str">
        <f t="shared" si="360"/>
        <v>16.5157725627975</v>
      </c>
      <c r="Q444" s="4" t="str">
        <f t="shared" si="361"/>
        <v>1+2958.3895870611i</v>
      </c>
      <c r="R444" s="4">
        <f t="shared" si="373"/>
        <v>2958.3897560719661</v>
      </c>
      <c r="S444" s="4">
        <f t="shared" si="374"/>
        <v>1.5704583050663563</v>
      </c>
      <c r="T444" s="4" t="str">
        <f t="shared" si="362"/>
        <v>1+18.8081366136711i</v>
      </c>
      <c r="U444" s="4">
        <f t="shared" si="375"/>
        <v>18.834702091578599</v>
      </c>
      <c r="V444" s="4">
        <f t="shared" si="376"/>
        <v>1.5176778642980171</v>
      </c>
      <c r="W444" t="str">
        <f t="shared" si="363"/>
        <v>1-285.837942457008i</v>
      </c>
      <c r="X444" s="4">
        <f t="shared" si="377"/>
        <v>285.83969169458572</v>
      </c>
      <c r="Y444" s="4">
        <f t="shared" si="378"/>
        <v>-1.567297855207699</v>
      </c>
      <c r="Z444" t="str">
        <f t="shared" si="364"/>
        <v>0.315844790325227+4.0017311943981i</v>
      </c>
      <c r="AA444" s="4">
        <f t="shared" si="379"/>
        <v>4.0141761899291906</v>
      </c>
      <c r="AB444" s="4">
        <f t="shared" si="380"/>
        <v>1.4920325702614181</v>
      </c>
      <c r="AC444" s="47" t="str">
        <f t="shared" si="381"/>
        <v>-7.48410025703977-0.220708600864384i</v>
      </c>
      <c r="AD444" s="20">
        <f t="shared" si="382"/>
        <v>17.486567262980493</v>
      </c>
      <c r="AE444" s="43">
        <f t="shared" si="383"/>
        <v>-178.31081801220893</v>
      </c>
      <c r="AF444" t="str">
        <f t="shared" si="365"/>
        <v>247.084651286898</v>
      </c>
      <c r="AG444" t="str">
        <f t="shared" si="366"/>
        <v>1+2893.08597886611i</v>
      </c>
      <c r="AH444">
        <f t="shared" si="384"/>
        <v>2893.0861516919399</v>
      </c>
      <c r="AI444">
        <f t="shared" si="385"/>
        <v>1.5704506751386791</v>
      </c>
      <c r="AJ444" t="str">
        <f t="shared" si="367"/>
        <v>1+18.8081366136711i</v>
      </c>
      <c r="AK444">
        <f t="shared" si="386"/>
        <v>18.834702091578599</v>
      </c>
      <c r="AL444">
        <f t="shared" si="387"/>
        <v>1.5176778642980171</v>
      </c>
      <c r="AM444" t="str">
        <f t="shared" si="368"/>
        <v>1-18.6841120628746i</v>
      </c>
      <c r="AN444">
        <f t="shared" si="388"/>
        <v>18.710853630394741</v>
      </c>
      <c r="AO444">
        <f t="shared" si="389"/>
        <v>-1.5173259350877695</v>
      </c>
      <c r="AP444" s="41" t="str">
        <f t="shared" si="390"/>
        <v>0.0209957447042356-30.0979317351096i</v>
      </c>
      <c r="AQ444">
        <f t="shared" si="391"/>
        <v>29.570735170159892</v>
      </c>
      <c r="AR444" s="43">
        <f t="shared" si="392"/>
        <v>-89.960031560482463</v>
      </c>
      <c r="AS444" t="str">
        <f t="shared" si="369"/>
        <v>-0.0000166666666666667</v>
      </c>
      <c r="AT444" t="str">
        <f t="shared" si="370"/>
        <v>0.00388739601741532i</v>
      </c>
      <c r="AU444">
        <f t="shared" si="393"/>
        <v>3.88739601741532E-3</v>
      </c>
      <c r="AV444">
        <f t="shared" si="394"/>
        <v>1.5707963267948966</v>
      </c>
      <c r="AW444" t="str">
        <f t="shared" si="371"/>
        <v>1+3.95061664468814i</v>
      </c>
      <c r="AX444">
        <f t="shared" si="395"/>
        <v>4.0752143346438823</v>
      </c>
      <c r="AY444">
        <f t="shared" si="396"/>
        <v>1.3228786182076904</v>
      </c>
      <c r="AZ444" t="str">
        <f t="shared" si="372"/>
        <v>1+134.320965919397i</v>
      </c>
      <c r="BA444">
        <f t="shared" si="397"/>
        <v>134.32468829489167</v>
      </c>
      <c r="BB444">
        <f t="shared" si="398"/>
        <v>1.5633516101902674</v>
      </c>
      <c r="BC444" s="41" t="str">
        <f t="shared" si="399"/>
        <v>-0.0336564172189862+0.137250962188713i</v>
      </c>
      <c r="BD444">
        <f t="shared" si="400"/>
        <v>-16.996092991977473</v>
      </c>
      <c r="BE444" s="43">
        <f t="shared" si="401"/>
        <v>103.77808752748496</v>
      </c>
      <c r="BF444" s="41" t="str">
        <f t="shared" si="402"/>
        <v>0.282180468591614-1.01977170064099i</v>
      </c>
      <c r="BG444" s="20">
        <f t="shared" si="403"/>
        <v>0.49047427100300467</v>
      </c>
      <c r="BH444" s="43">
        <f t="shared" si="404"/>
        <v>-74.532730484723928</v>
      </c>
      <c r="BI444" s="41" t="str">
        <f t="shared" si="409"/>
        <v>4.1302634489904+1.01587023406794i</v>
      </c>
      <c r="BJ444" s="20">
        <f t="shared" si="405"/>
        <v>12.574642178182412</v>
      </c>
      <c r="BK444" s="43">
        <f t="shared" si="410"/>
        <v>13.818055967002525</v>
      </c>
      <c r="BL444">
        <f t="shared" si="406"/>
        <v>0.49047427100300467</v>
      </c>
      <c r="BM444" s="43">
        <f t="shared" si="407"/>
        <v>-74.532730484723928</v>
      </c>
    </row>
    <row r="445" spans="14:65" x14ac:dyDescent="0.25">
      <c r="N445" s="9">
        <v>27</v>
      </c>
      <c r="O445" s="34">
        <f t="shared" si="408"/>
        <v>186208.71366628664</v>
      </c>
      <c r="P445" s="33" t="str">
        <f t="shared" si="360"/>
        <v>16.5157725627975</v>
      </c>
      <c r="Q445" s="4" t="str">
        <f t="shared" si="361"/>
        <v>1+3027.29933287598i</v>
      </c>
      <c r="R445" s="4">
        <f t="shared" si="373"/>
        <v>3027.2994980396893</v>
      </c>
      <c r="S445" s="4">
        <f t="shared" si="374"/>
        <v>1.570465999379709</v>
      </c>
      <c r="T445" s="4" t="str">
        <f t="shared" si="362"/>
        <v>1+19.2462343946287i</v>
      </c>
      <c r="U445" s="4">
        <f t="shared" si="375"/>
        <v>19.272195992491067</v>
      </c>
      <c r="V445" s="4">
        <f t="shared" si="376"/>
        <v>1.5188847918451664</v>
      </c>
      <c r="W445" t="str">
        <f t="shared" si="363"/>
        <v>1-292.495963444205i</v>
      </c>
      <c r="X445" s="4">
        <f t="shared" si="377"/>
        <v>292.4976728645097</v>
      </c>
      <c r="Y445" s="4">
        <f t="shared" si="378"/>
        <v>-1.567377489515666</v>
      </c>
      <c r="Z445" t="str">
        <f t="shared" si="364"/>
        <v>0.283601548651798+4.09494348821887i</v>
      </c>
      <c r="AA445" s="4">
        <f t="shared" si="379"/>
        <v>4.1047523689138457</v>
      </c>
      <c r="AB445" s="4">
        <f t="shared" si="380"/>
        <v>1.5016502148817421</v>
      </c>
      <c r="AC445" s="47" t="str">
        <f t="shared" si="381"/>
        <v>-7.49056437291563-0.157203141443597i</v>
      </c>
      <c r="AD445" s="20">
        <f t="shared" si="382"/>
        <v>17.492203227341513</v>
      </c>
      <c r="AE445" s="43">
        <f t="shared" si="383"/>
        <v>-178.79772016461277</v>
      </c>
      <c r="AF445" t="str">
        <f t="shared" si="365"/>
        <v>247.084651286898</v>
      </c>
      <c r="AG445" t="str">
        <f t="shared" si="366"/>
        <v>1+2960.4746082394i</v>
      </c>
      <c r="AH445">
        <f t="shared" si="384"/>
        <v>2960.4747771312336</v>
      </c>
      <c r="AI445">
        <f t="shared" si="385"/>
        <v>1.5704585431303504</v>
      </c>
      <c r="AJ445" t="str">
        <f t="shared" si="367"/>
        <v>1+19.2462343946287i</v>
      </c>
      <c r="AK445">
        <f t="shared" si="386"/>
        <v>19.272195992491067</v>
      </c>
      <c r="AL445">
        <f t="shared" si="387"/>
        <v>1.5188847918451664</v>
      </c>
      <c r="AM445" t="str">
        <f t="shared" si="368"/>
        <v>1-19.1193209409278i</v>
      </c>
      <c r="AN445">
        <f t="shared" si="388"/>
        <v>19.145454636602402</v>
      </c>
      <c r="AO445">
        <f t="shared" si="389"/>
        <v>-1.5185408295930256</v>
      </c>
      <c r="AP445" s="41" t="str">
        <f t="shared" si="390"/>
        <v>0.0209944161778312-30.7950695579771i</v>
      </c>
      <c r="AQ445">
        <f t="shared" si="391"/>
        <v>29.769625806195062</v>
      </c>
      <c r="AR445" s="43">
        <f t="shared" si="392"/>
        <v>-89.960938836273542</v>
      </c>
      <c r="AS445" t="str">
        <f t="shared" si="369"/>
        <v>-0.0000166666666666667</v>
      </c>
      <c r="AT445" t="str">
        <f t="shared" si="370"/>
        <v>0.0039779451028412i</v>
      </c>
      <c r="AU445">
        <f t="shared" si="393"/>
        <v>3.9779451028412001E-3</v>
      </c>
      <c r="AV445">
        <f t="shared" si="394"/>
        <v>1.5707963267948966</v>
      </c>
      <c r="AW445" t="str">
        <f t="shared" si="371"/>
        <v>1+4.04263832769708i</v>
      </c>
      <c r="AX445">
        <f t="shared" si="395"/>
        <v>4.1644837193300974</v>
      </c>
      <c r="AY445">
        <f t="shared" si="396"/>
        <v>1.3283008824254001</v>
      </c>
      <c r="AZ445" t="str">
        <f t="shared" si="372"/>
        <v>1+137.449703141701i</v>
      </c>
      <c r="BA445">
        <f t="shared" si="397"/>
        <v>137.45334078785328</v>
      </c>
      <c r="BB445">
        <f t="shared" si="398"/>
        <v>1.5635210665801127</v>
      </c>
      <c r="BC445" s="41" t="str">
        <f t="shared" si="399"/>
        <v>-0.0322289722180416+0.134479846242598i</v>
      </c>
      <c r="BD445">
        <f t="shared" si="400"/>
        <v>-17.184318091751017</v>
      </c>
      <c r="BE445" s="43">
        <f t="shared" si="401"/>
        <v>103.47712380835507</v>
      </c>
      <c r="BF445" s="41" t="str">
        <f t="shared" si="402"/>
        <v>0.262553845362338-1.0022634494618i</v>
      </c>
      <c r="BG445" s="20">
        <f t="shared" si="403"/>
        <v>0.30788513559048236</v>
      </c>
      <c r="BH445" s="43">
        <f t="shared" si="404"/>
        <v>-75.320596356257695</v>
      </c>
      <c r="BI445" s="41" t="str">
        <f t="shared" si="409"/>
        <v>4.14063959073114+0.99531676709625i</v>
      </c>
      <c r="BJ445" s="20">
        <f t="shared" si="405"/>
        <v>12.58530771444404</v>
      </c>
      <c r="BK445" s="43">
        <f t="shared" si="410"/>
        <v>13.516184972081538</v>
      </c>
      <c r="BL445">
        <f t="shared" si="406"/>
        <v>0.30788513559048236</v>
      </c>
      <c r="BM445" s="43">
        <f t="shared" si="407"/>
        <v>-75.320596356257695</v>
      </c>
    </row>
    <row r="446" spans="14:65" x14ac:dyDescent="0.25">
      <c r="N446" s="9">
        <v>28</v>
      </c>
      <c r="O446" s="34">
        <f t="shared" si="408"/>
        <v>190546.07179632492</v>
      </c>
      <c r="P446" s="33" t="str">
        <f t="shared" si="360"/>
        <v>16.5157725627975</v>
      </c>
      <c r="Q446" s="4" t="str">
        <f t="shared" si="361"/>
        <v>1+3097.81419286821i</v>
      </c>
      <c r="R446" s="4">
        <f t="shared" si="373"/>
        <v>3097.8143542723342</v>
      </c>
      <c r="S446" s="4">
        <f t="shared" si="374"/>
        <v>1.5704735185491447</v>
      </c>
      <c r="T446" s="4" t="str">
        <f t="shared" si="362"/>
        <v>1+19.6945367838165i</v>
      </c>
      <c r="U446" s="4">
        <f t="shared" si="375"/>
        <v>19.719908192714822</v>
      </c>
      <c r="V446" s="4">
        <f t="shared" si="376"/>
        <v>1.5200643926541948</v>
      </c>
      <c r="W446" t="str">
        <f t="shared" si="363"/>
        <v>1-299.309069662865i</v>
      </c>
      <c r="X446" s="4">
        <f t="shared" si="377"/>
        <v>299.31074017223267</v>
      </c>
      <c r="Y446" s="4">
        <f t="shared" si="378"/>
        <v>-1.5674553111673766</v>
      </c>
      <c r="Z446" t="str">
        <f t="shared" si="364"/>
        <v>0.249838729813831+4.19032697528011i</v>
      </c>
      <c r="AA446" s="4">
        <f t="shared" si="379"/>
        <v>4.1977684012669334</v>
      </c>
      <c r="AB446" s="4">
        <f t="shared" si="380"/>
        <v>1.5112440977967556</v>
      </c>
      <c r="AC446" s="47" t="str">
        <f t="shared" si="381"/>
        <v>-7.49580668011107-0.0935834023856949i</v>
      </c>
      <c r="AD446" s="20">
        <f t="shared" si="382"/>
        <v>17.497044427391867</v>
      </c>
      <c r="AE446" s="43">
        <f t="shared" si="383"/>
        <v>-179.28471268579003</v>
      </c>
      <c r="AF446" t="str">
        <f t="shared" si="365"/>
        <v>247.084651286898</v>
      </c>
      <c r="AG446" t="str">
        <f t="shared" si="366"/>
        <v>1+3029.43292043651i</v>
      </c>
      <c r="AH446">
        <f t="shared" si="384"/>
        <v>3029.4330854838963</v>
      </c>
      <c r="AI446">
        <f t="shared" si="385"/>
        <v>1.570466232024706</v>
      </c>
      <c r="AJ446" t="str">
        <f t="shared" si="367"/>
        <v>1+19.6945367838165i</v>
      </c>
      <c r="AK446">
        <f t="shared" si="386"/>
        <v>19.719908192714822</v>
      </c>
      <c r="AL446">
        <f t="shared" si="387"/>
        <v>1.5200643926541948</v>
      </c>
      <c r="AM446" t="str">
        <f t="shared" si="368"/>
        <v>1-19.5646671360183i</v>
      </c>
      <c r="AN446">
        <f t="shared" si="388"/>
        <v>19.590206740695582</v>
      </c>
      <c r="AO446">
        <f t="shared" si="389"/>
        <v>-1.5197282189318699</v>
      </c>
      <c r="AP446" s="41" t="str">
        <f t="shared" si="390"/>
        <v>0.0209931474449389-31.5085353343053i</v>
      </c>
      <c r="AQ446">
        <f t="shared" si="391"/>
        <v>29.968566239539665</v>
      </c>
      <c r="AR446" s="43">
        <f t="shared" si="392"/>
        <v>-89.961825627356319</v>
      </c>
      <c r="AS446" t="str">
        <f t="shared" si="369"/>
        <v>-0.0000166666666666667</v>
      </c>
      <c r="AT446" t="str">
        <f t="shared" si="370"/>
        <v>0.00407060334741495i</v>
      </c>
      <c r="AU446">
        <f t="shared" si="393"/>
        <v>4.07060334741495E-3</v>
      </c>
      <c r="AV446">
        <f t="shared" si="394"/>
        <v>1.5707963267948966</v>
      </c>
      <c r="AW446" t="str">
        <f t="shared" si="371"/>
        <v>1+4.13680347105804i</v>
      </c>
      <c r="AX446">
        <f t="shared" si="395"/>
        <v>4.2559538247210629</v>
      </c>
      <c r="AY446">
        <f t="shared" si="396"/>
        <v>1.3336138129777508</v>
      </c>
      <c r="AZ446" t="str">
        <f t="shared" si="372"/>
        <v>1+140.651318015973i</v>
      </c>
      <c r="BA446">
        <f t="shared" si="397"/>
        <v>140.65487286130679</v>
      </c>
      <c r="BB446">
        <f t="shared" si="398"/>
        <v>1.5636866660753446</v>
      </c>
      <c r="BC446" s="41" t="str">
        <f t="shared" si="399"/>
        <v>-0.0308585118534862+0.131749996078082i</v>
      </c>
      <c r="BD446">
        <f t="shared" si="400"/>
        <v>-17.373043213687826</v>
      </c>
      <c r="BE446" s="43">
        <f t="shared" si="401"/>
        <v>103.18220346302553</v>
      </c>
      <c r="BF446" s="41" t="str">
        <f t="shared" si="402"/>
        <v>0.243639052186937-0.984684656174886i</v>
      </c>
      <c r="BG446" s="20">
        <f t="shared" si="403"/>
        <v>0.12400121370404452</v>
      </c>
      <c r="BH446" s="43">
        <f t="shared" si="404"/>
        <v>-76.102509222764525</v>
      </c>
      <c r="BI446" s="41" t="str">
        <f t="shared" si="409"/>
        <v>4.15060158943156+0.975072358193186i</v>
      </c>
      <c r="BJ446" s="20">
        <f t="shared" si="405"/>
        <v>12.595523025851845</v>
      </c>
      <c r="BK446" s="43">
        <f t="shared" si="410"/>
        <v>13.220377835669215</v>
      </c>
      <c r="BL446">
        <f t="shared" si="406"/>
        <v>0.12400121370404452</v>
      </c>
      <c r="BM446" s="43">
        <f t="shared" si="407"/>
        <v>-76.102509222764525</v>
      </c>
    </row>
    <row r="447" spans="14:65" x14ac:dyDescent="0.25">
      <c r="N447" s="9">
        <v>29</v>
      </c>
      <c r="O447" s="34">
        <f t="shared" si="408"/>
        <v>194984.45997580473</v>
      </c>
      <c r="P447" s="33" t="str">
        <f t="shared" si="360"/>
        <v>16.5157725627975</v>
      </c>
      <c r="Q447" s="4" t="str">
        <f t="shared" si="361"/>
        <v>1+3169.97155494988i</v>
      </c>
      <c r="R447" s="4">
        <f t="shared" si="373"/>
        <v>3169.9717126799978</v>
      </c>
      <c r="S447" s="4">
        <f t="shared" si="374"/>
        <v>1.5704808665614234</v>
      </c>
      <c r="T447" s="4" t="str">
        <f t="shared" si="362"/>
        <v>1+20.1532814770949i</v>
      </c>
      <c r="U447" s="4">
        <f t="shared" si="375"/>
        <v>20.178076080117659</v>
      </c>
      <c r="V447" s="4">
        <f t="shared" si="376"/>
        <v>1.5212172790266911</v>
      </c>
      <c r="W447" t="str">
        <f t="shared" si="363"/>
        <v>1-306.28087351208i</v>
      </c>
      <c r="X447" s="4">
        <f t="shared" si="377"/>
        <v>306.28250599621708</v>
      </c>
      <c r="Y447" s="4">
        <f t="shared" si="378"/>
        <v>-1.5675313614211281</v>
      </c>
      <c r="Z447" t="str">
        <f t="shared" si="364"/>
        <v>0.214484718345952+4.28793222916912i</v>
      </c>
      <c r="AA447" s="4">
        <f t="shared" si="379"/>
        <v>4.2932931994392369</v>
      </c>
      <c r="AB447" s="4">
        <f t="shared" si="380"/>
        <v>1.5208174346950276</v>
      </c>
      <c r="AC447" s="47" t="str">
        <f t="shared" si="381"/>
        <v>-7.49983079186084-0.0298515086892132i</v>
      </c>
      <c r="AD447" s="20">
        <f t="shared" si="382"/>
        <v>17.501098106023893</v>
      </c>
      <c r="AE447" s="43">
        <f t="shared" si="383"/>
        <v>-179.77194733117793</v>
      </c>
      <c r="AF447" t="str">
        <f t="shared" si="365"/>
        <v>247.084651286898</v>
      </c>
      <c r="AG447" t="str">
        <f t="shared" si="366"/>
        <v>1+3099.99747806728i</v>
      </c>
      <c r="AH447">
        <f t="shared" si="384"/>
        <v>3099.9976393577294</v>
      </c>
      <c r="AI447">
        <f t="shared" si="385"/>
        <v>1.5704737458984963</v>
      </c>
      <c r="AJ447" t="str">
        <f t="shared" si="367"/>
        <v>1+20.1532814770949i</v>
      </c>
      <c r="AK447">
        <f t="shared" si="386"/>
        <v>20.178076080117659</v>
      </c>
      <c r="AL447">
        <f t="shared" si="387"/>
        <v>1.5212172790266911</v>
      </c>
      <c r="AM447" t="str">
        <f t="shared" si="368"/>
        <v>1-20.020386776593i</v>
      </c>
      <c r="AN447">
        <f t="shared" si="388"/>
        <v>20.045345761158124</v>
      </c>
      <c r="AO447">
        <f t="shared" si="389"/>
        <v>-1.5208887192735063</v>
      </c>
      <c r="AP447" s="41" t="str">
        <f t="shared" si="390"/>
        <v>0.02099193581443-32.2387073530944i</v>
      </c>
      <c r="AQ447">
        <f t="shared" si="391"/>
        <v>30.167554240556292</v>
      </c>
      <c r="AR447" s="43">
        <f t="shared" si="392"/>
        <v>-89.962692388909375</v>
      </c>
      <c r="AS447" t="str">
        <f t="shared" si="369"/>
        <v>-0.0000166666666666667</v>
      </c>
      <c r="AT447" t="str">
        <f t="shared" si="370"/>
        <v>0.0041654198797643i</v>
      </c>
      <c r="AU447">
        <f t="shared" si="393"/>
        <v>4.1654198797642997E-3</v>
      </c>
      <c r="AV447">
        <f t="shared" si="394"/>
        <v>1.5707963267948966</v>
      </c>
      <c r="AW447" t="str">
        <f t="shared" si="371"/>
        <v>1+4.23316200237637i</v>
      </c>
      <c r="AX447">
        <f t="shared" si="395"/>
        <v>4.3496736128545459</v>
      </c>
      <c r="AY447">
        <f t="shared" si="396"/>
        <v>1.3388190265764948</v>
      </c>
      <c r="AZ447" t="str">
        <f t="shared" si="372"/>
        <v>1+143.927508080797i</v>
      </c>
      <c r="BA447">
        <f t="shared" si="397"/>
        <v>143.93098200994768</v>
      </c>
      <c r="BB447">
        <f t="shared" si="398"/>
        <v>1.5638484964426567</v>
      </c>
      <c r="BC447" s="41" t="str">
        <f t="shared" si="399"/>
        <v>-0.0295430584256434+0.129061749635104i</v>
      </c>
      <c r="BD447">
        <f t="shared" si="400"/>
        <v>-17.562248344751442</v>
      </c>
      <c r="BE447" s="43">
        <f t="shared" si="401"/>
        <v>102.8932388893974</v>
      </c>
      <c r="BF447" s="41" t="str">
        <f t="shared" si="402"/>
        <v>0.225420627207062-0.967059379099488i</v>
      </c>
      <c r="BG447" s="20">
        <f t="shared" si="403"/>
        <v>-6.1150238727554165E-2</v>
      </c>
      <c r="BH447" s="43">
        <f t="shared" si="404"/>
        <v>-76.878708441780518</v>
      </c>
      <c r="BI447" s="41" t="str">
        <f t="shared" si="409"/>
        <v>4.16016381097822+0.955139270864125i</v>
      </c>
      <c r="BJ447" s="20">
        <f t="shared" si="405"/>
        <v>12.605305895804843</v>
      </c>
      <c r="BK447" s="43">
        <f t="shared" si="410"/>
        <v>12.930546500488036</v>
      </c>
      <c r="BL447">
        <f t="shared" si="406"/>
        <v>-6.1150238727554165E-2</v>
      </c>
      <c r="BM447" s="43">
        <f t="shared" si="407"/>
        <v>-76.878708441780518</v>
      </c>
    </row>
    <row r="448" spans="14:65" x14ac:dyDescent="0.25">
      <c r="N448" s="9">
        <v>30</v>
      </c>
      <c r="O448" s="34">
        <f t="shared" si="408"/>
        <v>199526.23149688813</v>
      </c>
      <c r="P448" s="33" t="str">
        <f t="shared" si="360"/>
        <v>16.5157725627975</v>
      </c>
      <c r="Q448" s="4" t="str">
        <f t="shared" si="361"/>
        <v>1+3243.80967790955i</v>
      </c>
      <c r="R448" s="4">
        <f t="shared" si="373"/>
        <v>3243.8098320492923</v>
      </c>
      <c r="S448" s="4">
        <f t="shared" si="374"/>
        <v>1.5704880473125549</v>
      </c>
      <c r="T448" s="4" t="str">
        <f t="shared" si="362"/>
        <v>1+20.6227117069727i</v>
      </c>
      <c r="U448" s="4">
        <f t="shared" si="375"/>
        <v>20.646942585983741</v>
      </c>
      <c r="V448" s="4">
        <f t="shared" si="376"/>
        <v>1.5223440499724661</v>
      </c>
      <c r="W448" t="str">
        <f t="shared" si="363"/>
        <v>1-313.41507153454i</v>
      </c>
      <c r="X448" s="4">
        <f t="shared" si="377"/>
        <v>313.41666685899276</v>
      </c>
      <c r="Y448" s="4">
        <f t="shared" si="378"/>
        <v>-1.5676056805962508</v>
      </c>
      <c r="Z448" t="str">
        <f t="shared" si="364"/>
        <v>0.1774645236498+4.38781100148356i</v>
      </c>
      <c r="AA448" s="4">
        <f t="shared" si="379"/>
        <v>4.3913983014404891</v>
      </c>
      <c r="AB448" s="4">
        <f t="shared" si="380"/>
        <v>1.5303734704741585</v>
      </c>
      <c r="AC448" s="47" t="str">
        <f t="shared" si="381"/>
        <v>-7.50263914988443+0.0339909003692419i</v>
      </c>
      <c r="AD448" s="20">
        <f t="shared" si="382"/>
        <v>17.504370319728409</v>
      </c>
      <c r="AE448" s="43">
        <f t="shared" si="383"/>
        <v>179.7404217676677</v>
      </c>
      <c r="AF448" t="str">
        <f t="shared" si="365"/>
        <v>247.084651286898</v>
      </c>
      <c r="AG448" t="str">
        <f t="shared" si="366"/>
        <v>1+3172.20569539427i</v>
      </c>
      <c r="AH448">
        <f t="shared" si="384"/>
        <v>3172.2058530133008</v>
      </c>
      <c r="AI448">
        <f t="shared" si="385"/>
        <v>1.5704810887356728</v>
      </c>
      <c r="AJ448" t="str">
        <f t="shared" si="367"/>
        <v>1+20.6227117069727i</v>
      </c>
      <c r="AK448">
        <f t="shared" si="386"/>
        <v>20.646942585983741</v>
      </c>
      <c r="AL448">
        <f t="shared" si="387"/>
        <v>1.5223440499724661</v>
      </c>
      <c r="AM448" t="str">
        <f t="shared" si="368"/>
        <v>1-20.4867214912379i</v>
      </c>
      <c r="AN448">
        <f t="shared" si="388"/>
        <v>20.511113023420961</v>
      </c>
      <c r="AO448">
        <f t="shared" si="389"/>
        <v>-1.5220229334201456</v>
      </c>
      <c r="AP448" s="41" t="str">
        <f t="shared" si="390"/>
        <v>0.0209907787162596-32.9859727612165i</v>
      </c>
      <c r="AQ448">
        <f t="shared" si="391"/>
        <v>30.366587678940231</v>
      </c>
      <c r="AR448" s="43">
        <f t="shared" si="392"/>
        <v>-89.963539566484826</v>
      </c>
      <c r="AS448" t="str">
        <f t="shared" si="369"/>
        <v>-0.0000166666666666667</v>
      </c>
      <c r="AT448" t="str">
        <f t="shared" si="370"/>
        <v>0.00426244497286974i</v>
      </c>
      <c r="AU448">
        <f t="shared" si="393"/>
        <v>4.2624449728697403E-3</v>
      </c>
      <c r="AV448">
        <f t="shared" si="394"/>
        <v>1.5707963267948966</v>
      </c>
      <c r="AW448" t="str">
        <f t="shared" si="371"/>
        <v>1+4.33176501222091i</v>
      </c>
      <c r="AX448">
        <f t="shared" si="395"/>
        <v>4.4456932104117604</v>
      </c>
      <c r="AY448">
        <f t="shared" si="396"/>
        <v>1.3439181543487588</v>
      </c>
      <c r="AZ448" t="str">
        <f t="shared" si="372"/>
        <v>1+147.280010415511i</v>
      </c>
      <c r="BA448">
        <f t="shared" si="397"/>
        <v>147.28340527022394</v>
      </c>
      <c r="BB448">
        <f t="shared" si="398"/>
        <v>1.5640066434527267</v>
      </c>
      <c r="BC448" s="41" t="str">
        <f t="shared" si="399"/>
        <v>-0.0282806778226042+0.12641536961808i</v>
      </c>
      <c r="BD448">
        <f t="shared" si="400"/>
        <v>-17.751914170818111</v>
      </c>
      <c r="BE448" s="43">
        <f t="shared" si="401"/>
        <v>102.61014154506844</v>
      </c>
      <c r="BF448" s="41" t="str">
        <f t="shared" si="402"/>
        <v>0.20788274838331-0.94941018694596i</v>
      </c>
      <c r="BG448" s="20">
        <f t="shared" si="403"/>
        <v>-0.2475438510897057</v>
      </c>
      <c r="BH448" s="43">
        <f t="shared" si="404"/>
        <v>-77.649436687263815</v>
      </c>
      <c r="BI448" s="41" t="str">
        <f t="shared" si="409"/>
        <v>4.16934030537098+0.935519225375149i</v>
      </c>
      <c r="BJ448" s="20">
        <f t="shared" si="405"/>
        <v>12.61467350812211</v>
      </c>
      <c r="BK448" s="43">
        <f t="shared" si="410"/>
        <v>12.646601978583618</v>
      </c>
      <c r="BL448">
        <f t="shared" si="406"/>
        <v>-0.2475438510897057</v>
      </c>
      <c r="BM448" s="43">
        <f t="shared" si="407"/>
        <v>-77.649436687263815</v>
      </c>
    </row>
    <row r="449" spans="14:65" x14ac:dyDescent="0.25">
      <c r="N449" s="9">
        <v>31</v>
      </c>
      <c r="O449" s="34">
        <f t="shared" si="408"/>
        <v>204173.79446695308</v>
      </c>
      <c r="P449" s="33" t="str">
        <f t="shared" si="360"/>
        <v>16.5157725627975</v>
      </c>
      <c r="Q449" s="4" t="str">
        <f t="shared" si="361"/>
        <v>1+3319.36771169732i</v>
      </c>
      <c r="R449" s="4">
        <f t="shared" si="373"/>
        <v>3319.3678623284136</v>
      </c>
      <c r="S449" s="4">
        <f t="shared" si="374"/>
        <v>1.5704950646098657</v>
      </c>
      <c r="T449" s="4" t="str">
        <f t="shared" si="362"/>
        <v>1+21.1030763715714i</v>
      </c>
      <c r="U449" s="4">
        <f t="shared" si="375"/>
        <v>21.126756313839923</v>
      </c>
      <c r="V449" s="4">
        <f t="shared" si="376"/>
        <v>1.5234452914693855</v>
      </c>
      <c r="W449" t="str">
        <f t="shared" si="363"/>
        <v>1-320.715446376465i</v>
      </c>
      <c r="X449" s="4">
        <f t="shared" si="377"/>
        <v>320.7170053870783</v>
      </c>
      <c r="Y449" s="4">
        <f t="shared" si="378"/>
        <v>-1.5676783080944694</v>
      </c>
      <c r="Z449" t="str">
        <f t="shared" si="364"/>
        <v>0.138699620929065+4.49001624927051i</v>
      </c>
      <c r="AA449" s="4">
        <f t="shared" si="379"/>
        <v>4.492158000734066</v>
      </c>
      <c r="AB449" s="4">
        <f t="shared" si="380"/>
        <v>1.539915474434524</v>
      </c>
      <c r="AC449" s="47" t="str">
        <f t="shared" si="381"/>
        <v>-7.50423299660249+0.0979425708084875i</v>
      </c>
      <c r="AD449" s="20">
        <f t="shared" si="382"/>
        <v>17.50686593471481</v>
      </c>
      <c r="AE449" s="43">
        <f t="shared" si="383"/>
        <v>179.2522383919958</v>
      </c>
      <c r="AF449" t="str">
        <f t="shared" si="365"/>
        <v>247.084651286898</v>
      </c>
      <c r="AG449" t="str">
        <f t="shared" si="366"/>
        <v>1+3246.09585817004i</v>
      </c>
      <c r="AH449">
        <f t="shared" si="384"/>
        <v>3246.0960122012239</v>
      </c>
      <c r="AI449">
        <f t="shared" si="385"/>
        <v>1.570488264429502</v>
      </c>
      <c r="AJ449" t="str">
        <f t="shared" si="367"/>
        <v>1+21.1030763715714i</v>
      </c>
      <c r="AK449">
        <f t="shared" si="386"/>
        <v>21.126756313839923</v>
      </c>
      <c r="AL449">
        <f t="shared" si="387"/>
        <v>1.5234452914693855</v>
      </c>
      <c r="AM449" t="str">
        <f t="shared" si="368"/>
        <v>1-20.9639185367912i</v>
      </c>
      <c r="AN449">
        <f t="shared" si="388"/>
        <v>20.987755487836658</v>
      </c>
      <c r="AO449">
        <f t="shared" si="389"/>
        <v>-1.5231314510677072</v>
      </c>
      <c r="AP449" s="41" t="str">
        <f t="shared" si="390"/>
        <v>0.0209896736960813-33.7507277686848i</v>
      </c>
      <c r="AQ449">
        <f t="shared" si="391"/>
        <v>30.565664519337478</v>
      </c>
      <c r="AR449" s="43">
        <f t="shared" si="392"/>
        <v>-89.964367596179216</v>
      </c>
      <c r="AS449" t="str">
        <f t="shared" si="369"/>
        <v>-0.0000166666666666667</v>
      </c>
      <c r="AT449" t="str">
        <f t="shared" si="370"/>
        <v>0.00436173007071994i</v>
      </c>
      <c r="AU449">
        <f t="shared" si="393"/>
        <v>4.3617300707199397E-3</v>
      </c>
      <c r="AV449">
        <f t="shared" si="394"/>
        <v>1.5707963267948966</v>
      </c>
      <c r="AW449" t="str">
        <f t="shared" si="371"/>
        <v>1+4.4326647812126i</v>
      </c>
      <c r="AX449">
        <f t="shared" si="395"/>
        <v>4.5440639368964151</v>
      </c>
      <c r="AY449">
        <f t="shared" si="396"/>
        <v>1.3489128387846148</v>
      </c>
      <c r="AZ449" t="str">
        <f t="shared" si="372"/>
        <v>1+150.710602561228i</v>
      </c>
      <c r="BA449">
        <f t="shared" si="397"/>
        <v>150.71392014133409</v>
      </c>
      <c r="BB449">
        <f t="shared" si="398"/>
        <v>1.5641611909255317</v>
      </c>
      <c r="BC449" s="41" t="str">
        <f t="shared" si="399"/>
        <v>-0.0270694808243896+0.12381104802756i</v>
      </c>
      <c r="BD449">
        <f t="shared" si="400"/>
        <v>-17.942022060882742</v>
      </c>
      <c r="BE449" s="43">
        <f t="shared" si="401"/>
        <v>102.3328221248203</v>
      </c>
      <c r="BF449" s="41" t="str">
        <f t="shared" si="402"/>
        <v>0.19100931886497-0.931758206494743i</v>
      </c>
      <c r="BG449" s="20">
        <f t="shared" si="403"/>
        <v>-0.43515612616793292</v>
      </c>
      <c r="BH449" s="43">
        <f t="shared" si="404"/>
        <v>-78.414939483183929</v>
      </c>
      <c r="BI449" s="41" t="str">
        <f t="shared" si="409"/>
        <v>4.17814479716411+0.916213431641675i</v>
      </c>
      <c r="BJ449" s="20">
        <f t="shared" si="405"/>
        <v>12.623642458454738</v>
      </c>
      <c r="BK449" s="43">
        <f t="shared" si="410"/>
        <v>12.368454528641081</v>
      </c>
      <c r="BL449">
        <f t="shared" si="406"/>
        <v>-0.43515612616793292</v>
      </c>
      <c r="BM449" s="43">
        <f t="shared" si="407"/>
        <v>-78.414939483183929</v>
      </c>
    </row>
    <row r="450" spans="14:65" x14ac:dyDescent="0.25">
      <c r="N450" s="9">
        <v>32</v>
      </c>
      <c r="O450" s="34">
        <f t="shared" si="408"/>
        <v>208929.61308540447</v>
      </c>
      <c r="P450" s="33" t="str">
        <f t="shared" si="360"/>
        <v>16.5157725627975</v>
      </c>
      <c r="Q450" s="4" t="str">
        <f t="shared" si="361"/>
        <v>1+3396.68571818289i</v>
      </c>
      <c r="R450" s="4">
        <f t="shared" si="373"/>
        <v>3396.6858653852014</v>
      </c>
      <c r="S450" s="4">
        <f t="shared" si="374"/>
        <v>1.5705019221740171</v>
      </c>
      <c r="T450" s="4" t="str">
        <f t="shared" si="362"/>
        <v>1+21.5946301665947i</v>
      </c>
      <c r="U450" s="4">
        <f t="shared" si="375"/>
        <v>21.617771671289386</v>
      </c>
      <c r="V450" s="4">
        <f t="shared" si="376"/>
        <v>1.5245215767201006</v>
      </c>
      <c r="W450" t="str">
        <f t="shared" si="363"/>
        <v>1-328.185868793232i</v>
      </c>
      <c r="X450" s="4">
        <f t="shared" si="377"/>
        <v>328.18739231659777</v>
      </c>
      <c r="Y450" s="4">
        <f t="shared" si="378"/>
        <v>-1.5677492824207782</v>
      </c>
      <c r="Z450" t="str">
        <f t="shared" si="364"/>
        <v>0.098107784627751+4.59460216310525i</v>
      </c>
      <c r="AA450" s="4">
        <f t="shared" si="379"/>
        <v>4.5956494834371355</v>
      </c>
      <c r="AB450" s="4">
        <f t="shared" si="380"/>
        <v>1.5494467355387305</v>
      </c>
      <c r="AC450" s="47" t="str">
        <f t="shared" si="381"/>
        <v>-7.50461235242409+0.1620025327808i</v>
      </c>
      <c r="AD450" s="20">
        <f t="shared" si="382"/>
        <v>17.508588623526695</v>
      </c>
      <c r="AE450" s="43">
        <f t="shared" si="383"/>
        <v>178.76334452087085</v>
      </c>
      <c r="AF450" t="str">
        <f t="shared" si="365"/>
        <v>247.084651286898</v>
      </c>
      <c r="AG450" t="str">
        <f t="shared" si="366"/>
        <v>1+3321.707143937i</v>
      </c>
      <c r="AH450">
        <f t="shared" si="384"/>
        <v>3321.7072944620063</v>
      </c>
      <c r="AI450">
        <f t="shared" si="385"/>
        <v>1.5704952767846285</v>
      </c>
      <c r="AJ450" t="str">
        <f t="shared" si="367"/>
        <v>1+21.5946301665947i</v>
      </c>
      <c r="AK450">
        <f t="shared" si="386"/>
        <v>21.617771671289386</v>
      </c>
      <c r="AL450">
        <f t="shared" si="387"/>
        <v>1.5245215767201006</v>
      </c>
      <c r="AM450" t="str">
        <f t="shared" si="368"/>
        <v>1-21.4522309294432i</v>
      </c>
      <c r="AN450">
        <f t="shared" si="388"/>
        <v>21.47552588064282</v>
      </c>
      <c r="AO450">
        <f t="shared" si="389"/>
        <v>-1.5242148490634548</v>
      </c>
      <c r="AP450" s="41" t="str">
        <f t="shared" si="390"/>
        <v>0.0209886184099892-34.5333778587295i</v>
      </c>
      <c r="AQ450">
        <f t="shared" si="391"/>
        <v>30.764782817152611</v>
      </c>
      <c r="AR450" s="43">
        <f t="shared" si="392"/>
        <v>-89.965176904803528</v>
      </c>
      <c r="AS450" t="str">
        <f t="shared" si="369"/>
        <v>-0.0000166666666666667</v>
      </c>
      <c r="AT450" t="str">
        <f t="shared" si="370"/>
        <v>0.00446332781558796i</v>
      </c>
      <c r="AU450">
        <f t="shared" si="393"/>
        <v>4.4633278155879596E-3</v>
      </c>
      <c r="AV450">
        <f t="shared" si="394"/>
        <v>1.5707963267948966</v>
      </c>
      <c r="AW450" t="str">
        <f t="shared" si="371"/>
        <v>1+4.53591480774458i</v>
      </c>
      <c r="AX450">
        <f t="shared" si="395"/>
        <v>4.6448383333671099</v>
      </c>
      <c r="AY450">
        <f t="shared" si="396"/>
        <v>1.3538047308695793</v>
      </c>
      <c r="AZ450" t="str">
        <f t="shared" si="372"/>
        <v>1+154.221103463316i</v>
      </c>
      <c r="BA450">
        <f t="shared" si="397"/>
        <v>154.22434552768516</v>
      </c>
      <c r="BB450">
        <f t="shared" si="398"/>
        <v>1.56431222077464</v>
      </c>
      <c r="BC450" s="41" t="str">
        <f t="shared" si="399"/>
        <v>-0.0259076241440144+0.12124891055232i</v>
      </c>
      <c r="BD450">
        <f t="shared" si="400"/>
        <v>-18.132554050844764</v>
      </c>
      <c r="BE450" s="43">
        <f t="shared" si="401"/>
        <v>102.06119072745274</v>
      </c>
      <c r="BF450" s="41" t="str">
        <f t="shared" si="402"/>
        <v>0.174784045566743-0.914123172578567i</v>
      </c>
      <c r="BG450" s="20">
        <f t="shared" si="403"/>
        <v>-0.62396542731807447</v>
      </c>
      <c r="BH450" s="43">
        <f t="shared" si="404"/>
        <v>-79.175464751676373</v>
      </c>
      <c r="BI450" s="41" t="str">
        <f t="shared" si="409"/>
        <v>4.18659067782549+0.897222621103402i</v>
      </c>
      <c r="BJ450" s="20">
        <f t="shared" si="405"/>
        <v>12.632228766307838</v>
      </c>
      <c r="BK450" s="43">
        <f t="shared" si="410"/>
        <v>12.096013822649226</v>
      </c>
      <c r="BL450">
        <f t="shared" si="406"/>
        <v>-0.62396542731807447</v>
      </c>
      <c r="BM450" s="43">
        <f t="shared" si="407"/>
        <v>-79.175464751676373</v>
      </c>
    </row>
    <row r="451" spans="14:65" x14ac:dyDescent="0.25">
      <c r="N451" s="9">
        <v>33</v>
      </c>
      <c r="O451" s="34">
        <f t="shared" si="408"/>
        <v>213796.20895022334</v>
      </c>
      <c r="P451" s="33" t="str">
        <f t="shared" si="360"/>
        <v>16.5157725627975</v>
      </c>
      <c r="Q451" s="4" t="str">
        <f t="shared" si="361"/>
        <v>1+3475.80469239666i</v>
      </c>
      <c r="R451" s="4">
        <f t="shared" si="373"/>
        <v>3475.8048362482377</v>
      </c>
      <c r="S451" s="4">
        <f t="shared" si="374"/>
        <v>1.5705086236409775</v>
      </c>
      <c r="T451" s="4" t="str">
        <f t="shared" si="362"/>
        <v>1+22.0976337203709i</v>
      </c>
      <c r="U451" s="4">
        <f t="shared" si="375"/>
        <v>22.120249004920201</v>
      </c>
      <c r="V451" s="4">
        <f t="shared" si="376"/>
        <v>1.5255734664055611</v>
      </c>
      <c r="W451" t="str">
        <f t="shared" si="363"/>
        <v>1-335.830299701685i</v>
      </c>
      <c r="X451" s="4">
        <f t="shared" si="377"/>
        <v>335.83178854558059</v>
      </c>
      <c r="Y451" s="4">
        <f t="shared" si="378"/>
        <v>-1.5678186412038424</v>
      </c>
      <c r="Z451" t="str">
        <f t="shared" si="364"/>
        <v>0.055602914018851+4.70162419582359i</v>
      </c>
      <c r="AA451" s="4">
        <f t="shared" si="379"/>
        <v>4.7019529732655991</v>
      </c>
      <c r="AB451" s="4">
        <f t="shared" si="380"/>
        <v>1.558970557724807</v>
      </c>
      <c r="AC451" s="47" t="str">
        <f t="shared" si="381"/>
        <v>-7.50377599804045+0.226169998751029i</v>
      </c>
      <c r="AD451" s="20">
        <f t="shared" si="382"/>
        <v>17.509540862088638</v>
      </c>
      <c r="AE451" s="43">
        <f t="shared" si="383"/>
        <v>178.27358061295072</v>
      </c>
      <c r="AF451" t="str">
        <f t="shared" si="365"/>
        <v>247.084651286898</v>
      </c>
      <c r="AG451" t="str">
        <f t="shared" si="366"/>
        <v>1+3399.07964279964i</v>
      </c>
      <c r="AH451">
        <f t="shared" si="384"/>
        <v>3399.0797898982792</v>
      </c>
      <c r="AI451">
        <f t="shared" si="385"/>
        <v>1.5705021295190935</v>
      </c>
      <c r="AJ451" t="str">
        <f t="shared" si="367"/>
        <v>1+22.0976337203709i</v>
      </c>
      <c r="AK451">
        <f t="shared" si="386"/>
        <v>22.120249004920201</v>
      </c>
      <c r="AL451">
        <f t="shared" si="387"/>
        <v>1.5255734664055611</v>
      </c>
      <c r="AM451" t="str">
        <f t="shared" si="368"/>
        <v>1-21.9519175788876i</v>
      </c>
      <c r="AN451">
        <f t="shared" si="388"/>
        <v>21.974682827978985</v>
      </c>
      <c r="AO451">
        <f t="shared" si="389"/>
        <v>-1.525273691660443</v>
      </c>
      <c r="AP451" s="41" t="str">
        <f t="shared" si="390"/>
        <v>0.0209876106195927-35.3343380027895i</v>
      </c>
      <c r="AQ451">
        <f t="shared" si="391"/>
        <v>30.963940714537923</v>
      </c>
      <c r="AR451" s="43">
        <f t="shared" si="392"/>
        <v>-89.965967910052356</v>
      </c>
      <c r="AS451" t="str">
        <f t="shared" si="369"/>
        <v>-0.0000166666666666667</v>
      </c>
      <c r="AT451" t="str">
        <f t="shared" si="370"/>
        <v>0.00456729207594292i</v>
      </c>
      <c r="AU451">
        <f t="shared" si="393"/>
        <v>4.5672920759429201E-3</v>
      </c>
      <c r="AV451">
        <f t="shared" si="394"/>
        <v>1.5707963267948966</v>
      </c>
      <c r="AW451" t="str">
        <f t="shared" si="371"/>
        <v>1+4.64156983634752i</v>
      </c>
      <c r="AX451">
        <f t="shared" si="395"/>
        <v>4.7480701917401289</v>
      </c>
      <c r="AY451">
        <f t="shared" si="396"/>
        <v>1.3585954873960742</v>
      </c>
      <c r="AZ451" t="str">
        <f t="shared" si="372"/>
        <v>1+157.813374435816i</v>
      </c>
      <c r="BA451">
        <f t="shared" si="397"/>
        <v>157.81654270328909</v>
      </c>
      <c r="BB451">
        <f t="shared" si="398"/>
        <v>1.5644598130505007</v>
      </c>
      <c r="BC451" s="41" t="str">
        <f t="shared" si="399"/>
        <v>-0.0247933112263042+0.118729020815192i</v>
      </c>
      <c r="BD451">
        <f t="shared" si="400"/>
        <v>-18.323492826963157</v>
      </c>
      <c r="BE451" s="43">
        <f t="shared" si="401"/>
        <v>101.7951570123054</v>
      </c>
      <c r="BF451" s="41" t="str">
        <f t="shared" si="402"/>
        <v>0.159190511202405-0.89652347983297i</v>
      </c>
      <c r="BG451" s="20">
        <f t="shared" si="403"/>
        <v>-0.81395196487451615</v>
      </c>
      <c r="BH451" s="43">
        <f t="shared" si="404"/>
        <v>-79.931262374743923</v>
      </c>
      <c r="BI451" s="41" t="str">
        <f t="shared" si="409"/>
        <v>4.19469099986224+0.878547077536703i</v>
      </c>
      <c r="BJ451" s="20">
        <f t="shared" si="405"/>
        <v>12.640447887574776</v>
      </c>
      <c r="BK451" s="43">
        <f t="shared" si="410"/>
        <v>11.829189102253043</v>
      </c>
      <c r="BL451">
        <f t="shared" si="406"/>
        <v>-0.81395196487451615</v>
      </c>
      <c r="BM451" s="43">
        <f t="shared" si="407"/>
        <v>-79.931262374743923</v>
      </c>
    </row>
    <row r="452" spans="14:65" x14ac:dyDescent="0.25">
      <c r="N452" s="9">
        <v>34</v>
      </c>
      <c r="O452" s="34">
        <f t="shared" si="408"/>
        <v>218776.16239495538</v>
      </c>
      <c r="P452" s="33" t="str">
        <f t="shared" si="360"/>
        <v>16.5157725627975</v>
      </c>
      <c r="Q452" s="4" t="str">
        <f t="shared" si="361"/>
        <v>1+3556.76658426607i</v>
      </c>
      <c r="R452" s="4">
        <f t="shared" si="373"/>
        <v>3556.7667248431858</v>
      </c>
      <c r="S452" s="4">
        <f t="shared" si="374"/>
        <v>1.5705151725639515</v>
      </c>
      <c r="T452" s="4" t="str">
        <f t="shared" si="362"/>
        <v>1+22.6123537320424i</v>
      </c>
      <c r="U452" s="4">
        <f t="shared" si="375"/>
        <v>22.634454738363193</v>
      </c>
      <c r="V452" s="4">
        <f t="shared" si="376"/>
        <v>1.526601508935213</v>
      </c>
      <c r="W452" t="str">
        <f t="shared" si="363"/>
        <v>1-343.65279228028i</v>
      </c>
      <c r="X452" s="4">
        <f t="shared" si="377"/>
        <v>343.65424723409615</v>
      </c>
      <c r="Y452" s="4">
        <f t="shared" si="378"/>
        <v>-1.5678864212159367</v>
      </c>
      <c r="Z452" t="str">
        <f t="shared" si="364"/>
        <v>0.01109485057306+4.81113909192392i</v>
      </c>
      <c r="AA452" s="4">
        <f t="shared" si="379"/>
        <v>4.8111518846891288</v>
      </c>
      <c r="AB452" s="4">
        <f t="shared" si="380"/>
        <v>1.5684902552609576</v>
      </c>
      <c r="AC452" s="47" t="str">
        <f t="shared" si="381"/>
        <v>-7.5017214616826+0.290444261082432i</v>
      </c>
      <c r="AD452" s="20">
        <f t="shared" si="382"/>
        <v>17.509723927132221</v>
      </c>
      <c r="AE452" s="43">
        <f t="shared" si="383"/>
        <v>177.78278588572209</v>
      </c>
      <c r="AF452" t="str">
        <f t="shared" si="365"/>
        <v>247.084651286898</v>
      </c>
      <c r="AG452" t="str">
        <f t="shared" si="366"/>
        <v>1+3478.25437868104i</v>
      </c>
      <c r="AH452">
        <f t="shared" si="384"/>
        <v>3478.2545224313053</v>
      </c>
      <c r="AI452">
        <f t="shared" si="385"/>
        <v>1.5705088262663047</v>
      </c>
      <c r="AJ452" t="str">
        <f t="shared" si="367"/>
        <v>1+22.6123537320424i</v>
      </c>
      <c r="AK452">
        <f t="shared" si="386"/>
        <v>22.634454738363193</v>
      </c>
      <c r="AL452">
        <f t="shared" si="387"/>
        <v>1.526601508935213</v>
      </c>
      <c r="AM452" t="str">
        <f t="shared" si="368"/>
        <v>1-22.4632434256004i</v>
      </c>
      <c r="AN452">
        <f t="shared" si="388"/>
        <v>22.485490993033252</v>
      </c>
      <c r="AO452">
        <f t="shared" si="389"/>
        <v>-1.526308530768679</v>
      </c>
      <c r="AP452" s="41" t="str">
        <f t="shared" si="390"/>
        <v>0.0209866481872215-36.1540328805369i</v>
      </c>
      <c r="AQ452">
        <f t="shared" si="391"/>
        <v>31.16313643655716</v>
      </c>
      <c r="AR452" s="43">
        <f t="shared" si="392"/>
        <v>-89.966741020672032</v>
      </c>
      <c r="AS452" t="str">
        <f t="shared" si="369"/>
        <v>-0.0000166666666666667</v>
      </c>
      <c r="AT452" t="str">
        <f t="shared" si="370"/>
        <v>0.0046736779750118i</v>
      </c>
      <c r="AU452">
        <f t="shared" si="393"/>
        <v>4.6736779750117998E-3</v>
      </c>
      <c r="AV452">
        <f t="shared" si="394"/>
        <v>1.5707963267948966</v>
      </c>
      <c r="AW452" t="str">
        <f t="shared" si="371"/>
        <v>1+4.74968588671615i</v>
      </c>
      <c r="AX452">
        <f t="shared" si="395"/>
        <v>4.8538145846818841</v>
      </c>
      <c r="AY452">
        <f t="shared" si="396"/>
        <v>1.3632867684477341</v>
      </c>
      <c r="AZ452" t="str">
        <f t="shared" si="372"/>
        <v>1+161.489320148349i</v>
      </c>
      <c r="BA452">
        <f t="shared" si="397"/>
        <v>161.49241629864838</v>
      </c>
      <c r="BB452">
        <f t="shared" si="398"/>
        <v>1.5646040459827568</v>
      </c>
      <c r="BC452" s="41" t="str">
        <f t="shared" si="399"/>
        <v>-0.0237247928244829+0.116251384467541i</v>
      </c>
      <c r="BD452">
        <f t="shared" si="400"/>
        <v>-18.514821709063959</v>
      </c>
      <c r="BE452" s="43">
        <f t="shared" si="401"/>
        <v>101.53463034582066</v>
      </c>
      <c r="BF452" s="41" t="str">
        <f t="shared" si="402"/>
        <v>0.144212240043912-0.878976235731708i</v>
      </c>
      <c r="BG452" s="20">
        <f t="shared" si="403"/>
        <v>-1.0050977819317413</v>
      </c>
      <c r="BH452" s="43">
        <f t="shared" si="404"/>
        <v>-80.682583768457249</v>
      </c>
      <c r="BI452" s="41" t="str">
        <f t="shared" si="409"/>
        <v>4.20245847256709+0.860186666767378i</v>
      </c>
      <c r="BJ452" s="20">
        <f t="shared" si="405"/>
        <v>12.648314727493197</v>
      </c>
      <c r="BK452" s="43">
        <f t="shared" si="410"/>
        <v>11.567889325148641</v>
      </c>
      <c r="BL452">
        <f t="shared" si="406"/>
        <v>-1.0050977819317413</v>
      </c>
      <c r="BM452" s="43">
        <f t="shared" si="407"/>
        <v>-80.682583768457249</v>
      </c>
    </row>
    <row r="453" spans="14:65" x14ac:dyDescent="0.25">
      <c r="N453" s="9">
        <v>35</v>
      </c>
      <c r="O453" s="34">
        <f t="shared" si="408"/>
        <v>223872.11385683404</v>
      </c>
      <c r="P453" s="33" t="str">
        <f t="shared" si="360"/>
        <v>16.5157725627975</v>
      </c>
      <c r="Q453" s="4" t="str">
        <f t="shared" si="361"/>
        <v>1+3639.61432085783i</v>
      </c>
      <c r="R453" s="4">
        <f t="shared" si="373"/>
        <v>3639.6144582350212</v>
      </c>
      <c r="S453" s="4">
        <f t="shared" si="374"/>
        <v>1.5705215724152619</v>
      </c>
      <c r="T453" s="4" t="str">
        <f t="shared" si="362"/>
        <v>1+23.1390631129726i</v>
      </c>
      <c r="U453" s="4">
        <f t="shared" si="375"/>
        <v>23.160661513569277</v>
      </c>
      <c r="V453" s="4">
        <f t="shared" si="376"/>
        <v>1.5276062406937954</v>
      </c>
      <c r="W453" t="str">
        <f t="shared" si="363"/>
        <v>1-351.657494118125i</v>
      </c>
      <c r="X453" s="4">
        <f t="shared" si="377"/>
        <v>351.65891595328441</v>
      </c>
      <c r="Y453" s="4">
        <f t="shared" si="378"/>
        <v>-1.5679526583924275</v>
      </c>
      <c r="Z453" t="str">
        <f t="shared" si="364"/>
        <v>-0.0355108132794999+4.92320491765375i</v>
      </c>
      <c r="AA453" s="4">
        <f t="shared" si="379"/>
        <v>4.923332984784782</v>
      </c>
      <c r="AB453" s="4">
        <f t="shared" si="380"/>
        <v>1.5780091481291885</v>
      </c>
      <c r="AC453" s="47" t="str">
        <f t="shared" si="381"/>
        <v>-7.49844501132357+0.35482458908479i</v>
      </c>
      <c r="AD453" s="20">
        <f t="shared" si="382"/>
        <v>17.509137893962084</v>
      </c>
      <c r="AE453" s="43">
        <f t="shared" si="383"/>
        <v>177.29079859291539</v>
      </c>
      <c r="AF453" t="str">
        <f t="shared" si="365"/>
        <v>247.084651286898</v>
      </c>
      <c r="AG453" t="str">
        <f t="shared" si="366"/>
        <v>1+3559.27333107417i</v>
      </c>
      <c r="AH453">
        <f t="shared" si="384"/>
        <v>3559.2734715522797</v>
      </c>
      <c r="AI453">
        <f t="shared" si="385"/>
        <v>1.5705153705769637</v>
      </c>
      <c r="AJ453" t="str">
        <f t="shared" si="367"/>
        <v>1+23.1390631129726i</v>
      </c>
      <c r="AK453">
        <f t="shared" si="386"/>
        <v>23.160661513569277</v>
      </c>
      <c r="AL453">
        <f t="shared" si="387"/>
        <v>1.5276062406937954</v>
      </c>
      <c r="AM453" t="str">
        <f t="shared" si="368"/>
        <v>1-22.9864795813136i</v>
      </c>
      <c r="AN453">
        <f t="shared" si="388"/>
        <v>23.008221216385831</v>
      </c>
      <c r="AO453">
        <f t="shared" si="389"/>
        <v>-1.5273199062029024</v>
      </c>
      <c r="AP453" s="41" t="str">
        <f t="shared" si="390"/>
        <v>0.0209857290714429-36.9928971050476i</v>
      </c>
      <c r="AQ453">
        <f t="shared" si="391"/>
        <v>31.362368287515629</v>
      </c>
      <c r="AR453" s="43">
        <f t="shared" si="392"/>
        <v>-89.967496636627303</v>
      </c>
      <c r="AS453" t="str">
        <f t="shared" si="369"/>
        <v>-0.0000166666666666667</v>
      </c>
      <c r="AT453" t="str">
        <f t="shared" si="370"/>
        <v>0.00478254192000648i</v>
      </c>
      <c r="AU453">
        <f t="shared" si="393"/>
        <v>4.7825419200064802E-3</v>
      </c>
      <c r="AV453">
        <f t="shared" si="394"/>
        <v>1.5707963267948966</v>
      </c>
      <c r="AW453" t="str">
        <f t="shared" si="371"/>
        <v>1+4.86032028341145i</v>
      </c>
      <c r="AX453">
        <f t="shared" si="395"/>
        <v>4.9621278961087603</v>
      </c>
      <c r="AY453">
        <f t="shared" si="396"/>
        <v>1.3678802350501795</v>
      </c>
      <c r="AZ453" t="str">
        <f t="shared" si="372"/>
        <v>1+165.250889635989i</v>
      </c>
      <c r="BA453">
        <f t="shared" si="397"/>
        <v>165.25391531060865</v>
      </c>
      <c r="BB453">
        <f t="shared" si="398"/>
        <v>1.5647449960216004</v>
      </c>
      <c r="BC453" s="41" t="str">
        <f t="shared" si="399"/>
        <v>-0.0227003673736714+0.113815953128758i</v>
      </c>
      <c r="BD453">
        <f t="shared" si="400"/>
        <v>-18.706524633577093</v>
      </c>
      <c r="BE453" s="43">
        <f t="shared" si="401"/>
        <v>101.27951993851417</v>
      </c>
      <c r="BF453" s="41" t="str">
        <f t="shared" si="402"/>
        <v>0.129832757688113-0.861497314472809i</v>
      </c>
      <c r="BG453" s="20">
        <f t="shared" si="403"/>
        <v>-1.1973867396150117</v>
      </c>
      <c r="BH453" s="43">
        <f t="shared" si="404"/>
        <v>-81.429681468570436</v>
      </c>
      <c r="BI453" s="41" t="str">
        <f t="shared" si="409"/>
        <v>4.20990545924554+0.842140865257374i</v>
      </c>
      <c r="BJ453" s="20">
        <f t="shared" si="405"/>
        <v>12.655843653938534</v>
      </c>
      <c r="BK453" s="43">
        <f t="shared" si="410"/>
        <v>11.312023301886885</v>
      </c>
      <c r="BL453">
        <f t="shared" si="406"/>
        <v>-1.1973867396150117</v>
      </c>
      <c r="BM453" s="43">
        <f t="shared" si="407"/>
        <v>-81.429681468570436</v>
      </c>
    </row>
    <row r="454" spans="14:65" x14ac:dyDescent="0.25">
      <c r="N454" s="9">
        <v>36</v>
      </c>
      <c r="O454" s="34">
        <f t="shared" si="408"/>
        <v>229086.76527677779</v>
      </c>
      <c r="P454" s="33" t="str">
        <f t="shared" si="360"/>
        <v>16.5157725627975</v>
      </c>
      <c r="Q454" s="4" t="str">
        <f t="shared" si="361"/>
        <v>1+3724.39182913849i</v>
      </c>
      <c r="R454" s="4">
        <f t="shared" si="373"/>
        <v>3724.3919633885939</v>
      </c>
      <c r="S454" s="4">
        <f t="shared" si="374"/>
        <v>1.570527826588193</v>
      </c>
      <c r="T454" s="4" t="str">
        <f t="shared" si="362"/>
        <v>1+23.678041131447i</v>
      </c>
      <c r="U454" s="4">
        <f t="shared" si="375"/>
        <v>23.699148335383192</v>
      </c>
      <c r="V454" s="4">
        <f t="shared" si="376"/>
        <v>1.5285881862846646</v>
      </c>
      <c r="W454" t="str">
        <f t="shared" si="363"/>
        <v>1-359.848649414087i</v>
      </c>
      <c r="X454" s="4">
        <f t="shared" si="377"/>
        <v>359.85003888445317</v>
      </c>
      <c r="Y454" s="4">
        <f t="shared" si="378"/>
        <v>-1.5680173878508163</v>
      </c>
      <c r="Z454" t="str">
        <f t="shared" si="364"/>
        <v>-0.0843129344003699+5.03788109179722i</v>
      </c>
      <c r="AA454" s="4">
        <f t="shared" si="379"/>
        <v>5.038586564305028</v>
      </c>
      <c r="AB454" s="4">
        <f t="shared" si="380"/>
        <v>1.5875305574250327</v>
      </c>
      <c r="AC454" s="47" t="str">
        <f t="shared" si="381"/>
        <v>-7.49394165183124+0.419310125576043i</v>
      </c>
      <c r="AD454" s="20">
        <f t="shared" si="382"/>
        <v>17.507781634537267</v>
      </c>
      <c r="AE454" s="43">
        <f t="shared" si="383"/>
        <v>176.79745630082604</v>
      </c>
      <c r="AF454" t="str">
        <f t="shared" si="365"/>
        <v>247.084651286898</v>
      </c>
      <c r="AG454" t="str">
        <f t="shared" si="366"/>
        <v>1+3642.17945729997i</v>
      </c>
      <c r="AH454">
        <f t="shared" si="384"/>
        <v>3642.1795945804079</v>
      </c>
      <c r="AI454">
        <f t="shared" si="385"/>
        <v>1.5705217659209485</v>
      </c>
      <c r="AJ454" t="str">
        <f t="shared" si="367"/>
        <v>1+23.678041131447i</v>
      </c>
      <c r="AK454">
        <f t="shared" si="386"/>
        <v>23.699148335383192</v>
      </c>
      <c r="AL454">
        <f t="shared" si="387"/>
        <v>1.5285881862846646</v>
      </c>
      <c r="AM454" t="str">
        <f t="shared" si="368"/>
        <v>1-23.5219034727629i</v>
      </c>
      <c r="AN454">
        <f t="shared" si="388"/>
        <v>23.543150659628704</v>
      </c>
      <c r="AO454">
        <f t="shared" si="389"/>
        <v>-1.5283083459269156</v>
      </c>
      <c r="AP454" s="41" t="str">
        <f t="shared" si="390"/>
        <v>0.0209848513226782-37.8513754532396i</v>
      </c>
      <c r="AQ454">
        <f t="shared" si="391"/>
        <v>31.56163464745029</v>
      </c>
      <c r="AR454" s="43">
        <f t="shared" si="392"/>
        <v>-89.968235149266917</v>
      </c>
      <c r="AS454" t="str">
        <f t="shared" si="369"/>
        <v>-0.0000166666666666667</v>
      </c>
      <c r="AT454" t="str">
        <f t="shared" si="370"/>
        <v>0.00489394163203159i</v>
      </c>
      <c r="AU454">
        <f t="shared" si="393"/>
        <v>4.89394163203159E-3</v>
      </c>
      <c r="AV454">
        <f t="shared" si="394"/>
        <v>1.5707963267948966</v>
      </c>
      <c r="AW454" t="str">
        <f t="shared" si="371"/>
        <v>1+4.97353168625494i</v>
      </c>
      <c r="AX454">
        <f t="shared" si="395"/>
        <v>5.0730678523140122</v>
      </c>
      <c r="AY454">
        <f t="shared" si="396"/>
        <v>1.372377546981828</v>
      </c>
      <c r="AZ454" t="str">
        <f t="shared" si="372"/>
        <v>1+169.100077332668i</v>
      </c>
      <c r="BA454">
        <f t="shared" si="397"/>
        <v>169.10303413574312</v>
      </c>
      <c r="BB454">
        <f t="shared" si="398"/>
        <v>1.5648827378781929</v>
      </c>
      <c r="BC454" s="41" t="str">
        <f t="shared" si="399"/>
        <v>-0.0217183811795149+0.111422628168465i</v>
      </c>
      <c r="BD454">
        <f t="shared" si="400"/>
        <v>-18.898586136471412</v>
      </c>
      <c r="BE454" s="43">
        <f t="shared" si="401"/>
        <v>101.02973497272197</v>
      </c>
      <c r="BF454" s="41" t="str">
        <f t="shared" si="402"/>
        <v>0.116035645122183-0.844101411327855i</v>
      </c>
      <c r="BG454" s="20">
        <f t="shared" si="403"/>
        <v>-1.3908045019341495</v>
      </c>
      <c r="BH454" s="43">
        <f t="shared" si="404"/>
        <v>-82.172808726451962</v>
      </c>
      <c r="BI454" s="41" t="str">
        <f t="shared" si="409"/>
        <v>4.21704397579126+0.824408787548488i</v>
      </c>
      <c r="BJ454" s="20">
        <f t="shared" si="405"/>
        <v>12.66304851097888</v>
      </c>
      <c r="BK454" s="43">
        <f t="shared" si="410"/>
        <v>11.061499823455064</v>
      </c>
      <c r="BL454">
        <f t="shared" si="406"/>
        <v>-1.3908045019341495</v>
      </c>
      <c r="BM454" s="43">
        <f t="shared" si="407"/>
        <v>-82.172808726451962</v>
      </c>
    </row>
    <row r="455" spans="14:65" x14ac:dyDescent="0.25">
      <c r="N455" s="9">
        <v>37</v>
      </c>
      <c r="O455" s="34">
        <f t="shared" si="408"/>
        <v>234422.88153199267</v>
      </c>
      <c r="P455" s="33" t="str">
        <f t="shared" si="360"/>
        <v>16.5157725627975</v>
      </c>
      <c r="Q455" s="4" t="str">
        <f t="shared" si="361"/>
        <v>1+3811.14405926512i</v>
      </c>
      <c r="R455" s="4">
        <f t="shared" si="373"/>
        <v>3811.1441904593189</v>
      </c>
      <c r="S455" s="4">
        <f t="shared" si="374"/>
        <v>1.5705339383987877</v>
      </c>
      <c r="T455" s="4" t="str">
        <f t="shared" si="362"/>
        <v>1+24.2295735607452i</v>
      </c>
      <c r="U455" s="4">
        <f t="shared" si="375"/>
        <v>24.250200719490195</v>
      </c>
      <c r="V455" s="4">
        <f t="shared" si="376"/>
        <v>1.5295478587695854</v>
      </c>
      <c r="W455" t="str">
        <f t="shared" si="363"/>
        <v>1-368.23060122713i</v>
      </c>
      <c r="X455" s="4">
        <f t="shared" si="377"/>
        <v>368.23195906940731</v>
      </c>
      <c r="Y455" s="4">
        <f t="shared" si="378"/>
        <v>-1.5680806439093484</v>
      </c>
      <c r="Z455" t="str">
        <f t="shared" si="364"/>
        <v>-0.13541502863147+5.15522841717982i</v>
      </c>
      <c r="AA455" s="4">
        <f t="shared" si="379"/>
        <v>5.1570066185024048</v>
      </c>
      <c r="AB455" s="4">
        <f t="shared" si="380"/>
        <v>1.5970578007604337</v>
      </c>
      <c r="AC455" s="47" t="str">
        <f t="shared" si="381"/>
        <v>-7.48820512710035+0.483899783007012i</v>
      </c>
      <c r="AD455" s="20">
        <f t="shared" si="382"/>
        <v>17.505652815853416</v>
      </c>
      <c r="AE455" s="43">
        <f t="shared" si="383"/>
        <v>176.30259616427944</v>
      </c>
      <c r="AF455" t="str">
        <f t="shared" si="365"/>
        <v>247.084651286898</v>
      </c>
      <c r="AG455" t="str">
        <f t="shared" si="366"/>
        <v>1+3727.01671528398i</v>
      </c>
      <c r="AH455">
        <f t="shared" si="384"/>
        <v>3727.0168494395334</v>
      </c>
      <c r="AI455">
        <f t="shared" si="385"/>
        <v>1.570528015689153</v>
      </c>
      <c r="AJ455" t="str">
        <f t="shared" si="367"/>
        <v>1+24.2295735607452i</v>
      </c>
      <c r="AK455">
        <f t="shared" si="386"/>
        <v>24.250200719490195</v>
      </c>
      <c r="AL455">
        <f t="shared" si="387"/>
        <v>1.5295478587695854</v>
      </c>
      <c r="AM455" t="str">
        <f t="shared" si="368"/>
        <v>1-24.0697989887826i</v>
      </c>
      <c r="AN455">
        <f t="shared" si="388"/>
        <v>24.090562952334675</v>
      </c>
      <c r="AO455">
        <f t="shared" si="389"/>
        <v>-1.5292743662943946</v>
      </c>
      <c r="AP455" s="41" t="str">
        <f t="shared" si="390"/>
        <v>0.0209840130791124-38.7299231016973i</v>
      </c>
      <c r="AQ455">
        <f t="shared" si="391"/>
        <v>31.760933968772225</v>
      </c>
      <c r="AR455" s="43">
        <f t="shared" si="392"/>
        <v>-89.968956941487377</v>
      </c>
      <c r="AS455" t="str">
        <f t="shared" si="369"/>
        <v>-0.0000166666666666667</v>
      </c>
      <c r="AT455" t="str">
        <f t="shared" si="370"/>
        <v>0.00500793617668896i</v>
      </c>
      <c r="AU455">
        <f t="shared" si="393"/>
        <v>5.0079361766889596E-3</v>
      </c>
      <c r="AV455">
        <f t="shared" si="394"/>
        <v>1.5707963267948966</v>
      </c>
      <c r="AW455" t="str">
        <f t="shared" si="371"/>
        <v>1+5.08938012143097i</v>
      </c>
      <c r="AX455">
        <f t="shared" si="395"/>
        <v>5.1866935537408336</v>
      </c>
      <c r="AY455">
        <f t="shared" si="396"/>
        <v>1.3767803607382076</v>
      </c>
      <c r="AZ455" t="str">
        <f t="shared" si="372"/>
        <v>1+173.038924128653i</v>
      </c>
      <c r="BA455">
        <f t="shared" si="397"/>
        <v>173.04181362781</v>
      </c>
      <c r="BB455">
        <f t="shared" si="398"/>
        <v>1.5650173445641711</v>
      </c>
      <c r="BC455" s="41" t="str">
        <f t="shared" si="399"/>
        <v>-0.0207772284392229+0.109071264330297i</v>
      </c>
      <c r="BD455">
        <f t="shared" si="400"/>
        <v>-19.090991336150481</v>
      </c>
      <c r="BE455" s="43">
        <f t="shared" si="401"/>
        <v>100.78518472150009</v>
      </c>
      <c r="BF455" s="41" t="str">
        <f t="shared" si="402"/>
        <v>0.102804587383793-0.826802097110675i</v>
      </c>
      <c r="BG455" s="20">
        <f t="shared" si="403"/>
        <v>-1.5853385202970611</v>
      </c>
      <c r="BH455" s="43">
        <f t="shared" si="404"/>
        <v>-82.912219114220477</v>
      </c>
      <c r="BI455" s="41" t="str">
        <f t="shared" si="409"/>
        <v>4.22388569048399+0.806989212554763i</v>
      </c>
      <c r="BJ455" s="20">
        <f t="shared" si="405"/>
        <v>12.669942632621749</v>
      </c>
      <c r="BK455" s="43">
        <f t="shared" si="410"/>
        <v>10.816227780012692</v>
      </c>
      <c r="BL455">
        <f t="shared" si="406"/>
        <v>-1.5853385202970611</v>
      </c>
      <c r="BM455" s="43">
        <f t="shared" si="407"/>
        <v>-82.912219114220477</v>
      </c>
    </row>
    <row r="456" spans="14:65" x14ac:dyDescent="0.25">
      <c r="N456" s="9">
        <v>38</v>
      </c>
      <c r="O456" s="34">
        <f t="shared" si="408"/>
        <v>239883.29190194907</v>
      </c>
      <c r="P456" s="33" t="str">
        <f t="shared" si="360"/>
        <v>16.5157725627975</v>
      </c>
      <c r="Q456" s="4" t="str">
        <f t="shared" si="361"/>
        <v>1+3899.91700841842i</v>
      </c>
      <c r="R456" s="4">
        <f t="shared" si="373"/>
        <v>3899.9171366262749</v>
      </c>
      <c r="S456" s="4">
        <f t="shared" si="374"/>
        <v>1.5705399110876073</v>
      </c>
      <c r="T456" s="4" t="str">
        <f t="shared" si="362"/>
        <v>1+24.7939528306615i</v>
      </c>
      <c r="U456" s="4">
        <f t="shared" si="375"/>
        <v>24.814110843813591</v>
      </c>
      <c r="V456" s="4">
        <f t="shared" si="376"/>
        <v>1.5304857599049362</v>
      </c>
      <c r="W456" t="str">
        <f t="shared" si="363"/>
        <v>1-376.80779377905i</v>
      </c>
      <c r="X456" s="4">
        <f t="shared" si="377"/>
        <v>376.80912071317363</v>
      </c>
      <c r="Y456" s="4">
        <f t="shared" si="378"/>
        <v>-1.568142460105197</v>
      </c>
      <c r="Z456" t="str">
        <f t="shared" si="364"/>
        <v>-0.18892549036603+5.2753091129067i</v>
      </c>
      <c r="AA456" s="4">
        <f t="shared" si="379"/>
        <v>5.2786910382808463</v>
      </c>
      <c r="AB456" s="4">
        <f t="shared" si="380"/>
        <v>1.6065941876567824</v>
      </c>
      <c r="AC456" s="47" t="str">
        <f t="shared" si="381"/>
        <v>-7.48122792721993+0.548592139200787i</v>
      </c>
      <c r="AD456" s="20">
        <f t="shared" si="382"/>
        <v>17.502747898627817</v>
      </c>
      <c r="AE456" s="43">
        <f t="shared" si="383"/>
        <v>175.80605520298155</v>
      </c>
      <c r="AF456" t="str">
        <f t="shared" si="365"/>
        <v>247.084651286898</v>
      </c>
      <c r="AG456" t="str">
        <f t="shared" si="366"/>
        <v>1+3813.83008686333i</v>
      </c>
      <c r="AH456">
        <f t="shared" si="384"/>
        <v>3813.8302179651305</v>
      </c>
      <c r="AI456">
        <f t="shared" si="385"/>
        <v>1.570534123195285</v>
      </c>
      <c r="AJ456" t="str">
        <f t="shared" si="367"/>
        <v>1+24.7939528306615i</v>
      </c>
      <c r="AK456">
        <f t="shared" si="386"/>
        <v>24.814110843813591</v>
      </c>
      <c r="AL456">
        <f t="shared" si="387"/>
        <v>1.5304857599049362</v>
      </c>
      <c r="AM456" t="str">
        <f t="shared" si="368"/>
        <v>1-24.6304566308276i</v>
      </c>
      <c r="AN456">
        <f t="shared" si="388"/>
        <v>24.650748342455636</v>
      </c>
      <c r="AO456">
        <f t="shared" si="389"/>
        <v>-1.5302184722861301</v>
      </c>
      <c r="AP456" s="41" t="str">
        <f t="shared" si="390"/>
        <v>0.0209832125627085-39.6290058680141i</v>
      </c>
      <c r="AQ456">
        <f t="shared" si="391"/>
        <v>31.960264773056657</v>
      </c>
      <c r="AR456" s="43">
        <f t="shared" si="392"/>
        <v>-89.969662387895411</v>
      </c>
      <c r="AS456" t="str">
        <f t="shared" si="369"/>
        <v>-0.0000166666666666667</v>
      </c>
      <c r="AT456" t="str">
        <f t="shared" si="370"/>
        <v>0.00512458599539507i</v>
      </c>
      <c r="AU456">
        <f t="shared" si="393"/>
        <v>5.1245859953950703E-3</v>
      </c>
      <c r="AV456">
        <f t="shared" si="394"/>
        <v>1.5707963267948966</v>
      </c>
      <c r="AW456" t="str">
        <f t="shared" si="371"/>
        <v>1+5.20792701331327i</v>
      </c>
      <c r="AX456">
        <f t="shared" si="395"/>
        <v>5.3030655074209747</v>
      </c>
      <c r="AY456">
        <f t="shared" si="396"/>
        <v>1.3810903276432021</v>
      </c>
      <c r="AZ456" t="str">
        <f t="shared" si="372"/>
        <v>1+177.069518452651i</v>
      </c>
      <c r="BA456">
        <f t="shared" si="397"/>
        <v>177.07234217983822</v>
      </c>
      <c r="BB456">
        <f t="shared" si="398"/>
        <v>1.565148887430259</v>
      </c>
      <c r="BC456" s="41" t="str">
        <f t="shared" si="399"/>
        <v>-0.019875351111349+0.106761673197125i</v>
      </c>
      <c r="BD456">
        <f t="shared" si="400"/>
        <v>-19.283725916367832</v>
      </c>
      <c r="BE456" s="43">
        <f t="shared" si="401"/>
        <v>100.5457786590546</v>
      </c>
      <c r="BF456" s="41" t="str">
        <f t="shared" si="402"/>
        <v>0.0901234171136597-0.809611872462601i</v>
      </c>
      <c r="BG456" s="20">
        <f t="shared" si="403"/>
        <v>-1.780978017740011</v>
      </c>
      <c r="BH456" s="43">
        <f t="shared" si="404"/>
        <v>-83.648166137963855</v>
      </c>
      <c r="BI456" s="41" t="str">
        <f t="shared" si="409"/>
        <v>4.23044192489074+0.789880608702736i</v>
      </c>
      <c r="BJ456" s="20">
        <f t="shared" si="405"/>
        <v>12.676538856688824</v>
      </c>
      <c r="BK456" s="43">
        <f t="shared" si="410"/>
        <v>10.576116271159217</v>
      </c>
      <c r="BL456">
        <f t="shared" si="406"/>
        <v>-1.780978017740011</v>
      </c>
      <c r="BM456" s="43">
        <f t="shared" si="407"/>
        <v>-83.648166137963855</v>
      </c>
    </row>
    <row r="457" spans="14:65" x14ac:dyDescent="0.25">
      <c r="N457" s="9">
        <v>39</v>
      </c>
      <c r="O457" s="34">
        <f t="shared" si="408"/>
        <v>245470.89156850305</v>
      </c>
      <c r="P457" s="33" t="str">
        <f t="shared" si="360"/>
        <v>16.5157725627975</v>
      </c>
      <c r="Q457" s="4" t="str">
        <f t="shared" si="361"/>
        <v>1+3990.75774519108i</v>
      </c>
      <c r="R457" s="4">
        <f t="shared" si="373"/>
        <v>3990.7578704805674</v>
      </c>
      <c r="S457" s="4">
        <f t="shared" si="374"/>
        <v>1.5705457478214486</v>
      </c>
      <c r="T457" s="4" t="str">
        <f t="shared" si="362"/>
        <v>1+25.3714781825554i</v>
      </c>
      <c r="U457" s="4">
        <f t="shared" si="375"/>
        <v>25.391177703444257</v>
      </c>
      <c r="V457" s="4">
        <f t="shared" si="376"/>
        <v>1.5314023803742889</v>
      </c>
      <c r="W457" t="str">
        <f t="shared" si="363"/>
        <v>1-385.584774810872i</v>
      </c>
      <c r="X457" s="4">
        <f t="shared" si="377"/>
        <v>385.58607154039009</v>
      </c>
      <c r="Y457" s="4">
        <f t="shared" si="378"/>
        <v>-1.5682028692122365</v>
      </c>
      <c r="Z457" t="str">
        <f t="shared" si="364"/>
        <v>-0.24495782246768+5.39818684735221i</v>
      </c>
      <c r="AA457" s="4">
        <f t="shared" si="379"/>
        <v>5.4037418122736485</v>
      </c>
      <c r="AB457" s="4">
        <f t="shared" si="380"/>
        <v>1.6161430149152538</v>
      </c>
      <c r="AC457" s="47" t="str">
        <f t="shared" si="381"/>
        <v>-7.47300130075424+0.613385332764942i</v>
      </c>
      <c r="AD457" s="20">
        <f t="shared" si="382"/>
        <v>17.49906213629869</v>
      </c>
      <c r="AE457" s="43">
        <f t="shared" si="383"/>
        <v>175.30767057898811</v>
      </c>
      <c r="AF457" t="str">
        <f t="shared" si="365"/>
        <v>247.084651286898</v>
      </c>
      <c r="AG457" t="str">
        <f t="shared" si="366"/>
        <v>1+3902.66560163673i</v>
      </c>
      <c r="AH457">
        <f t="shared" si="384"/>
        <v>3902.6657297542897</v>
      </c>
      <c r="AI457">
        <f t="shared" si="385"/>
        <v>1.5705400916776231</v>
      </c>
      <c r="AJ457" t="str">
        <f t="shared" si="367"/>
        <v>1+25.3714781825554i</v>
      </c>
      <c r="AK457">
        <f t="shared" si="386"/>
        <v>25.391177703444257</v>
      </c>
      <c r="AL457">
        <f t="shared" si="387"/>
        <v>1.5314023803742889</v>
      </c>
      <c r="AM457" t="str">
        <f t="shared" si="368"/>
        <v>1-25.2041736670008i</v>
      </c>
      <c r="AN457">
        <f t="shared" si="388"/>
        <v>25.224003850228385</v>
      </c>
      <c r="AO457">
        <f t="shared" si="389"/>
        <v>-1.5311411577436511</v>
      </c>
      <c r="AP457" s="41" t="str">
        <f t="shared" si="390"/>
        <v>0.0209824480754806-40.5491004577751i</v>
      </c>
      <c r="AQ457">
        <f t="shared" si="391"/>
        <v>32.159625647972938</v>
      </c>
      <c r="AR457" s="43">
        <f t="shared" si="392"/>
        <v>-89.970351854968342</v>
      </c>
      <c r="AS457" t="str">
        <f t="shared" si="369"/>
        <v>-0.0000166666666666667</v>
      </c>
      <c r="AT457" t="str">
        <f t="shared" si="370"/>
        <v>0.00524395293742787i</v>
      </c>
      <c r="AU457">
        <f t="shared" si="393"/>
        <v>5.2439529374278702E-3</v>
      </c>
      <c r="AV457">
        <f t="shared" si="394"/>
        <v>1.5707963267948966</v>
      </c>
      <c r="AW457" t="str">
        <f t="shared" si="371"/>
        <v>1+5.32923521703309i</v>
      </c>
      <c r="AX457">
        <f t="shared" si="395"/>
        <v>5.4222456600993025</v>
      </c>
      <c r="AY457">
        <f t="shared" si="396"/>
        <v>1.3853090921007167</v>
      </c>
      <c r="AZ457" t="str">
        <f t="shared" si="372"/>
        <v>1+181.193997379125i</v>
      </c>
      <c r="BA457">
        <f t="shared" si="397"/>
        <v>181.19675683142444</v>
      </c>
      <c r="BB457">
        <f t="shared" si="398"/>
        <v>1.5652774362040056</v>
      </c>
      <c r="BC457" s="41" t="str">
        <f t="shared" si="399"/>
        <v>-0.0190112386496892+0.104493626498534i</v>
      </c>
      <c r="BD457">
        <f t="shared" si="400"/>
        <v>-19.476776109211468</v>
      </c>
      <c r="BE457" s="43">
        <f t="shared" si="401"/>
        <v>100.31142656307658</v>
      </c>
      <c r="BF457" s="41" t="str">
        <f t="shared" si="402"/>
        <v>0.0779761532964579-0.792542221689486i</v>
      </c>
      <c r="BG457" s="20">
        <f t="shared" si="403"/>
        <v>-1.9777139729127748</v>
      </c>
      <c r="BH457" s="43">
        <f t="shared" si="404"/>
        <v>-84.380902857935297</v>
      </c>
      <c r="BI457" s="41" t="str">
        <f t="shared" si="409"/>
        <v>4.23672365575847+0.773081157925208i</v>
      </c>
      <c r="BJ457" s="20">
        <f t="shared" si="405"/>
        <v>12.682849538761475</v>
      </c>
      <c r="BK457" s="43">
        <f t="shared" si="410"/>
        <v>10.341074708108238</v>
      </c>
      <c r="BL457">
        <f t="shared" si="406"/>
        <v>-1.9777139729127748</v>
      </c>
      <c r="BM457" s="43">
        <f t="shared" si="407"/>
        <v>-84.380902857935297</v>
      </c>
    </row>
    <row r="458" spans="14:65" x14ac:dyDescent="0.25">
      <c r="N458" s="9">
        <v>40</v>
      </c>
      <c r="O458" s="34">
        <f t="shared" si="408"/>
        <v>251188.64315095844</v>
      </c>
      <c r="P458" s="33" t="str">
        <f t="shared" si="360"/>
        <v>16.5157725627975</v>
      </c>
      <c r="Q458" s="4" t="str">
        <f t="shared" si="361"/>
        <v>1+4083.71443454419i</v>
      </c>
      <c r="R458" s="4">
        <f t="shared" si="373"/>
        <v>4083.7145569817408</v>
      </c>
      <c r="S458" s="4">
        <f t="shared" si="374"/>
        <v>1.5705514516950236</v>
      </c>
      <c r="T458" s="4" t="str">
        <f t="shared" si="362"/>
        <v>1+25.9624558280131i</v>
      </c>
      <c r="U458" s="4">
        <f t="shared" si="375"/>
        <v>25.981707269183282</v>
      </c>
      <c r="V458" s="4">
        <f t="shared" si="376"/>
        <v>1.5322982000173302</v>
      </c>
      <c r="W458" t="str">
        <f t="shared" si="363"/>
        <v>1-394.56619799412i</v>
      </c>
      <c r="X458" s="4">
        <f t="shared" si="377"/>
        <v>394.56746520656651</v>
      </c>
      <c r="Y458" s="4">
        <f t="shared" si="378"/>
        <v>-1.5682619032584104</v>
      </c>
      <c r="Z458" t="str">
        <f t="shared" si="364"/>
        <v>-0.3036308770252+5.52392677191768i</v>
      </c>
      <c r="AA458" s="4">
        <f t="shared" si="379"/>
        <v>5.5322652404771748</v>
      </c>
      <c r="AB458" s="4">
        <f t="shared" si="380"/>
        <v>1.6257075619516841</v>
      </c>
      <c r="AC458" s="47" t="str">
        <f t="shared" si="381"/>
        <v>-7.46351527224116+0.678276958244016i</v>
      </c>
      <c r="AD458" s="20">
        <f t="shared" si="382"/>
        <v>17.494589574365182</v>
      </c>
      <c r="AE458" s="43">
        <f t="shared" si="383"/>
        <v>174.8072798760214</v>
      </c>
      <c r="AF458" t="str">
        <f t="shared" si="365"/>
        <v>247.084651286898</v>
      </c>
      <c r="AG458" t="str">
        <f t="shared" si="366"/>
        <v>1+3993.57036137004i</v>
      </c>
      <c r="AH458">
        <f t="shared" si="384"/>
        <v>3993.5704865712873</v>
      </c>
      <c r="AI458">
        <f t="shared" si="385"/>
        <v>1.5705459243007343</v>
      </c>
      <c r="AJ458" t="str">
        <f t="shared" si="367"/>
        <v>1+25.9624558280131i</v>
      </c>
      <c r="AK458">
        <f t="shared" si="386"/>
        <v>25.981707269183282</v>
      </c>
      <c r="AL458">
        <f t="shared" si="387"/>
        <v>1.5322982000173302</v>
      </c>
      <c r="AM458" t="str">
        <f t="shared" si="368"/>
        <v>1-25.7912542896691i</v>
      </c>
      <c r="AN458">
        <f t="shared" si="388"/>
        <v>25.810633425671188</v>
      </c>
      <c r="AO458">
        <f t="shared" si="389"/>
        <v>-1.5320429055992029</v>
      </c>
      <c r="AP458" s="41" t="str">
        <f t="shared" si="390"/>
        <v>0.020981717995842-41.4906947173121i</v>
      </c>
      <c r="AQ458">
        <f t="shared" si="391"/>
        <v>32.359015244348768</v>
      </c>
      <c r="AR458" s="43">
        <f t="shared" si="392"/>
        <v>-89.971025701213009</v>
      </c>
      <c r="AS458" t="str">
        <f t="shared" si="369"/>
        <v>-0.0000166666666666667</v>
      </c>
      <c r="AT458" t="str">
        <f t="shared" si="370"/>
        <v>0.00536610029272003i</v>
      </c>
      <c r="AU458">
        <f t="shared" si="393"/>
        <v>5.36610029272003E-3</v>
      </c>
      <c r="AV458">
        <f t="shared" si="394"/>
        <v>1.5707963267948966</v>
      </c>
      <c r="AW458" t="str">
        <f t="shared" si="371"/>
        <v>1+5.45336905180579i</v>
      </c>
      <c r="AX458">
        <f t="shared" si="395"/>
        <v>5.5442974320641545</v>
      </c>
      <c r="AY458">
        <f t="shared" si="396"/>
        <v>1.38943828998025</v>
      </c>
      <c r="AZ458" t="str">
        <f t="shared" si="372"/>
        <v>1+185.414547761397i</v>
      </c>
      <c r="BA458">
        <f t="shared" si="397"/>
        <v>185.41724440181764</v>
      </c>
      <c r="BB458">
        <f t="shared" si="398"/>
        <v>1.5654030590266685</v>
      </c>
      <c r="BC458" s="41" t="str">
        <f t="shared" si="399"/>
        <v>-0.0181834276157284+0.102266859262125i</v>
      </c>
      <c r="BD458">
        <f t="shared" si="400"/>
        <v>-19.670128678204549</v>
      </c>
      <c r="BE458" s="43">
        <f t="shared" si="401"/>
        <v>100.08203860935402</v>
      </c>
      <c r="BF458" s="41" t="str">
        <f t="shared" si="402"/>
        <v>0.0663470354821976-0.775603665920654i</v>
      </c>
      <c r="BG458" s="20">
        <f t="shared" si="403"/>
        <v>-2.1755391038393674</v>
      </c>
      <c r="BH458" s="43">
        <f t="shared" si="404"/>
        <v>-85.110681514624588</v>
      </c>
      <c r="BI458" s="41" t="str">
        <f t="shared" si="409"/>
        <v>4.24274151779272+0.756588778519888i</v>
      </c>
      <c r="BJ458" s="20">
        <f t="shared" si="405"/>
        <v>12.688886566144221</v>
      </c>
      <c r="BK458" s="43">
        <f t="shared" si="410"/>
        <v>10.111012908141008</v>
      </c>
      <c r="BL458">
        <f t="shared" si="406"/>
        <v>-2.1755391038393674</v>
      </c>
      <c r="BM458" s="43">
        <f t="shared" si="407"/>
        <v>-85.110681514624588</v>
      </c>
    </row>
    <row r="459" spans="14:65" x14ac:dyDescent="0.25">
      <c r="N459" s="9">
        <v>41</v>
      </c>
      <c r="O459" s="34">
        <f t="shared" si="408"/>
        <v>257039.57827688678</v>
      </c>
      <c r="P459" s="33" t="str">
        <f t="shared" si="360"/>
        <v>16.5157725627975</v>
      </c>
      <c r="Q459" s="4" t="str">
        <f t="shared" si="361"/>
        <v>1+4178.83636334482i</v>
      </c>
      <c r="R459" s="4">
        <f t="shared" si="373"/>
        <v>4178.8364829953516</v>
      </c>
      <c r="S459" s="4">
        <f t="shared" si="374"/>
        <v>1.5705570257326</v>
      </c>
      <c r="T459" s="4" t="str">
        <f t="shared" si="362"/>
        <v>1+26.5671991112044i</v>
      </c>
      <c r="U459" s="4">
        <f t="shared" si="375"/>
        <v>26.586012649782216</v>
      </c>
      <c r="V459" s="4">
        <f t="shared" si="376"/>
        <v>1.5331736880551006</v>
      </c>
      <c r="W459" t="str">
        <f t="shared" si="363"/>
        <v>1-403.756825398242i</v>
      </c>
      <c r="X459" s="4">
        <f t="shared" si="377"/>
        <v>403.75806376550105</v>
      </c>
      <c r="Y459" s="4">
        <f t="shared" si="378"/>
        <v>-1.5683195935427046</v>
      </c>
      <c r="Z459" t="str">
        <f t="shared" si="364"/>
        <v>-0.36506910745371+5.65259555557539i</v>
      </c>
      <c r="AA459" s="4">
        <f t="shared" si="379"/>
        <v>5.6643721601010393</v>
      </c>
      <c r="AB459" s="4">
        <f t="shared" si="380"/>
        <v>1.6352910860835679</v>
      </c>
      <c r="AC459" s="47" t="str">
        <f t="shared" si="381"/>
        <v>-7.45275866503587+0.743263961093929i</v>
      </c>
      <c r="AD459" s="20">
        <f t="shared" si="382"/>
        <v>17.489323050107608</v>
      </c>
      <c r="AE459" s="43">
        <f t="shared" si="383"/>
        <v>174.30472138134414</v>
      </c>
      <c r="AF459" t="str">
        <f t="shared" si="365"/>
        <v>247.084651286898</v>
      </c>
      <c r="AG459" t="str">
        <f t="shared" si="366"/>
        <v>1+4086.59256497007i</v>
      </c>
      <c r="AH459">
        <f t="shared" si="384"/>
        <v>4086.5926873213893</v>
      </c>
      <c r="AI459">
        <f t="shared" si="385"/>
        <v>1.5705516241571509</v>
      </c>
      <c r="AJ459" t="str">
        <f t="shared" si="367"/>
        <v>1+26.5671991112044i</v>
      </c>
      <c r="AK459">
        <f t="shared" si="386"/>
        <v>26.586012649782216</v>
      </c>
      <c r="AL459">
        <f t="shared" si="387"/>
        <v>1.5331736880551006</v>
      </c>
      <c r="AM459" t="str">
        <f t="shared" si="368"/>
        <v>1-26.3920097767493i</v>
      </c>
      <c r="AN459">
        <f t="shared" si="388"/>
        <v>26.410948109752336</v>
      </c>
      <c r="AO459">
        <f t="shared" si="389"/>
        <v>-1.5329241881020437</v>
      </c>
      <c r="AP459" s="41" t="str">
        <f t="shared" si="390"/>
        <v>0.0209810207751934-42.4542878923661i</v>
      </c>
      <c r="AQ459">
        <f t="shared" si="391"/>
        <v>32.55843227336328</v>
      </c>
      <c r="AR459" s="43">
        <f t="shared" si="392"/>
        <v>-89.971684277322581</v>
      </c>
      <c r="AS459" t="str">
        <f t="shared" si="369"/>
        <v>-0.0000166666666666667</v>
      </c>
      <c r="AT459" t="str">
        <f t="shared" si="370"/>
        <v>0.00549109282541611i</v>
      </c>
      <c r="AU459">
        <f t="shared" si="393"/>
        <v>5.49109282541611E-3</v>
      </c>
      <c r="AV459">
        <f t="shared" si="394"/>
        <v>1.5707963267948966</v>
      </c>
      <c r="AW459" t="str">
        <f t="shared" si="371"/>
        <v>1+5.58039433503359i</v>
      </c>
      <c r="AX459">
        <f t="shared" si="395"/>
        <v>5.6692857517040878</v>
      </c>
      <c r="AY459">
        <f t="shared" si="396"/>
        <v>1.393479547129971</v>
      </c>
      <c r="AZ459" t="str">
        <f t="shared" si="372"/>
        <v>1+189.733407391142i</v>
      </c>
      <c r="BA459">
        <f t="shared" si="397"/>
        <v>189.73604264939505</v>
      </c>
      <c r="BB459">
        <f t="shared" si="398"/>
        <v>1.5655258224892625</v>
      </c>
      <c r="BC459" s="41" t="str">
        <f t="shared" si="399"/>
        <v>-0.0173905011831445+0.1000810728109i</v>
      </c>
      <c r="BD459">
        <f t="shared" si="400"/>
        <v>-19.863770901563026</v>
      </c>
      <c r="BE459" s="43">
        <f t="shared" si="401"/>
        <v>99.857525459033013</v>
      </c>
      <c r="BF459" s="41" t="str">
        <f t="shared" si="402"/>
        <v>0.0552205537740373-0.758805815392313i</v>
      </c>
      <c r="BG459" s="20">
        <f t="shared" si="403"/>
        <v>-2.3744478514554253</v>
      </c>
      <c r="BH459" s="43">
        <f t="shared" si="404"/>
        <v>-85.837753159622821</v>
      </c>
      <c r="BI459" s="41" t="str">
        <f t="shared" si="409"/>
        <v>4.24850580722419+0.740401146889599i</v>
      </c>
      <c r="BJ459" s="20">
        <f t="shared" si="405"/>
        <v>12.694661371800262</v>
      </c>
      <c r="BK459" s="43">
        <f t="shared" si="410"/>
        <v>9.8858411817104237</v>
      </c>
      <c r="BL459">
        <f t="shared" si="406"/>
        <v>-2.3744478514554253</v>
      </c>
      <c r="BM459" s="43">
        <f t="shared" si="407"/>
        <v>-85.837753159622821</v>
      </c>
    </row>
    <row r="460" spans="14:65" x14ac:dyDescent="0.25">
      <c r="N460" s="9">
        <v>42</v>
      </c>
      <c r="O460" s="34">
        <f t="shared" si="408"/>
        <v>263026.79918953858</v>
      </c>
      <c r="P460" s="33" t="str">
        <f t="shared" si="360"/>
        <v>16.5157725627975</v>
      </c>
      <c r="Q460" s="4" t="str">
        <f t="shared" si="361"/>
        <v>1+4276.17396649874i</v>
      </c>
      <c r="R460" s="4">
        <f t="shared" si="373"/>
        <v>4276.1740834256934</v>
      </c>
      <c r="S460" s="4">
        <f t="shared" si="374"/>
        <v>1.5705624728896053</v>
      </c>
      <c r="T460" s="4" t="str">
        <f t="shared" si="362"/>
        <v>1+27.1860286750229i</v>
      </c>
      <c r="U460" s="4">
        <f t="shared" si="375"/>
        <v>27.204414257968637</v>
      </c>
      <c r="V460" s="4">
        <f t="shared" si="376"/>
        <v>1.5340293033115349</v>
      </c>
      <c r="W460" t="str">
        <f t="shared" si="363"/>
        <v>1-413.161530015545i</v>
      </c>
      <c r="X460" s="4">
        <f t="shared" si="377"/>
        <v>413.16274019420729</v>
      </c>
      <c r="Y460" s="4">
        <f t="shared" si="378"/>
        <v>-1.5683759706517348</v>
      </c>
      <c r="Z460" t="str">
        <f t="shared" si="364"/>
        <v>-0.42940283247714+5.78426142021763i</v>
      </c>
      <c r="AA460" s="4">
        <f t="shared" si="379"/>
        <v>5.8001781843282592</v>
      </c>
      <c r="AB460" s="4">
        <f t="shared" si="380"/>
        <v>1.6448968177571093</v>
      </c>
      <c r="AC460" s="47" t="str">
        <f t="shared" si="381"/>
        <v>-7.44071912964818+0.808342532577157i</v>
      </c>
      <c r="AD460" s="20">
        <f t="shared" si="382"/>
        <v>17.48325419273856</v>
      </c>
      <c r="AE460" s="43">
        <f t="shared" si="383"/>
        <v>173.79983437088043</v>
      </c>
      <c r="AF460" t="str">
        <f t="shared" si="365"/>
        <v>247.084651286898</v>
      </c>
      <c r="AG460" t="str">
        <f t="shared" si="366"/>
        <v>1+4181.7815340405i</v>
      </c>
      <c r="AH460">
        <f t="shared" si="384"/>
        <v>4181.7816536067639</v>
      </c>
      <c r="AI460">
        <f t="shared" si="385"/>
        <v>1.5705571942690106</v>
      </c>
      <c r="AJ460" t="str">
        <f t="shared" si="367"/>
        <v>1+27.1860286750229i</v>
      </c>
      <c r="AK460">
        <f t="shared" si="386"/>
        <v>27.204414257968637</v>
      </c>
      <c r="AL460">
        <f t="shared" si="387"/>
        <v>1.5340293033115349</v>
      </c>
      <c r="AM460" t="str">
        <f t="shared" si="368"/>
        <v>1-27.0067586567527i</v>
      </c>
      <c r="AN460">
        <f t="shared" si="388"/>
        <v>27.02526619931961</v>
      </c>
      <c r="AO460">
        <f t="shared" si="389"/>
        <v>-1.5337854670410505</v>
      </c>
      <c r="AP460" s="41" t="str">
        <f t="shared" si="390"/>
        <v>0.0209803549346373-43.440390892794i</v>
      </c>
      <c r="AQ460">
        <f t="shared" si="391"/>
        <v>32.757875503863353</v>
      </c>
      <c r="AR460" s="43">
        <f t="shared" si="392"/>
        <v>-89.972327926331459</v>
      </c>
      <c r="AS460" t="str">
        <f t="shared" si="369"/>
        <v>-0.0000166666666666667</v>
      </c>
      <c r="AT460" t="str">
        <f t="shared" si="370"/>
        <v>0.00561899680821143i</v>
      </c>
      <c r="AU460">
        <f t="shared" si="393"/>
        <v>5.6189968082114303E-3</v>
      </c>
      <c r="AV460">
        <f t="shared" si="394"/>
        <v>1.5707963267948966</v>
      </c>
      <c r="AW460" t="str">
        <f t="shared" si="371"/>
        <v>1+5.71037841720308i</v>
      </c>
      <c r="AX460">
        <f t="shared" si="395"/>
        <v>5.7972770908124405</v>
      </c>
      <c r="AY460">
        <f t="shared" si="396"/>
        <v>1.3974344780110124</v>
      </c>
      <c r="AZ460" t="str">
        <f t="shared" si="372"/>
        <v>1+194.152866184905i</v>
      </c>
      <c r="BA460">
        <f t="shared" si="397"/>
        <v>194.15544145816165</v>
      </c>
      <c r="BB460">
        <f t="shared" si="398"/>
        <v>1.5656457916677906</v>
      </c>
      <c r="BC460" s="41" t="str">
        <f t="shared" si="399"/>
        <v>-0.0166310885469541+0.0979359376095677i</v>
      </c>
      <c r="BD460">
        <f t="shared" si="400"/>
        <v>-20.057690555646825</v>
      </c>
      <c r="BE460" s="43">
        <f t="shared" si="401"/>
        <v>99.637798338884735</v>
      </c>
      <c r="BF460" s="41" t="str">
        <f t="shared" si="402"/>
        <v>0.0445814748605577-0.742157420687101i</v>
      </c>
      <c r="BG460" s="20">
        <f t="shared" si="403"/>
        <v>-2.5744363629082665</v>
      </c>
      <c r="BH460" s="43">
        <f t="shared" si="404"/>
        <v>-86.562367290234803</v>
      </c>
      <c r="BI460" s="41" t="str">
        <f t="shared" si="409"/>
        <v>4.25402648607124+0.724515718184261i</v>
      </c>
      <c r="BJ460" s="20">
        <f t="shared" si="405"/>
        <v>12.700184948216522</v>
      </c>
      <c r="BK460" s="43">
        <f t="shared" si="410"/>
        <v>9.6654704125532902</v>
      </c>
      <c r="BL460">
        <f t="shared" si="406"/>
        <v>-2.5744363629082665</v>
      </c>
      <c r="BM460" s="43">
        <f t="shared" si="407"/>
        <v>-86.562367290234803</v>
      </c>
    </row>
    <row r="461" spans="14:65" x14ac:dyDescent="0.25">
      <c r="N461" s="9">
        <v>43</v>
      </c>
      <c r="O461" s="34">
        <f t="shared" si="408"/>
        <v>269153.48039269145</v>
      </c>
      <c r="P461" s="33" t="str">
        <f t="shared" si="360"/>
        <v>16.5157725627975</v>
      </c>
      <c r="Q461" s="4" t="str">
        <f t="shared" si="361"/>
        <v>1+4375.77885369157i</v>
      </c>
      <c r="R461" s="4">
        <f t="shared" si="373"/>
        <v>4375.7789679569405</v>
      </c>
      <c r="S461" s="4">
        <f t="shared" si="374"/>
        <v>1.5705677960541926</v>
      </c>
      <c r="T461" s="4" t="str">
        <f t="shared" si="362"/>
        <v>1+27.8192726310946i</v>
      </c>
      <c r="U461" s="4">
        <f t="shared" si="375"/>
        <v>27.837239980342318</v>
      </c>
      <c r="V461" s="4">
        <f t="shared" si="376"/>
        <v>1.5348654944312938</v>
      </c>
      <c r="W461" t="str">
        <f t="shared" si="363"/>
        <v>1-422.785298344903i</v>
      </c>
      <c r="X461" s="4">
        <f t="shared" si="377"/>
        <v>422.78648097661386</v>
      </c>
      <c r="Y461" s="4">
        <f t="shared" si="378"/>
        <v>-1.5684310644759558</v>
      </c>
      <c r="Z461" t="str">
        <f t="shared" si="364"/>
        <v>-0.49676851255163+5.91899417682863i</v>
      </c>
      <c r="AA461" s="4">
        <f t="shared" si="379"/>
        <v>5.9398039547104569</v>
      </c>
      <c r="AB461" s="4">
        <f t="shared" si="380"/>
        <v>1.6545279557026984</v>
      </c>
      <c r="AC461" s="47" t="str">
        <f t="shared" si="381"/>
        <v>-7.42738317774456+0.873508004698534i</v>
      </c>
      <c r="AD461" s="20">
        <f t="shared" si="382"/>
        <v>17.476373424050127</v>
      </c>
      <c r="AE461" s="43">
        <f t="shared" si="383"/>
        <v>173.29245939824878</v>
      </c>
      <c r="AF461" t="str">
        <f t="shared" si="365"/>
        <v>247.084651286898</v>
      </c>
      <c r="AG461" t="str">
        <f t="shared" si="366"/>
        <v>1+4279.18773903271i</v>
      </c>
      <c r="AH461">
        <f t="shared" si="384"/>
        <v>4279.1878558773133</v>
      </c>
      <c r="AI461">
        <f t="shared" si="385"/>
        <v>1.5705626375896591</v>
      </c>
      <c r="AJ461" t="str">
        <f t="shared" si="367"/>
        <v>1+27.8192726310946i</v>
      </c>
      <c r="AK461">
        <f t="shared" si="386"/>
        <v>27.837239980342318</v>
      </c>
      <c r="AL461">
        <f t="shared" si="387"/>
        <v>1.5348654944312938</v>
      </c>
      <c r="AM461" t="str">
        <f t="shared" si="368"/>
        <v>1-27.6358268776727i</v>
      </c>
      <c r="AN461">
        <f t="shared" si="388"/>
        <v>27.653913415874733</v>
      </c>
      <c r="AO461">
        <f t="shared" si="389"/>
        <v>-1.534627193963616</v>
      </c>
      <c r="AP461" s="41" t="str">
        <f t="shared" si="390"/>
        <v>0.0209797190618392-44.4495265634607i</v>
      </c>
      <c r="AQ461">
        <f t="shared" si="391"/>
        <v>32.957343759798</v>
      </c>
      <c r="AR461" s="43">
        <f t="shared" si="392"/>
        <v>-89.972956983768199</v>
      </c>
      <c r="AS461" t="str">
        <f t="shared" si="369"/>
        <v>-0.0000166666666666667</v>
      </c>
      <c r="AT461" t="str">
        <f t="shared" si="370"/>
        <v>0.00574988005749067i</v>
      </c>
      <c r="AU461">
        <f t="shared" si="393"/>
        <v>5.74988005749067E-3</v>
      </c>
      <c r="AV461">
        <f t="shared" si="394"/>
        <v>1.5707963267948966</v>
      </c>
      <c r="AW461" t="str">
        <f t="shared" si="371"/>
        <v>1+5.84339021759519i</v>
      </c>
      <c r="AX461">
        <f t="shared" si="395"/>
        <v>5.9283395006601269</v>
      </c>
      <c r="AY461">
        <f t="shared" si="396"/>
        <v>1.4013046844467767</v>
      </c>
      <c r="AZ461" t="str">
        <f t="shared" si="372"/>
        <v>1+198.675267398237i</v>
      </c>
      <c r="BA461">
        <f t="shared" si="397"/>
        <v>198.67778405186868</v>
      </c>
      <c r="BB461">
        <f t="shared" si="398"/>
        <v>1.5657630301576779</v>
      </c>
      <c r="BC461" s="41" t="str">
        <f t="shared" si="399"/>
        <v>-0.0159038642490192+0.0958310959630922i</v>
      </c>
      <c r="BD461">
        <f t="shared" si="400"/>
        <v>-20.251875898636822</v>
      </c>
      <c r="BE461" s="43">
        <f t="shared" si="401"/>
        <v>99.422769114938063</v>
      </c>
      <c r="BF461" s="41" t="str">
        <f t="shared" si="402"/>
        <v>0.0344148643615039-0.725666422788253i</v>
      </c>
      <c r="BG461" s="20">
        <f t="shared" si="403"/>
        <v>-2.7755024745866925</v>
      </c>
      <c r="BH461" s="43">
        <f t="shared" si="404"/>
        <v>-87.284771486813142</v>
      </c>
      <c r="BI461" s="41" t="str">
        <f t="shared" si="409"/>
        <v>4.25931318701308+0.708929745869146i</v>
      </c>
      <c r="BJ461" s="20">
        <f t="shared" si="405"/>
        <v>12.705467861161191</v>
      </c>
      <c r="BK461" s="43">
        <f t="shared" si="410"/>
        <v>9.4498121311698693</v>
      </c>
      <c r="BL461">
        <f t="shared" si="406"/>
        <v>-2.7755024745866925</v>
      </c>
      <c r="BM461" s="43">
        <f t="shared" si="407"/>
        <v>-87.284771486813142</v>
      </c>
    </row>
    <row r="462" spans="14:65" x14ac:dyDescent="0.25">
      <c r="N462" s="9">
        <v>44</v>
      </c>
      <c r="O462" s="34">
        <f t="shared" si="408"/>
        <v>275422.87033381703</v>
      </c>
      <c r="P462" s="33" t="str">
        <f t="shared" si="360"/>
        <v>16.5157725627975</v>
      </c>
      <c r="Q462" s="4" t="str">
        <f t="shared" si="361"/>
        <v>1+4477.7038367529i</v>
      </c>
      <c r="R462" s="4">
        <f t="shared" si="373"/>
        <v>4477.7039484172738</v>
      </c>
      <c r="S462" s="4">
        <f t="shared" si="374"/>
        <v>1.570572998048773</v>
      </c>
      <c r="T462" s="4" t="str">
        <f t="shared" si="362"/>
        <v>1+28.4672667337469i</v>
      </c>
      <c r="U462" s="4">
        <f t="shared" si="375"/>
        <v>28.484825351233823</v>
      </c>
      <c r="V462" s="4">
        <f t="shared" si="376"/>
        <v>1.5356827000938837</v>
      </c>
      <c r="W462" t="str">
        <f t="shared" si="363"/>
        <v>1-432.633233035668i</v>
      </c>
      <c r="X462" s="4">
        <f t="shared" si="377"/>
        <v>432.63438874746726</v>
      </c>
      <c r="Y462" s="4">
        <f t="shared" si="378"/>
        <v>-1.568484904225504</v>
      </c>
      <c r="Z462" t="str">
        <f t="shared" si="364"/>
        <v>-0.56730903931651+6.05686526249934i</v>
      </c>
      <c r="AA462" s="4">
        <f t="shared" si="379"/>
        <v>6.083375407959088</v>
      </c>
      <c r="AB462" s="4">
        <f t="shared" si="380"/>
        <v>1.664187662007856</v>
      </c>
      <c r="AC462" s="47" t="str">
        <f t="shared" si="381"/>
        <v>-7.41273622200371+0.93875474532708i</v>
      </c>
      <c r="AD462" s="20">
        <f t="shared" si="382"/>
        <v>17.468669959633999</v>
      </c>
      <c r="AE462" s="43">
        <f t="shared" si="383"/>
        <v>172.78243858833432</v>
      </c>
      <c r="AF462" t="str">
        <f t="shared" si="365"/>
        <v>247.084651286898</v>
      </c>
      <c r="AG462" t="str">
        <f t="shared" si="366"/>
        <v>1+4378.86282600591i</v>
      </c>
      <c r="AH462">
        <f t="shared" si="384"/>
        <v>4378.8629401908047</v>
      </c>
      <c r="AI462">
        <f t="shared" si="385"/>
        <v>1.5705679570052158</v>
      </c>
      <c r="AJ462" t="str">
        <f t="shared" si="367"/>
        <v>1+28.4672667337469i</v>
      </c>
      <c r="AK462">
        <f t="shared" si="386"/>
        <v>28.484825351233823</v>
      </c>
      <c r="AL462">
        <f t="shared" si="387"/>
        <v>1.5356827000938837</v>
      </c>
      <c r="AM462" t="str">
        <f t="shared" si="368"/>
        <v>1-28.2795479798066i</v>
      </c>
      <c r="AN462">
        <f t="shared" si="388"/>
        <v>28.297223078284265</v>
      </c>
      <c r="AO462">
        <f t="shared" si="389"/>
        <v>-1.5354498103908356</v>
      </c>
      <c r="AP462" s="41" t="str">
        <f t="shared" si="390"/>
        <v>0.0209791118080305-45.482229961457i</v>
      </c>
      <c r="AQ462">
        <f t="shared" si="391"/>
        <v>33.15683591776525</v>
      </c>
      <c r="AR462" s="43">
        <f t="shared" si="392"/>
        <v>-89.973571777806299</v>
      </c>
      <c r="AS462" t="str">
        <f t="shared" si="369"/>
        <v>-0.0000166666666666667</v>
      </c>
      <c r="AT462" t="str">
        <f t="shared" si="370"/>
        <v>0.00588381196928507i</v>
      </c>
      <c r="AU462">
        <f t="shared" si="393"/>
        <v>5.8838119692850698E-3</v>
      </c>
      <c r="AV462">
        <f t="shared" si="394"/>
        <v>1.5707963267948966</v>
      </c>
      <c r="AW462" t="str">
        <f t="shared" si="371"/>
        <v>1+5.97950026082708i</v>
      </c>
      <c r="AX462">
        <f t="shared" si="395"/>
        <v>6.0625426488587371</v>
      </c>
      <c r="AY462">
        <f t="shared" si="396"/>
        <v>1.4050917544812442</v>
      </c>
      <c r="AZ462" t="str">
        <f t="shared" si="372"/>
        <v>1+203.303008868121i</v>
      </c>
      <c r="BA462">
        <f t="shared" si="397"/>
        <v>203.30546823642322</v>
      </c>
      <c r="BB462">
        <f t="shared" si="398"/>
        <v>1.565877600107425</v>
      </c>
      <c r="BC462" s="41" t="str">
        <f t="shared" si="399"/>
        <v>-0.0152075474307705+0.0937661645712272i</v>
      </c>
      <c r="BD462">
        <f t="shared" si="400"/>
        <v>-20.446315654464655</v>
      </c>
      <c r="BE462" s="43">
        <f t="shared" si="401"/>
        <v>99.212350359822125</v>
      </c>
      <c r="BF462" s="41" t="str">
        <f t="shared" si="402"/>
        <v>0.0247061057455525-0.709340001830919i</v>
      </c>
      <c r="BG462" s="20">
        <f t="shared" si="403"/>
        <v>-2.9776456948306604</v>
      </c>
      <c r="BH462" s="43">
        <f t="shared" si="404"/>
        <v>-88.00521105184356</v>
      </c>
      <c r="BI462" s="41" t="str">
        <f t="shared" si="409"/>
        <v>4.2643752187945+0.693640300246418i</v>
      </c>
      <c r="BJ462" s="20">
        <f t="shared" si="405"/>
        <v>12.710520263300584</v>
      </c>
      <c r="BK462" s="43">
        <f t="shared" si="410"/>
        <v>9.2387785820158186</v>
      </c>
      <c r="BL462">
        <f t="shared" si="406"/>
        <v>-2.9776456948306604</v>
      </c>
      <c r="BM462" s="43">
        <f t="shared" si="407"/>
        <v>-88.00521105184356</v>
      </c>
    </row>
    <row r="463" spans="14:65" x14ac:dyDescent="0.25">
      <c r="N463" s="9">
        <v>45</v>
      </c>
      <c r="O463" s="34">
        <f t="shared" si="408"/>
        <v>281838.29312644573</v>
      </c>
      <c r="P463" s="33" t="str">
        <f t="shared" si="360"/>
        <v>16.5157725627975</v>
      </c>
      <c r="Q463" s="4" t="str">
        <f t="shared" si="361"/>
        <v>1+4582.00295765789i</v>
      </c>
      <c r="R463" s="4">
        <f t="shared" si="373"/>
        <v>4582.0030667804722</v>
      </c>
      <c r="S463" s="4">
        <f t="shared" si="374"/>
        <v>1.570578081631512</v>
      </c>
      <c r="T463" s="4" t="str">
        <f t="shared" si="362"/>
        <v>1+29.1303545580303i</v>
      </c>
      <c r="U463" s="4">
        <f t="shared" si="375"/>
        <v>29.14751373061786</v>
      </c>
      <c r="V463" s="4">
        <f t="shared" si="376"/>
        <v>1.5364813492240665</v>
      </c>
      <c r="W463" t="str">
        <f t="shared" si="363"/>
        <v>1-442.710555593165i</v>
      </c>
      <c r="X463" s="4">
        <f t="shared" si="377"/>
        <v>442.71168499781976</v>
      </c>
      <c r="Y463" s="4">
        <f t="shared" si="378"/>
        <v>-1.568537518445678</v>
      </c>
      <c r="Z463" t="str">
        <f t="shared" si="364"/>
        <v>-0.64117403868654+6.1979477783043i</v>
      </c>
      <c r="AA463" s="4">
        <f t="shared" si="379"/>
        <v>6.2310240579276224</v>
      </c>
      <c r="AB463" s="4">
        <f t="shared" si="380"/>
        <v>1.6738790570973006</v>
      </c>
      <c r="AC463" s="47" t="str">
        <f t="shared" si="381"/>
        <v>-7.39676262203157+1.00407605367732i</v>
      </c>
      <c r="AD463" s="20">
        <f t="shared" si="382"/>
        <v>17.460131810764061</v>
      </c>
      <c r="AE463" s="43">
        <f t="shared" si="383"/>
        <v>172.26961593599245</v>
      </c>
      <c r="AF463" t="str">
        <f t="shared" si="365"/>
        <v>247.084651286898</v>
      </c>
      <c r="AG463" t="str">
        <f t="shared" si="366"/>
        <v>1+4480.85964401054i</v>
      </c>
      <c r="AH463">
        <f t="shared" si="384"/>
        <v>4480.8597555962697</v>
      </c>
      <c r="AI463">
        <f t="shared" si="385"/>
        <v>1.5705731553361042</v>
      </c>
      <c r="AJ463" t="str">
        <f t="shared" si="367"/>
        <v>1+29.1303545580303i</v>
      </c>
      <c r="AK463">
        <f t="shared" si="386"/>
        <v>29.14751373061786</v>
      </c>
      <c r="AL463">
        <f t="shared" si="387"/>
        <v>1.5364813492240665</v>
      </c>
      <c r="AM463" t="str">
        <f t="shared" si="368"/>
        <v>1-28.9382632726035i</v>
      </c>
      <c r="AN463">
        <f t="shared" si="388"/>
        <v>28.955536279518512</v>
      </c>
      <c r="AO463">
        <f t="shared" si="389"/>
        <v>-1.5362537480289828</v>
      </c>
      <c r="AP463" s="41" t="str">
        <f t="shared" si="390"/>
        <v>0.0209785318851438-46.539048639795i</v>
      </c>
      <c r="AQ463">
        <f t="shared" si="391"/>
        <v>33.356350904667408</v>
      </c>
      <c r="AR463" s="43">
        <f t="shared" si="392"/>
        <v>-89.97417262941299</v>
      </c>
      <c r="AS463" t="str">
        <f t="shared" si="369"/>
        <v>-0.0000166666666666667</v>
      </c>
      <c r="AT463" t="str">
        <f t="shared" si="370"/>
        <v>0.00602086355606703i</v>
      </c>
      <c r="AU463">
        <f t="shared" si="393"/>
        <v>6.0208635560670297E-3</v>
      </c>
      <c r="AV463">
        <f t="shared" si="394"/>
        <v>1.5707963267948966</v>
      </c>
      <c r="AW463" t="str">
        <f t="shared" si="371"/>
        <v>1+6.1187807142453i</v>
      </c>
      <c r="AX463">
        <f t="shared" si="395"/>
        <v>6.1999578570358223</v>
      </c>
      <c r="AY463">
        <f t="shared" si="396"/>
        <v>1.4087972613404127</v>
      </c>
      <c r="AZ463" t="str">
        <f t="shared" si="372"/>
        <v>1+208.03854428434i</v>
      </c>
      <c r="BA463">
        <f t="shared" si="397"/>
        <v>208.04094767123919</v>
      </c>
      <c r="BB463">
        <f t="shared" si="398"/>
        <v>1.5659895622514974</v>
      </c>
      <c r="BC463" s="41" t="str">
        <f t="shared" si="399"/>
        <v>-0.0145409010231815+0.0917407369430847i</v>
      </c>
      <c r="BD463">
        <f t="shared" si="400"/>
        <v>-20.640998997020951</v>
      </c>
      <c r="BE463" s="43">
        <f t="shared" si="401"/>
        <v>99.006455414155567</v>
      </c>
      <c r="BF463" s="41" t="str">
        <f t="shared" si="402"/>
        <v>0.0154409160676679-0.693184624454508i</v>
      </c>
      <c r="BG463" s="20">
        <f t="shared" si="403"/>
        <v>-3.1808671862568945</v>
      </c>
      <c r="BH463" s="43">
        <f t="shared" si="404"/>
        <v>-88.72392864985197</v>
      </c>
      <c r="BI463" s="41" t="str">
        <f t="shared" si="409"/>
        <v>4.2692215720891+0.678644285959416i</v>
      </c>
      <c r="BJ463" s="20">
        <f t="shared" si="405"/>
        <v>12.715351907646449</v>
      </c>
      <c r="BK463" s="43">
        <f t="shared" si="410"/>
        <v>9.0322827847426002</v>
      </c>
      <c r="BL463">
        <f t="shared" si="406"/>
        <v>-3.1808671862568945</v>
      </c>
      <c r="BM463" s="43">
        <f t="shared" si="407"/>
        <v>-88.72392864985197</v>
      </c>
    </row>
    <row r="464" spans="14:65" x14ac:dyDescent="0.25">
      <c r="N464" s="9">
        <v>46</v>
      </c>
      <c r="O464" s="34">
        <f t="shared" si="408"/>
        <v>288403.1503126609</v>
      </c>
      <c r="P464" s="33" t="str">
        <f t="shared" si="360"/>
        <v>16.5157725627975</v>
      </c>
      <c r="Q464" s="4" t="str">
        <f t="shared" si="361"/>
        <v>1+4688.73151718101i</v>
      </c>
      <c r="R464" s="4">
        <f t="shared" si="373"/>
        <v>4688.731623819659</v>
      </c>
      <c r="S464" s="4">
        <f t="shared" si="374"/>
        <v>1.570583049497791</v>
      </c>
      <c r="T464" s="4" t="str">
        <f t="shared" si="362"/>
        <v>1+29.8088876818861i</v>
      </c>
      <c r="U464" s="4">
        <f t="shared" si="375"/>
        <v>29.8256564861748</v>
      </c>
      <c r="V464" s="4">
        <f t="shared" si="376"/>
        <v>1.5372618611985684</v>
      </c>
      <c r="W464" t="str">
        <f t="shared" si="363"/>
        <v>1-453.022609147205i</v>
      </c>
      <c r="X464" s="4">
        <f t="shared" si="377"/>
        <v>453.02371284353455</v>
      </c>
      <c r="Y464" s="4">
        <f t="shared" si="378"/>
        <v>-1.5685889350320681</v>
      </c>
      <c r="Z464" t="str">
        <f t="shared" si="364"/>
        <v>-0.71852018822867+6.34231652806086i</v>
      </c>
      <c r="AA464" s="4">
        <f t="shared" si="379"/>
        <v>6.3828872936161218</v>
      </c>
      <c r="AB464" s="4">
        <f t="shared" si="380"/>
        <v>1.6836052146107123</v>
      </c>
      <c r="AC464" s="47" t="str">
        <f t="shared" si="381"/>
        <v>-7.3794457365555+1.06946405635653i</v>
      </c>
      <c r="AD464" s="20">
        <f t="shared" si="382"/>
        <v>17.450745787043299</v>
      </c>
      <c r="AE464" s="43">
        <f t="shared" si="383"/>
        <v>171.7538376104248</v>
      </c>
      <c r="AF464" t="str">
        <f t="shared" si="365"/>
        <v>247.084651286898</v>
      </c>
      <c r="AG464" t="str">
        <f t="shared" si="366"/>
        <v>1+4585.23227310962i</v>
      </c>
      <c r="AH464">
        <f t="shared" si="384"/>
        <v>4585.2323821553491</v>
      </c>
      <c r="AI464">
        <f t="shared" si="385"/>
        <v>1.5705782353385467</v>
      </c>
      <c r="AJ464" t="str">
        <f t="shared" si="367"/>
        <v>1+29.8088876818861i</v>
      </c>
      <c r="AK464">
        <f t="shared" si="386"/>
        <v>29.8256564861748</v>
      </c>
      <c r="AL464">
        <f t="shared" si="387"/>
        <v>1.5372618611985684</v>
      </c>
      <c r="AM464" t="str">
        <f t="shared" si="368"/>
        <v>1-29.6123220156306i</v>
      </c>
      <c r="AN464">
        <f t="shared" si="388"/>
        <v>29.629202067511041</v>
      </c>
      <c r="AO464">
        <f t="shared" si="389"/>
        <v>-1.5370394289772795</v>
      </c>
      <c r="AP464" s="41" t="str">
        <f t="shared" si="390"/>
        <v>0.0209779780630852-47.6205429377269i</v>
      </c>
      <c r="AQ464">
        <f t="shared" si="391"/>
        <v>33.555887695469458</v>
      </c>
      <c r="AR464" s="43">
        <f t="shared" si="392"/>
        <v>-89.974759852495708</v>
      </c>
      <c r="AS464" t="str">
        <f t="shared" si="369"/>
        <v>-0.0000166666666666667</v>
      </c>
      <c r="AT464" t="str">
        <f t="shared" si="370"/>
        <v>0.00616110748440198i</v>
      </c>
      <c r="AU464">
        <f t="shared" si="393"/>
        <v>6.1611074844019802E-3</v>
      </c>
      <c r="AV464">
        <f t="shared" si="394"/>
        <v>1.5707963267948966</v>
      </c>
      <c r="AW464" t="str">
        <f t="shared" si="371"/>
        <v>1+6.26130542618984i</v>
      </c>
      <c r="AX464">
        <f t="shared" si="395"/>
        <v>6.340658139344395</v>
      </c>
      <c r="AY464">
        <f t="shared" si="396"/>
        <v>1.4124227624911641</v>
      </c>
      <c r="AZ464" t="str">
        <f t="shared" si="372"/>
        <v>1+212.884384490455i</v>
      </c>
      <c r="BA464">
        <f t="shared" si="397"/>
        <v>212.88673317019988</v>
      </c>
      <c r="BB464">
        <f t="shared" si="398"/>
        <v>1.5660989759424717</v>
      </c>
      <c r="BC464" s="41" t="str">
        <f t="shared" si="399"/>
        <v>-0.0139027308832498+0.0897543856760727i</v>
      </c>
      <c r="BD464">
        <f t="shared" si="400"/>
        <v>-20.835915534661975</v>
      </c>
      <c r="BE464" s="43">
        <f t="shared" si="401"/>
        <v>98.804998442311458</v>
      </c>
      <c r="BF464" s="41" t="str">
        <f t="shared" si="402"/>
        <v>0.00660535876195506-0.677206089679286i</v>
      </c>
      <c r="BG464" s="20">
        <f t="shared" si="403"/>
        <v>-3.3851697476186815</v>
      </c>
      <c r="BH464" s="43">
        <f t="shared" si="404"/>
        <v>-89.441163947263746</v>
      </c>
      <c r="BI464" s="41" t="str">
        <f t="shared" si="409"/>
        <v>4.27386092575323+0.663938458511237i</v>
      </c>
      <c r="BJ464" s="20">
        <f t="shared" si="405"/>
        <v>12.719972160807471</v>
      </c>
      <c r="BK464" s="43">
        <f t="shared" si="410"/>
        <v>8.8302385898157603</v>
      </c>
      <c r="BL464">
        <f t="shared" si="406"/>
        <v>-3.3851697476186815</v>
      </c>
      <c r="BM464" s="43">
        <f t="shared" si="407"/>
        <v>-89.441163947263746</v>
      </c>
    </row>
    <row r="465" spans="14:65" x14ac:dyDescent="0.25">
      <c r="N465" s="9">
        <v>47</v>
      </c>
      <c r="O465" s="34">
        <f t="shared" si="408"/>
        <v>295120.92266663886</v>
      </c>
      <c r="P465" s="33" t="str">
        <f t="shared" si="360"/>
        <v>16.5157725627975</v>
      </c>
      <c r="Q465" s="4" t="str">
        <f t="shared" si="361"/>
        <v>1+4797.94610421723i</v>
      </c>
      <c r="R465" s="4">
        <f t="shared" si="373"/>
        <v>4797.946208428486</v>
      </c>
      <c r="S465" s="4">
        <f t="shared" si="374"/>
        <v>1.570587904281638</v>
      </c>
      <c r="T465" s="4" t="str">
        <f t="shared" si="362"/>
        <v>1+30.5032258725581i</v>
      </c>
      <c r="U465" s="4">
        <f t="shared" si="375"/>
        <v>30.5196131795981</v>
      </c>
      <c r="V465" s="4">
        <f t="shared" si="376"/>
        <v>1.5380246460490994</v>
      </c>
      <c r="W465" t="str">
        <f t="shared" si="363"/>
        <v>1-463.574861285078i</v>
      </c>
      <c r="X465" s="4">
        <f t="shared" si="377"/>
        <v>463.575939858271</v>
      </c>
      <c r="Y465" s="4">
        <f t="shared" si="378"/>
        <v>-1.5686391812453404</v>
      </c>
      <c r="Z465" t="str">
        <f t="shared" si="364"/>
        <v>-0.79951154949604+6.49004805799108i</v>
      </c>
      <c r="AA465" s="4">
        <f t="shared" si="379"/>
        <v>6.5391086940661376</v>
      </c>
      <c r="AB465" s="4">
        <f t="shared" si="380"/>
        <v>1.693369156169565</v>
      </c>
      <c r="AC465" s="47" t="str">
        <f t="shared" si="381"/>
        <v>-7.36076798212928+1.1349096042195i</v>
      </c>
      <c r="AD465" s="20">
        <f t="shared" si="382"/>
        <v>17.440497499930149</v>
      </c>
      <c r="AE465" s="43">
        <f t="shared" si="383"/>
        <v>171.23495226572021</v>
      </c>
      <c r="AF465" t="str">
        <f t="shared" si="365"/>
        <v>247.084651286898</v>
      </c>
      <c r="AG465" t="str">
        <f t="shared" si="366"/>
        <v>1+4692.03605305263i</v>
      </c>
      <c r="AH465">
        <f t="shared" si="384"/>
        <v>4692.0361596161747</v>
      </c>
      <c r="AI465">
        <f t="shared" si="385"/>
        <v>1.5705831997060269</v>
      </c>
      <c r="AJ465" t="str">
        <f t="shared" si="367"/>
        <v>1+30.5032258725581i</v>
      </c>
      <c r="AK465">
        <f t="shared" si="386"/>
        <v>30.5196131795981</v>
      </c>
      <c r="AL465">
        <f t="shared" si="387"/>
        <v>1.5380246460490994</v>
      </c>
      <c r="AM465" t="str">
        <f t="shared" si="368"/>
        <v>1-30.3020816037559i</v>
      </c>
      <c r="AN465">
        <f t="shared" si="388"/>
        <v>30.318577630236575</v>
      </c>
      <c r="AO465">
        <f t="shared" si="389"/>
        <v>-1.5378072659319748</v>
      </c>
      <c r="AP465" s="41" t="str">
        <f t="shared" si="390"/>
        <v>0.0209774491671178-48.7272862778461i</v>
      </c>
      <c r="AQ465">
        <f t="shared" si="391"/>
        <v>33.755445311056718</v>
      </c>
      <c r="AR465" s="43">
        <f t="shared" si="392"/>
        <v>-89.975333754046559</v>
      </c>
      <c r="AS465" t="str">
        <f t="shared" si="369"/>
        <v>-0.0000166666666666667</v>
      </c>
      <c r="AT465" t="str">
        <f t="shared" si="370"/>
        <v>0.00630461811347705i</v>
      </c>
      <c r="AU465">
        <f t="shared" si="393"/>
        <v>6.3046181134770504E-3</v>
      </c>
      <c r="AV465">
        <f t="shared" si="394"/>
        <v>1.5707963267948966</v>
      </c>
      <c r="AW465" t="str">
        <f t="shared" si="371"/>
        <v>1+6.40714996514952i</v>
      </c>
      <c r="AX465">
        <f t="shared" si="395"/>
        <v>6.4847182418294382</v>
      </c>
      <c r="AY465">
        <f t="shared" si="396"/>
        <v>1.4159697987920568</v>
      </c>
      <c r="AZ465" t="str">
        <f t="shared" si="372"/>
        <v>1+217.843098815084i</v>
      </c>
      <c r="BA465">
        <f t="shared" si="397"/>
        <v>217.84539403292067</v>
      </c>
      <c r="BB465">
        <f t="shared" si="398"/>
        <v>1.5662058991824506</v>
      </c>
      <c r="BC465" s="41" t="str">
        <f t="shared" si="399"/>
        <v>-0.0132918848854873+0.0878066646037312i</v>
      </c>
      <c r="BD465">
        <f t="shared" si="400"/>
        <v>-21.031055295032498</v>
      </c>
      <c r="BE465" s="43">
        <f t="shared" si="401"/>
        <v>98.607894482873277</v>
      </c>
      <c r="BF465" s="41" t="str">
        <f t="shared" si="402"/>
        <v>-0.00181414628601191-0.661409573247428i</v>
      </c>
      <c r="BG465" s="20">
        <f t="shared" si="403"/>
        <v>-3.5905577951023568</v>
      </c>
      <c r="BH465" s="43">
        <f t="shared" si="404"/>
        <v>-90.157153251406498</v>
      </c>
      <c r="BI465" s="41" t="str">
        <f t="shared" si="409"/>
        <v>4.27830165340931+0.649519439830574i</v>
      </c>
      <c r="BJ465" s="20">
        <f t="shared" si="405"/>
        <v>12.724390016024227</v>
      </c>
      <c r="BK465" s="43">
        <f t="shared" si="410"/>
        <v>8.632560728826709</v>
      </c>
      <c r="BL465">
        <f t="shared" si="406"/>
        <v>-3.5905577951023568</v>
      </c>
      <c r="BM465" s="43">
        <f t="shared" si="407"/>
        <v>-90.157153251406498</v>
      </c>
    </row>
    <row r="466" spans="14:65" x14ac:dyDescent="0.25">
      <c r="N466" s="9">
        <v>48</v>
      </c>
      <c r="O466" s="34">
        <f t="shared" si="408"/>
        <v>301995.17204020242</v>
      </c>
      <c r="P466" s="33" t="str">
        <f t="shared" si="360"/>
        <v>16.5157725627975</v>
      </c>
      <c r="Q466" s="4" t="str">
        <f t="shared" si="361"/>
        <v>1+4909.70462578623i</v>
      </c>
      <c r="R466" s="4">
        <f t="shared" si="373"/>
        <v>4909.7047276253497</v>
      </c>
      <c r="S466" s="4">
        <f t="shared" si="374"/>
        <v>1.5705926485571224</v>
      </c>
      <c r="T466" s="4" t="str">
        <f t="shared" si="362"/>
        <v>1+31.2137372773457i</v>
      </c>
      <c r="U466" s="4">
        <f t="shared" si="375"/>
        <v>31.229751757245214</v>
      </c>
      <c r="V466" s="4">
        <f t="shared" si="376"/>
        <v>1.5387701046616999</v>
      </c>
      <c r="W466" t="str">
        <f t="shared" si="363"/>
        <v>1-474.372906950543i</v>
      </c>
      <c r="X466" s="4">
        <f t="shared" si="377"/>
        <v>474.3739609724679</v>
      </c>
      <c r="Y466" s="4">
        <f t="shared" si="378"/>
        <v>-1.5686882837256875</v>
      </c>
      <c r="Z466" t="str">
        <f t="shared" si="364"/>
        <v>-0.88431991602461+6.64122069730759i</v>
      </c>
      <c r="AA466" s="4">
        <f t="shared" si="379"/>
        <v>6.6998383610520396</v>
      </c>
      <c r="AB466" s="4">
        <f t="shared" si="380"/>
        <v>1.7031738460256167</v>
      </c>
      <c r="AC466" s="47" t="str">
        <f t="shared" si="381"/>
        <v>-7.34071089858528+1.20040217031216i</v>
      </c>
      <c r="AD466" s="20">
        <f t="shared" si="382"/>
        <v>17.429371367268299</v>
      </c>
      <c r="AE466" s="43">
        <f t="shared" si="383"/>
        <v>170.71281135798785</v>
      </c>
      <c r="AF466" t="str">
        <f t="shared" si="365"/>
        <v>247.084651286898</v>
      </c>
      <c r="AG466" t="str">
        <f t="shared" si="366"/>
        <v>1+4801.3276126174i</v>
      </c>
      <c r="AH466">
        <f t="shared" si="384"/>
        <v>4801.3277167552615</v>
      </c>
      <c r="AI466">
        <f t="shared" si="385"/>
        <v>1.5705880510707173</v>
      </c>
      <c r="AJ466" t="str">
        <f t="shared" si="367"/>
        <v>1+31.2137372773457i</v>
      </c>
      <c r="AK466">
        <f t="shared" si="386"/>
        <v>31.229751757245214</v>
      </c>
      <c r="AL466">
        <f t="shared" si="387"/>
        <v>1.5387701046616999</v>
      </c>
      <c r="AM466" t="str">
        <f t="shared" si="368"/>
        <v>1-31.007907756643i</v>
      </c>
      <c r="AN466">
        <f t="shared" si="388"/>
        <v>31.024028485102978</v>
      </c>
      <c r="AO466">
        <f t="shared" si="389"/>
        <v>-1.5385576623867445</v>
      </c>
      <c r="AP466" s="41" t="str">
        <f t="shared" si="390"/>
        <v>0.0209769440753892-49.8598654701217i</v>
      </c>
      <c r="AQ466">
        <f t="shared" si="391"/>
        <v>33.955022816186606</v>
      </c>
      <c r="AR466" s="43">
        <f t="shared" si="392"/>
        <v>-89.975894634284387</v>
      </c>
      <c r="AS466" t="str">
        <f t="shared" si="369"/>
        <v>-0.0000166666666666667</v>
      </c>
      <c r="AT466" t="str">
        <f t="shared" si="370"/>
        <v>0.00645147153452738i</v>
      </c>
      <c r="AU466">
        <f t="shared" si="393"/>
        <v>6.4514715345273801E-3</v>
      </c>
      <c r="AV466">
        <f t="shared" si="394"/>
        <v>1.5707963267948966</v>
      </c>
      <c r="AW466" t="str">
        <f t="shared" si="371"/>
        <v>1+6.55639165982938i</v>
      </c>
      <c r="AX466">
        <f t="shared" si="395"/>
        <v>6.6322146826742774</v>
      </c>
      <c r="AY466">
        <f t="shared" si="396"/>
        <v>1.4194398937307127</v>
      </c>
      <c r="AZ466" t="str">
        <f t="shared" si="372"/>
        <v>1+222.917316434199i</v>
      </c>
      <c r="BA466">
        <f t="shared" si="397"/>
        <v>222.91955940703096</v>
      </c>
      <c r="BB466">
        <f t="shared" si="398"/>
        <v>1.5663103886537659</v>
      </c>
      <c r="BC466" s="41" t="str">
        <f t="shared" si="399"/>
        <v>-0.0127072519762121+0.0858971108171443i</v>
      </c>
      <c r="BD466">
        <f t="shared" si="400"/>
        <v>-21.226408710219772</v>
      </c>
      <c r="BE466" s="43">
        <f t="shared" si="401"/>
        <v>98.41505949408851</v>
      </c>
      <c r="BF466" s="41" t="str">
        <f t="shared" si="402"/>
        <v>-0.00983081517559463-0.645799670383347i</v>
      </c>
      <c r="BG466" s="20">
        <f t="shared" si="403"/>
        <v>-3.797037342951481</v>
      </c>
      <c r="BH466" s="43">
        <f t="shared" si="404"/>
        <v>-90.87212914792363</v>
      </c>
      <c r="BI466" s="41" t="str">
        <f t="shared" si="409"/>
        <v>4.28255183030089+0.635383732918722i</v>
      </c>
      <c r="BJ466" s="20">
        <f t="shared" si="405"/>
        <v>12.728614105966825</v>
      </c>
      <c r="BK466" s="43">
        <f t="shared" si="410"/>
        <v>8.4391648598041389</v>
      </c>
      <c r="BL466">
        <f t="shared" si="406"/>
        <v>-3.797037342951481</v>
      </c>
      <c r="BM466" s="43">
        <f t="shared" si="407"/>
        <v>-90.87212914792363</v>
      </c>
    </row>
    <row r="467" spans="14:65" x14ac:dyDescent="0.25">
      <c r="N467" s="9">
        <v>49</v>
      </c>
      <c r="O467" s="34">
        <f t="shared" si="408"/>
        <v>309029.54325135931</v>
      </c>
      <c r="P467" s="33" t="str">
        <f t="shared" ref="P467:P530" si="411">COMPLEX(Adc,0)</f>
        <v>16.5157725627975</v>
      </c>
      <c r="Q467" s="4" t="str">
        <f t="shared" ref="Q467:Q530" si="412">IMSUM(COMPLEX(1,0),IMDIV(COMPLEX(0,2*PI()*O467),COMPLEX(wp_lf,0)))</f>
        <v>1+5024.06633773545i</v>
      </c>
      <c r="R467" s="4">
        <f t="shared" si="373"/>
        <v>5024.0664372564288</v>
      </c>
      <c r="S467" s="4">
        <f t="shared" si="374"/>
        <v>1.5705972848397212</v>
      </c>
      <c r="T467" s="4" t="str">
        <f t="shared" ref="T467:T530" si="413">IMSUM(COMPLEX(1,0),IMDIV(COMPLEX(0,2*PI()*O467),COMPLEX(wz_esr,0)))</f>
        <v>1+31.9407986188004i</v>
      </c>
      <c r="U467" s="4">
        <f t="shared" si="375"/>
        <v>31.956448745233903</v>
      </c>
      <c r="V467" s="4">
        <f t="shared" si="376"/>
        <v>1.5394986289724375</v>
      </c>
      <c r="W467" t="str">
        <f t="shared" ref="W467:W530" si="414">IMSUB(COMPLEX(1,0),IMDIV(COMPLEX(0,2*PI()*O467),COMPLEX(wz_rhp,0)))</f>
        <v>1-485.42247141034i</v>
      </c>
      <c r="X467" s="4">
        <f t="shared" si="377"/>
        <v>485.42350143984828</v>
      </c>
      <c r="Y467" s="4">
        <f t="shared" si="378"/>
        <v>-1.5687362685069464</v>
      </c>
      <c r="Z467" t="str">
        <f t="shared" ref="Z467:Z530" si="415">IMSUM(COMPLEX(1,0),IMDIV(COMPLEX(0,2*PI()*O467),COMPLEX(Q*(wsl/2),0)),IMDIV(IMPOWER(COMPLEX(0,2*PI()*O467),2),IMPOWER(COMPLEX(wsl/2,0),2)))</f>
        <v>-0.97312517773025+6.79591459974475i</v>
      </c>
      <c r="AA467" s="4">
        <f t="shared" si="379"/>
        <v>6.8652332705128352</v>
      </c>
      <c r="AB467" s="4">
        <f t="shared" si="380"/>
        <v>1.7130221855847141</v>
      </c>
      <c r="AC467" s="47" t="str">
        <f t="shared" si="381"/>
        <v>-7.31925522147643+1.26592974922744i</v>
      </c>
      <c r="AD467" s="20">
        <f t="shared" si="382"/>
        <v>17.41735061895891</v>
      </c>
      <c r="AE467" s="43">
        <f t="shared" si="383"/>
        <v>170.18726946944528</v>
      </c>
      <c r="AF467" t="str">
        <f t="shared" ref="AF467:AF530" si="416">COMPLEX($B$72,0)</f>
        <v>247.084651286898</v>
      </c>
      <c r="AG467" t="str">
        <f t="shared" ref="AG467:AG530" si="417">IMSUM(COMPLEX(1,0),IMDIV(COMPLEX(0,2*PI()*O467),COMPLEX(wp_lf_DCM,0)))</f>
        <v>1+4913.16489963547i</v>
      </c>
      <c r="AH467">
        <f t="shared" si="384"/>
        <v>4913.1650014028655</v>
      </c>
      <c r="AI467">
        <f t="shared" si="385"/>
        <v>1.5705927920048746</v>
      </c>
      <c r="AJ467" t="str">
        <f t="shared" ref="AJ467:AJ530" si="418">IMSUM(COMPLEX(1,0),IMDIV(COMPLEX(0,2*PI()*O467),COMPLEX(wz1_dcm,0)))</f>
        <v>1+31.9407986188004i</v>
      </c>
      <c r="AK467">
        <f t="shared" si="386"/>
        <v>31.956448745233903</v>
      </c>
      <c r="AL467">
        <f t="shared" si="387"/>
        <v>1.5394986289724375</v>
      </c>
      <c r="AM467" t="str">
        <f t="shared" ref="AM467:AM530" si="419">IMSUB(COMPLEX(1,0),IMDIV(COMPLEX(0,2*PI()*O467),COMPLEX(wz2_dcm,0)))</f>
        <v>1-31.7301747126608i</v>
      </c>
      <c r="AN467">
        <f t="shared" si="388"/>
        <v>31.745928672760211</v>
      </c>
      <c r="AO467">
        <f t="shared" si="389"/>
        <v>-1.5392910128294339</v>
      </c>
      <c r="AP467" s="41" t="str">
        <f t="shared" si="390"/>
        <v>0.0209764617165337-51.0188810230333i</v>
      </c>
      <c r="AQ467">
        <f t="shared" si="391"/>
        <v>34.154619317531242</v>
      </c>
      <c r="AR467" s="43">
        <f t="shared" si="392"/>
        <v>-89.976442786794763</v>
      </c>
      <c r="AS467" t="str">
        <f t="shared" ref="AS467:AS530" si="420">COMPLEX(Adc_ea,0)</f>
        <v>-0.0000166666666666667</v>
      </c>
      <c r="AT467" t="str">
        <f t="shared" ref="AT467:AT530" si="421">COMPLEX(0,2*PI()*O467*wp0_ea)</f>
        <v>0.00660174561118062i</v>
      </c>
      <c r="AU467">
        <f t="shared" si="393"/>
        <v>6.60174561118062E-3</v>
      </c>
      <c r="AV467">
        <f t="shared" si="394"/>
        <v>1.5707963267948966</v>
      </c>
      <c r="AW467" t="str">
        <f t="shared" ref="AW467:AW530" si="422">IMSUM(COMPLEX(1,0),IMDIV(COMPLEX(0,2*PI()*O467),COMPLEX(wp1_ea,0)))</f>
        <v>1+6.70910964015138i</v>
      </c>
      <c r="AX467">
        <f t="shared" si="395"/>
        <v>6.7832257933502529</v>
      </c>
      <c r="AY467">
        <f t="shared" si="396"/>
        <v>1.4228345527426778</v>
      </c>
      <c r="AZ467" t="str">
        <f t="shared" ref="AZ467:AZ530" si="423">IMSUM(COMPLEX(1,0),IMDIV(COMPLEX(0,2*PI()*O467),COMPLEX(wz_ea,0)))</f>
        <v>1+228.109727765147i</v>
      </c>
      <c r="BA467">
        <f t="shared" si="397"/>
        <v>228.11191968218029</v>
      </c>
      <c r="BB467">
        <f t="shared" si="398"/>
        <v>1.566412499748987</v>
      </c>
      <c r="BC467" s="41" t="str">
        <f t="shared" si="399"/>
        <v>-0.0121477611977628+0.0840252465647133i</v>
      </c>
      <c r="BD467">
        <f t="shared" si="400"/>
        <v>-21.421966602250361</v>
      </c>
      <c r="BE467" s="43">
        <f t="shared" si="401"/>
        <v>98.226410394614476</v>
      </c>
      <c r="BF467" s="41" t="str">
        <f t="shared" si="402"/>
        <v>-0.0174574947364672-0.630380436941381i</v>
      </c>
      <c r="BG467" s="20">
        <f t="shared" si="403"/>
        <v>-4.0046159832914547</v>
      </c>
      <c r="BH467" s="43">
        <f t="shared" si="404"/>
        <v>-91.586320135940255</v>
      </c>
      <c r="BI467" s="41" t="str">
        <f t="shared" si="409"/>
        <v>4.28661924036844+0.621527735612668i</v>
      </c>
      <c r="BJ467" s="20">
        <f t="shared" si="405"/>
        <v>12.732652715280885</v>
      </c>
      <c r="BK467" s="43">
        <f t="shared" si="410"/>
        <v>8.2499676078197144</v>
      </c>
      <c r="BL467">
        <f t="shared" si="406"/>
        <v>-4.0046159832914547</v>
      </c>
      <c r="BM467" s="43">
        <f t="shared" si="407"/>
        <v>-91.586320135940255</v>
      </c>
    </row>
    <row r="468" spans="14:65" x14ac:dyDescent="0.25">
      <c r="N468" s="9">
        <v>50</v>
      </c>
      <c r="O468" s="34">
        <f t="shared" si="408"/>
        <v>316227.7660168382</v>
      </c>
      <c r="P468" s="33" t="str">
        <f t="shared" si="411"/>
        <v>16.5157725627975</v>
      </c>
      <c r="Q468" s="4" t="str">
        <f t="shared" si="412"/>
        <v>1+5141.09187615831i</v>
      </c>
      <c r="R468" s="4">
        <f t="shared" ref="R468:R531" si="424">IMABS(Q468)</f>
        <v>5141.0919734139143</v>
      </c>
      <c r="S468" s="4">
        <f t="shared" ref="S468:S531" si="425">IMARGUMENT(Q468)</f>
        <v>1.5706018155876518</v>
      </c>
      <c r="T468" s="4" t="str">
        <f t="shared" si="413"/>
        <v>1+32.6847953944692i</v>
      </c>
      <c r="U468" s="4">
        <f t="shared" ref="U468:U531" si="426">IMABS(T468)</f>
        <v>32.700089449087365</v>
      </c>
      <c r="V468" s="4">
        <f t="shared" ref="V468:V531" si="427">IMARGUMENT(T468)</f>
        <v>1.540210602159475</v>
      </c>
      <c r="W468" t="str">
        <f t="shared" si="414"/>
        <v>1-496.729413289805i</v>
      </c>
      <c r="X468" s="4">
        <f t="shared" ref="X468:X531" si="428">IMABS(W468)</f>
        <v>496.73041987302719</v>
      </c>
      <c r="Y468" s="4">
        <f t="shared" ref="Y468:Y531" si="429">IMARGUMENT(W468)</f>
        <v>-1.5687831610303986</v>
      </c>
      <c r="Z468" t="str">
        <f t="shared" si="415"/>
        <v>-1.06611570247934+6.95421178605726i</v>
      </c>
      <c r="AA468" s="4">
        <f t="shared" ref="AA468:AA531" si="430">IMABS(Z468)</f>
        <v>7.0354576437081002</v>
      </c>
      <c r="AB468" s="4">
        <f t="shared" ref="AB468:AB531" si="431">IMARGUMENT(Z468)</f>
        <v>1.7229170078009595</v>
      </c>
      <c r="AC468" s="47" t="str">
        <f t="shared" ref="AC468:AC531" si="432">(IMDIV(IMPRODUCT(P468,T468,W468),IMPRODUCT(Q468,Z468)))</f>
        <v>-7.29638096174701+1.33147875824218i</v>
      </c>
      <c r="AD468" s="20">
        <f t="shared" ref="AD468:AD531" si="433">20*LOG(IMABS(AC468))</f>
        <v>17.404417303922774</v>
      </c>
      <c r="AE468" s="43">
        <f t="shared" ref="AE468:AE531" si="434">(180/PI())*IMARGUMENT(AC468)</f>
        <v>169.65818463974679</v>
      </c>
      <c r="AF468" t="str">
        <f t="shared" si="416"/>
        <v>247.084651286898</v>
      </c>
      <c r="AG468" t="str">
        <f t="shared" si="417"/>
        <v>1+5027.60721171674i</v>
      </c>
      <c r="AH468">
        <f t="shared" ref="AH468:AH531" si="435">IMABS(AG468)</f>
        <v>5027.6073111676269</v>
      </c>
      <c r="AI468">
        <f t="shared" ref="AI468:AI531" si="436">IMARGUMENT(AG468)</f>
        <v>1.5705974250222039</v>
      </c>
      <c r="AJ468" t="str">
        <f t="shared" si="418"/>
        <v>1+32.6847953944692i</v>
      </c>
      <c r="AK468">
        <f t="shared" ref="AK468:AK531" si="437">IMABS(AJ468)</f>
        <v>32.700089449087365</v>
      </c>
      <c r="AL468">
        <f t="shared" ref="AL468:AL531" si="438">IMARGUMENT(AJ468)</f>
        <v>1.540210602159475</v>
      </c>
      <c r="AM468" t="str">
        <f t="shared" si="419"/>
        <v>1-32.4692654273097i</v>
      </c>
      <c r="AN468">
        <f t="shared" ref="AN468:AN531" si="439">IMABS(AM468)</f>
        <v>32.484660955427699</v>
      </c>
      <c r="AO468">
        <f t="shared" ref="AO468:AO531" si="440">IMARGUMENT(AM468)</f>
        <v>-1.5400077029351671</v>
      </c>
      <c r="AP468" s="41" t="str">
        <f t="shared" ref="AP468:AP531" si="441">(IMDIV(IMPRODUCT(AF468,AJ468,AM468),IMPRODUCT(AG468)))</f>
        <v>0.0209760010674025-52.204947461969i</v>
      </c>
      <c r="AQ468">
        <f t="shared" ref="AQ468:AQ531" si="442">20*LOG(IMABS(AP468))</f>
        <v>34.354233961806727</v>
      </c>
      <c r="AR468" s="43">
        <f t="shared" ref="AR468:AR531" si="443">(180/PI())*IMARGUMENT(AP468)</f>
        <v>-89.976978498667719</v>
      </c>
      <c r="AS468" t="str">
        <f t="shared" si="420"/>
        <v>-0.0000166666666666667</v>
      </c>
      <c r="AT468" t="str">
        <f t="shared" si="421"/>
        <v>0.00675552002074135i</v>
      </c>
      <c r="AU468">
        <f t="shared" ref="AU468:AU531" si="444">IMABS(AT468)</f>
        <v>6.7555200207413497E-3</v>
      </c>
      <c r="AV468">
        <f t="shared" ref="AV468:AV531" si="445">IMARGUMENT(AT468)</f>
        <v>1.5707963267948966</v>
      </c>
      <c r="AW468" t="str">
        <f t="shared" si="422"/>
        <v>1+6.86538487921015i</v>
      </c>
      <c r="AX468">
        <f t="shared" ref="AX468:AX531" si="446">IMABS(AW468)</f>
        <v>6.9378317606934923</v>
      </c>
      <c r="AY468">
        <f t="shared" ref="AY468:AY531" si="447">IMARGUMENT(AW468)</f>
        <v>1.426155262606827</v>
      </c>
      <c r="AZ468" t="str">
        <f t="shared" si="423"/>
        <v>1+233.423085893145i</v>
      </c>
      <c r="BA468">
        <f t="shared" ref="BA468:BA531" si="448">IMABS(AZ468)</f>
        <v>233.42522791651837</v>
      </c>
      <c r="BB468">
        <f t="shared" ref="BB468:BB531" si="449">IMARGUMENT(AZ468)</f>
        <v>1.5665122866002457</v>
      </c>
      <c r="BC468" s="41" t="str">
        <f t="shared" ref="BC468:BC531" si="450">IMPRODUCT(AS468,IMDIV(AZ468,IMPRODUCT(AT468,AW468)))</f>
        <v>-0.0116123806891192+0.082190581035127i</v>
      </c>
      <c r="BD468">
        <f t="shared" ref="BD468:BD531" si="451">20*LOG(IMABS(BC468))</f>
        <v>-21.617720168940057</v>
      </c>
      <c r="BE468" s="43">
        <f t="shared" ref="BE468:BE531" si="452">(180/PI())*IMARGUMENT(BC468)</f>
        <v>98.041865099839313</v>
      </c>
      <c r="BF468" s="41" t="str">
        <f t="shared" ref="BF468:BF531" si="453">IMPRODUCT(AC468,BC468)</f>
        <v>-0.0247066593952062-0.615155428919809i</v>
      </c>
      <c r="BG468" s="20">
        <f t="shared" ref="BG468:BG531" si="454">20*LOG(IMABS(BF468))</f>
        <v>-4.2133028650172886</v>
      </c>
      <c r="BH468" s="43">
        <f t="shared" ref="BH468:BH531" si="455">(180/PI())*IMARGUMENT(BF468)</f>
        <v>-92.299950260413894</v>
      </c>
      <c r="BI468" s="41" t="str">
        <f t="shared" si="409"/>
        <v>4.29051138349778+0.607947753499374i</v>
      </c>
      <c r="BJ468" s="20">
        <f t="shared" ref="BJ468:BJ531" si="456">20*LOG(IMABS(BI468))</f>
        <v>12.736513792866663</v>
      </c>
      <c r="BK468" s="43">
        <f t="shared" si="410"/>
        <v>8.0648866011715956</v>
      </c>
      <c r="BL468">
        <f t="shared" ref="BL468:BL531" si="457">IF($B$31=0,BJ468,BG468)</f>
        <v>-4.2133028650172886</v>
      </c>
      <c r="BM468" s="43">
        <f t="shared" ref="BM468:BM531" si="458">IF($B$31=0,BK468,BH468)</f>
        <v>-92.299950260413894</v>
      </c>
    </row>
    <row r="469" spans="14:65" x14ac:dyDescent="0.25">
      <c r="N469" s="9">
        <v>51</v>
      </c>
      <c r="O469" s="34">
        <f t="shared" si="408"/>
        <v>323593.65692962846</v>
      </c>
      <c r="P469" s="33" t="str">
        <f t="shared" si="411"/>
        <v>16.5157725627975</v>
      </c>
      <c r="Q469" s="4" t="str">
        <f t="shared" si="412"/>
        <v>1+5260.84328954431i</v>
      </c>
      <c r="R469" s="4">
        <f t="shared" si="424"/>
        <v>5260.8433845861064</v>
      </c>
      <c r="S469" s="4">
        <f t="shared" si="425"/>
        <v>1.570606243203176</v>
      </c>
      <c r="T469" s="4" t="str">
        <f t="shared" si="413"/>
        <v>1+33.4461220812905i</v>
      </c>
      <c r="U469" s="4">
        <f t="shared" si="426"/>
        <v>33.461068158033868</v>
      </c>
      <c r="V469" s="4">
        <f t="shared" si="427"/>
        <v>1.5409063988315423</v>
      </c>
      <c r="W469" t="str">
        <f t="shared" si="414"/>
        <v>1-508.299727679187i</v>
      </c>
      <c r="X469" s="4">
        <f t="shared" si="428"/>
        <v>508.30071134982262</v>
      </c>
      <c r="Y469" s="4">
        <f t="shared" si="429"/>
        <v>-1.5688289861582561</v>
      </c>
      <c r="Z469" t="str">
        <f t="shared" si="415"/>
        <v>-1.16348873564235+7.11619618750862i</v>
      </c>
      <c r="AA469" s="4">
        <f t="shared" si="430"/>
        <v>7.2106833391211165</v>
      </c>
      <c r="AB469" s="4">
        <f t="shared" si="431"/>
        <v>1.7328610714377597</v>
      </c>
      <c r="AC469" s="47" t="str">
        <f t="shared" si="432"/>
        <v>-7.2720674928662+1.39703394065208i</v>
      </c>
      <c r="AD469" s="20">
        <f t="shared" si="433"/>
        <v>17.390552298511921</v>
      </c>
      <c r="AE469" s="43">
        <f t="shared" si="434"/>
        <v>169.1254187047526</v>
      </c>
      <c r="AF469" t="str">
        <f t="shared" si="416"/>
        <v>247.084651286898</v>
      </c>
      <c r="AG469" t="str">
        <f t="shared" si="417"/>
        <v>1+5144.71522768992i</v>
      </c>
      <c r="AH469">
        <f t="shared" si="435"/>
        <v>5144.7153248770273</v>
      </c>
      <c r="AI469">
        <f t="shared" si="436"/>
        <v>1.5706019525791919</v>
      </c>
      <c r="AJ469" t="str">
        <f t="shared" si="418"/>
        <v>1+33.4461220812905i</v>
      </c>
      <c r="AK469">
        <f t="shared" si="437"/>
        <v>33.461068158033868</v>
      </c>
      <c r="AL469">
        <f t="shared" si="438"/>
        <v>1.5409063988315423</v>
      </c>
      <c r="AM469" t="str">
        <f t="shared" si="419"/>
        <v>1-33.2255717762698i</v>
      </c>
      <c r="AN469">
        <f t="shared" si="439"/>
        <v>33.240617019845708</v>
      </c>
      <c r="AO469">
        <f t="shared" si="440"/>
        <v>-1.5407081097558475</v>
      </c>
      <c r="AP469" s="41" t="str">
        <f t="shared" si="441"/>
        <v>0.0209755611508873-53.4186936550551i</v>
      </c>
      <c r="AQ469">
        <f t="shared" si="442"/>
        <v>34.553865933985101</v>
      </c>
      <c r="AR469" s="43">
        <f t="shared" si="443"/>
        <v>-89.977502050633106</v>
      </c>
      <c r="AS469" t="str">
        <f t="shared" si="420"/>
        <v>-0.0000166666666666667</v>
      </c>
      <c r="AT469" t="str">
        <f t="shared" si="421"/>
        <v>0.00691287629643696i</v>
      </c>
      <c r="AU469">
        <f t="shared" si="444"/>
        <v>6.9128762964369601E-3</v>
      </c>
      <c r="AV469">
        <f t="shared" si="445"/>
        <v>1.5707963267948966</v>
      </c>
      <c r="AW469" t="str">
        <f t="shared" si="422"/>
        <v>1+7.02530023620599i</v>
      </c>
      <c r="AX469">
        <f t="shared" si="446"/>
        <v>7.096114669932831</v>
      </c>
      <c r="AY469">
        <f t="shared" si="447"/>
        <v>1.4294034909125841</v>
      </c>
      <c r="AZ469" t="str">
        <f t="shared" si="423"/>
        <v>1+238.860208031004i</v>
      </c>
      <c r="BA469">
        <f t="shared" si="448"/>
        <v>238.86230129640487</v>
      </c>
      <c r="BB469">
        <f t="shared" si="449"/>
        <v>1.5666098021078976</v>
      </c>
      <c r="BC469" s="41" t="str">
        <f t="shared" si="450"/>
        <v>-0.0111001166688192+0.0803926120284032i</v>
      </c>
      <c r="BD469">
        <f t="shared" si="451"/>
        <v>-21.813660970103406</v>
      </c>
      <c r="BE469" s="43">
        <f t="shared" si="452"/>
        <v>97.861342554050026</v>
      </c>
      <c r="BF469" s="41" t="str">
        <f t="shared" si="453"/>
        <v>-0.0315904099870116-0.600127740329893i</v>
      </c>
      <c r="BG469" s="20">
        <f t="shared" si="454"/>
        <v>-4.42310867159149</v>
      </c>
      <c r="BH469" s="43">
        <f t="shared" si="455"/>
        <v>-93.013238741197355</v>
      </c>
      <c r="BI469" s="41" t="str">
        <f t="shared" si="409"/>
        <v>4.294235482899+0.594640012016705i</v>
      </c>
      <c r="BJ469" s="20">
        <f t="shared" si="456"/>
        <v>12.740204963881698</v>
      </c>
      <c r="BK469" s="43">
        <f t="shared" si="410"/>
        <v>7.8838405034169332</v>
      </c>
      <c r="BL469">
        <f t="shared" si="457"/>
        <v>-4.42310867159149</v>
      </c>
      <c r="BM469" s="43">
        <f t="shared" si="458"/>
        <v>-93.013238741197355</v>
      </c>
    </row>
    <row r="470" spans="14:65" x14ac:dyDescent="0.25">
      <c r="N470" s="9">
        <v>52</v>
      </c>
      <c r="O470" s="34">
        <f t="shared" si="408"/>
        <v>331131.12148259126</v>
      </c>
      <c r="P470" s="33" t="str">
        <f t="shared" si="411"/>
        <v>16.5157725627975</v>
      </c>
      <c r="Q470" s="4" t="str">
        <f t="shared" si="412"/>
        <v>1+5383.38407167794i</v>
      </c>
      <c r="R470" s="4">
        <f t="shared" si="424"/>
        <v>5383.3841645563207</v>
      </c>
      <c r="S470" s="4">
        <f t="shared" si="425"/>
        <v>1.5706105700338735</v>
      </c>
      <c r="T470" s="4" t="str">
        <f t="shared" si="413"/>
        <v>1+34.2251823447513i</v>
      </c>
      <c r="U470" s="4">
        <f t="shared" si="426"/>
        <v>34.239788354069539</v>
      </c>
      <c r="V470" s="4">
        <f t="shared" si="427"/>
        <v>1.5415863852128382</v>
      </c>
      <c r="W470" t="str">
        <f t="shared" si="414"/>
        <v>1-520.13954931233i</v>
      </c>
      <c r="X470" s="4">
        <f t="shared" si="428"/>
        <v>520.14051059193014</v>
      </c>
      <c r="Y470" s="4">
        <f t="shared" si="429"/>
        <v>-1.5688737681868374</v>
      </c>
      <c r="Z470" t="str">
        <f t="shared" si="415"/>
        <v>-1.26545081847767+7.28195369037261i</v>
      </c>
      <c r="AA470" s="4">
        <f t="shared" si="430"/>
        <v>7.3910902661729869</v>
      </c>
      <c r="AB470" s="4">
        <f t="shared" si="431"/>
        <v>1.7428570551938221</v>
      </c>
      <c r="AC470" s="47" t="str">
        <f t="shared" si="432"/>
        <v>-7.24629364564492+1.46257827177137i</v>
      </c>
      <c r="AD470" s="20">
        <f t="shared" si="433"/>
        <v>17.37573531653851</v>
      </c>
      <c r="AE470" s="43">
        <f t="shared" si="434"/>
        <v>168.58883764285017</v>
      </c>
      <c r="AF470" t="str">
        <f t="shared" si="416"/>
        <v>247.084651286898</v>
      </c>
      <c r="AG470" t="str">
        <f t="shared" si="417"/>
        <v>1+5264.5510397752i</v>
      </c>
      <c r="AH470">
        <f t="shared" si="435"/>
        <v>5264.5511347500587</v>
      </c>
      <c r="AI470">
        <f t="shared" si="436"/>
        <v>1.5706063770764083</v>
      </c>
      <c r="AJ470" t="str">
        <f t="shared" si="418"/>
        <v>1+34.2251823447513i</v>
      </c>
      <c r="AK470">
        <f t="shared" si="437"/>
        <v>34.239788354069539</v>
      </c>
      <c r="AL470">
        <f t="shared" si="438"/>
        <v>1.5415863852128382</v>
      </c>
      <c r="AM470" t="str">
        <f t="shared" si="419"/>
        <v>1-33.9994947631782i</v>
      </c>
      <c r="AN470">
        <f t="shared" si="439"/>
        <v>34.014197684957701</v>
      </c>
      <c r="AO470">
        <f t="shared" si="440"/>
        <v>-1.5413926019060833</v>
      </c>
      <c r="AP470" s="41" t="str">
        <f t="shared" si="441"/>
        <v>0.0209751410338837-54.6607631465896i</v>
      </c>
      <c r="AQ470">
        <f t="shared" si="442"/>
        <v>34.753514455585517</v>
      </c>
      <c r="AR470" s="43">
        <f t="shared" si="443"/>
        <v>-89.978013717193775</v>
      </c>
      <c r="AS470" t="str">
        <f t="shared" si="420"/>
        <v>-0.0000166666666666667</v>
      </c>
      <c r="AT470" t="str">
        <f t="shared" si="421"/>
        <v>0.00707389787064768i</v>
      </c>
      <c r="AU470">
        <f t="shared" si="444"/>
        <v>7.0738978706476798E-3</v>
      </c>
      <c r="AV470">
        <f t="shared" si="445"/>
        <v>1.5707963267948966</v>
      </c>
      <c r="AW470" t="str">
        <f t="shared" si="422"/>
        <v>1+7.18894050037794i</v>
      </c>
      <c r="AX470">
        <f t="shared" si="446"/>
        <v>7.2581585486936158</v>
      </c>
      <c r="AY470">
        <f t="shared" si="447"/>
        <v>1.432580685594435</v>
      </c>
      <c r="AZ470" t="str">
        <f t="shared" si="423"/>
        <v>1+244.42397701285i</v>
      </c>
      <c r="BA470">
        <f t="shared" si="448"/>
        <v>244.42602263011648</v>
      </c>
      <c r="BB470">
        <f t="shared" si="449"/>
        <v>1.5667050979685333</v>
      </c>
      <c r="BC470" s="41" t="str">
        <f t="shared" si="450"/>
        <v>-0.0106100124055003+0.0786308275198493i</v>
      </c>
      <c r="BD470">
        <f t="shared" si="451"/>
        <v>-22.009780914129145</v>
      </c>
      <c r="BE470" s="43">
        <f t="shared" si="452"/>
        <v>97.684762758708032</v>
      </c>
      <c r="BF470" s="41" t="str">
        <f t="shared" si="453"/>
        <v>-0.0381204743477433-0.585300039416395i</v>
      </c>
      <c r="BG470" s="20">
        <f t="shared" si="454"/>
        <v>-4.6340455975906423</v>
      </c>
      <c r="BH470" s="43">
        <f t="shared" si="455"/>
        <v>-93.726399598441816</v>
      </c>
      <c r="BI470" s="41" t="str">
        <f t="shared" si="409"/>
        <v>4.29779849257625+0.581600667776269i</v>
      </c>
      <c r="BJ470" s="20">
        <f t="shared" si="456"/>
        <v>12.743733541456379</v>
      </c>
      <c r="BK470" s="43">
        <f t="shared" si="410"/>
        <v>7.7067490415142537</v>
      </c>
      <c r="BL470">
        <f t="shared" si="457"/>
        <v>-4.6340455975906423</v>
      </c>
      <c r="BM470" s="43">
        <f t="shared" si="458"/>
        <v>-93.726399598441816</v>
      </c>
    </row>
    <row r="471" spans="14:65" x14ac:dyDescent="0.25">
      <c r="N471" s="9">
        <v>53</v>
      </c>
      <c r="O471" s="34">
        <f t="shared" si="408"/>
        <v>338844.15613920329</v>
      </c>
      <c r="P471" s="33" t="str">
        <f t="shared" si="411"/>
        <v>16.5157725627975</v>
      </c>
      <c r="Q471" s="4" t="str">
        <f t="shared" si="412"/>
        <v>1+5508.77919530388i</v>
      </c>
      <c r="R471" s="4">
        <f t="shared" si="424"/>
        <v>5508.779286068092</v>
      </c>
      <c r="S471" s="4">
        <f t="shared" si="425"/>
        <v>1.5706147983738867</v>
      </c>
      <c r="T471" s="4" t="str">
        <f t="shared" si="413"/>
        <v>1+35.022389252915i</v>
      </c>
      <c r="U471" s="4">
        <f t="shared" si="426"/>
        <v>35.036662925893729</v>
      </c>
      <c r="V471" s="4">
        <f t="shared" si="427"/>
        <v>1.5422509193243981</v>
      </c>
      <c r="W471" t="str">
        <f t="shared" si="414"/>
        <v>1-532.255155819377i</v>
      </c>
      <c r="X471" s="4">
        <f t="shared" si="428"/>
        <v>532.25609521762101</v>
      </c>
      <c r="Y471" s="4">
        <f t="shared" si="429"/>
        <v>-1.5689175308594481</v>
      </c>
      <c r="Z471" t="str">
        <f t="shared" si="415"/>
        <v>-1.37221822623325+7.45157218147128i</v>
      </c>
      <c r="AA471" s="4">
        <f t="shared" si="430"/>
        <v>7.576866821852116</v>
      </c>
      <c r="AB471" s="4">
        <f t="shared" si="431"/>
        <v>1.7529075516939854</v>
      </c>
      <c r="AC471" s="47" t="str">
        <f t="shared" si="432"/>
        <v>-7.21903781093954+1.5280928681163i</v>
      </c>
      <c r="AD471" s="20">
        <f t="shared" si="433"/>
        <v>17.35994492109932</v>
      </c>
      <c r="AE471" s="43">
        <f t="shared" si="434"/>
        <v>168.0483119288368</v>
      </c>
      <c r="AF471" t="str">
        <f t="shared" si="416"/>
        <v>247.084651286898</v>
      </c>
      <c r="AG471" t="str">
        <f t="shared" si="417"/>
        <v>1+5387.17818650632i</v>
      </c>
      <c r="AH471">
        <f t="shared" si="435"/>
        <v>5387.1782793192888</v>
      </c>
      <c r="AI471">
        <f t="shared" si="436"/>
        <v>1.5706107008597792</v>
      </c>
      <c r="AJ471" t="str">
        <f t="shared" si="418"/>
        <v>1+35.022389252915i</v>
      </c>
      <c r="AK471">
        <f t="shared" si="437"/>
        <v>35.036662925893729</v>
      </c>
      <c r="AL471">
        <f t="shared" si="438"/>
        <v>1.5422509193243981</v>
      </c>
      <c r="AM471" t="str">
        <f t="shared" si="419"/>
        <v>1-34.7914447322465i</v>
      </c>
      <c r="AN471">
        <f t="shared" si="439"/>
        <v>34.805813114434812</v>
      </c>
      <c r="AO471">
        <f t="shared" si="440"/>
        <v>-1.5420615397455664</v>
      </c>
      <c r="AP471" s="41" t="str">
        <f t="shared" si="441"/>
        <v>0.0209747398252542-55.931814498258i</v>
      </c>
      <c r="AQ471">
        <f t="shared" si="442"/>
        <v>34.953178783041167</v>
      </c>
      <c r="AR471" s="43">
        <f t="shared" si="443"/>
        <v>-89.978513766756564</v>
      </c>
      <c r="AS471" t="str">
        <f t="shared" si="420"/>
        <v>-0.0000166666666666667</v>
      </c>
      <c r="AT471" t="str">
        <f t="shared" si="421"/>
        <v>0.00723867011914353i</v>
      </c>
      <c r="AU471">
        <f t="shared" si="444"/>
        <v>7.2386701191435301E-3</v>
      </c>
      <c r="AV471">
        <f t="shared" si="445"/>
        <v>1.5707963267948966</v>
      </c>
      <c r="AW471" t="str">
        <f t="shared" si="422"/>
        <v>1+7.35639243596005i</v>
      </c>
      <c r="AX471">
        <f t="shared" si="446"/>
        <v>7.4240494120022014</v>
      </c>
      <c r="AY471">
        <f t="shared" si="447"/>
        <v>1.435688274529398</v>
      </c>
      <c r="AZ471" t="str">
        <f t="shared" si="423"/>
        <v>1+250.117342822642i</v>
      </c>
      <c r="BA471">
        <f t="shared" si="448"/>
        <v>250.11934187635117</v>
      </c>
      <c r="BB471">
        <f t="shared" si="449"/>
        <v>1.5667982247023522</v>
      </c>
      <c r="BC471" s="41" t="str">
        <f t="shared" si="450"/>
        <v>-0.0101411471808723+0.0769047071217692i</v>
      </c>
      <c r="BD471">
        <f t="shared" si="451"/>
        <v>-22.206072244924368</v>
      </c>
      <c r="BE471" s="43">
        <f t="shared" si="452"/>
        <v>97.512046797080814</v>
      </c>
      <c r="BF471" s="41" t="str">
        <f t="shared" si="453"/>
        <v>-0.0443082095323283-0.570674603232892i</v>
      </c>
      <c r="BG471" s="20">
        <f t="shared" si="454"/>
        <v>-4.8461273238250469</v>
      </c>
      <c r="BH471" s="43">
        <f t="shared" si="455"/>
        <v>-94.439641274082391</v>
      </c>
      <c r="BI471" s="41" t="str">
        <f t="shared" si="409"/>
        <v>4.30120710485401+0.568825819143298i</v>
      </c>
      <c r="BJ471" s="20">
        <f t="shared" si="456"/>
        <v>12.747106538116801</v>
      </c>
      <c r="BK471" s="43">
        <f t="shared" si="410"/>
        <v>7.5335330303242509</v>
      </c>
      <c r="BL471">
        <f t="shared" si="457"/>
        <v>-4.8461273238250469</v>
      </c>
      <c r="BM471" s="43">
        <f t="shared" si="458"/>
        <v>-94.439641274082391</v>
      </c>
    </row>
    <row r="472" spans="14:65" x14ac:dyDescent="0.25">
      <c r="N472" s="9">
        <v>54</v>
      </c>
      <c r="O472" s="34">
        <f t="shared" si="408"/>
        <v>346736.85045253241</v>
      </c>
      <c r="P472" s="33" t="str">
        <f t="shared" si="411"/>
        <v>16.5157725627975</v>
      </c>
      <c r="Q472" s="4" t="str">
        <f t="shared" si="412"/>
        <v>1+5637.09514657647i</v>
      </c>
      <c r="R472" s="4">
        <f t="shared" si="424"/>
        <v>5637.0952352746353</v>
      </c>
      <c r="S472" s="4">
        <f t="shared" si="425"/>
        <v>1.5706189304651368</v>
      </c>
      <c r="T472" s="4" t="str">
        <f t="shared" si="413"/>
        <v>1+35.8381654954368i</v>
      </c>
      <c r="U472" s="4">
        <f t="shared" si="426"/>
        <v>35.852114387833765</v>
      </c>
      <c r="V472" s="4">
        <f t="shared" si="427"/>
        <v>1.5429003511619654</v>
      </c>
      <c r="W472" t="str">
        <f t="shared" si="414"/>
        <v>1-544.65297105527i</v>
      </c>
      <c r="X472" s="4">
        <f t="shared" si="428"/>
        <v>544.65388907023578</v>
      </c>
      <c r="Y472" s="4">
        <f t="shared" si="429"/>
        <v>-1.5689602973789656</v>
      </c>
      <c r="Z472" t="str">
        <f t="shared" si="415"/>
        <v>-1.4840174268955+7.62514159477377i</v>
      </c>
      <c r="AA472" s="4">
        <f t="shared" si="430"/>
        <v>7.7682103514051812</v>
      </c>
      <c r="AB472" s="4">
        <f t="shared" si="431"/>
        <v>1.7630150613466651</v>
      </c>
      <c r="AC472" s="47" t="str">
        <f t="shared" si="432"/>
        <v>-7.19027805042078+1.59355690034522i</v>
      </c>
      <c r="AD472" s="20">
        <f t="shared" si="433"/>
        <v>17.343158538382156</v>
      </c>
      <c r="AE472" s="43">
        <f t="shared" si="434"/>
        <v>167.5037168952625</v>
      </c>
      <c r="AF472" t="str">
        <f t="shared" si="416"/>
        <v>247.084651286898</v>
      </c>
      <c r="AG472" t="str">
        <f t="shared" si="417"/>
        <v>1+5512.66168641966i</v>
      </c>
      <c r="AH472">
        <f t="shared" si="435"/>
        <v>5512.6617771199471</v>
      </c>
      <c r="AI472">
        <f t="shared" si="436"/>
        <v>1.5706149262218314</v>
      </c>
      <c r="AJ472" t="str">
        <f t="shared" si="418"/>
        <v>1+35.8381654954368i</v>
      </c>
      <c r="AK472">
        <f t="shared" si="437"/>
        <v>35.852114387833765</v>
      </c>
      <c r="AL472">
        <f t="shared" si="438"/>
        <v>1.5429003511619654</v>
      </c>
      <c r="AM472" t="str">
        <f t="shared" si="419"/>
        <v>1-35.601841585831i</v>
      </c>
      <c r="AN472">
        <f t="shared" si="439"/>
        <v>35.61588303415494</v>
      </c>
      <c r="AO472">
        <f t="shared" si="440"/>
        <v>-1.5427152755579445</v>
      </c>
      <c r="AP472" s="41" t="str">
        <f t="shared" si="441"/>
        <v>0.0209743566739922-57.2325216383116i</v>
      </c>
      <c r="AQ472">
        <f t="shared" si="442"/>
        <v>35.152858206138788</v>
      </c>
      <c r="AR472" s="43">
        <f t="shared" si="443"/>
        <v>-89.979002461760885</v>
      </c>
      <c r="AS472" t="str">
        <f t="shared" si="420"/>
        <v>-0.0000166666666666667</v>
      </c>
      <c r="AT472" t="str">
        <f t="shared" si="421"/>
        <v>0.00740728040635166i</v>
      </c>
      <c r="AU472">
        <f t="shared" si="444"/>
        <v>7.4072804063516602E-3</v>
      </c>
      <c r="AV472">
        <f t="shared" si="445"/>
        <v>1.5707963267948966</v>
      </c>
      <c r="AW472" t="str">
        <f t="shared" si="422"/>
        <v>1+7.52774482818507i</v>
      </c>
      <c r="AX472">
        <f t="shared" si="446"/>
        <v>7.5938753083170312</v>
      </c>
      <c r="AY472">
        <f t="shared" si="447"/>
        <v>1.4387276651933347</v>
      </c>
      <c r="AZ472" t="str">
        <f t="shared" si="423"/>
        <v>1+255.943324158292i</v>
      </c>
      <c r="BA472">
        <f t="shared" si="448"/>
        <v>255.94527770833463</v>
      </c>
      <c r="BB472">
        <f t="shared" si="449"/>
        <v>1.5668892316799161</v>
      </c>
      <c r="BC472" s="41" t="str">
        <f t="shared" si="450"/>
        <v>-0.00969263524943757+0.07521372344767i</v>
      </c>
      <c r="BD472">
        <f t="shared" si="451"/>
        <v>-22.40252752923012</v>
      </c>
      <c r="BE472" s="43">
        <f t="shared" si="452"/>
        <v>97.343116855466405</v>
      </c>
      <c r="BF472" s="41" t="str">
        <f t="shared" si="453"/>
        <v>-0.0501646055159259-0.556253350580471i</v>
      </c>
      <c r="BG472" s="20">
        <f t="shared" si="454"/>
        <v>-5.059368990847962</v>
      </c>
      <c r="BH472" s="43">
        <f t="shared" si="455"/>
        <v>-95.153166249271052</v>
      </c>
      <c r="BI472" s="41" t="str">
        <f t="shared" si="409"/>
        <v>4.30446775792793+0.556311516108068i</v>
      </c>
      <c r="BJ472" s="20">
        <f t="shared" si="456"/>
        <v>12.750330676908682</v>
      </c>
      <c r="BK472" s="43">
        <f t="shared" si="410"/>
        <v>7.3641143937055302</v>
      </c>
      <c r="BL472">
        <f t="shared" si="457"/>
        <v>-5.059368990847962</v>
      </c>
      <c r="BM472" s="43">
        <f t="shared" si="458"/>
        <v>-95.153166249271052</v>
      </c>
    </row>
    <row r="473" spans="14:65" x14ac:dyDescent="0.25">
      <c r="N473" s="9">
        <v>55</v>
      </c>
      <c r="O473" s="34">
        <f t="shared" si="408"/>
        <v>354813.38923357555</v>
      </c>
      <c r="P473" s="33" t="str">
        <f t="shared" si="411"/>
        <v>16.5157725627975</v>
      </c>
      <c r="Q473" s="4" t="str">
        <f t="shared" si="412"/>
        <v>1+5768.39996031153i</v>
      </c>
      <c r="R473" s="4">
        <f t="shared" si="424"/>
        <v>5768.4000469906778</v>
      </c>
      <c r="S473" s="4">
        <f t="shared" si="425"/>
        <v>1.5706229684985125</v>
      </c>
      <c r="T473" s="4" t="str">
        <f t="shared" si="413"/>
        <v>1+36.6729436076782i</v>
      </c>
      <c r="U473" s="4">
        <f t="shared" si="426"/>
        <v>36.686575103870695</v>
      </c>
      <c r="V473" s="4">
        <f t="shared" si="427"/>
        <v>1.5435350228703979</v>
      </c>
      <c r="W473" t="str">
        <f t="shared" si="414"/>
        <v>1-557.339568505747i</v>
      </c>
      <c r="X473" s="4">
        <f t="shared" si="428"/>
        <v>557.34046562417507</v>
      </c>
      <c r="Y473" s="4">
        <f t="shared" si="429"/>
        <v>-1.5690020904201385</v>
      </c>
      <c r="Z473" t="str">
        <f t="shared" si="415"/>
        <v>-1.60108556155819+7.80275395908046i</v>
      </c>
      <c r="AA473" s="4">
        <f t="shared" si="430"/>
        <v>7.9653276342769423</v>
      </c>
      <c r="AB473" s="4">
        <f t="shared" si="431"/>
        <v>1.7731819860716911</v>
      </c>
      <c r="AC473" s="47" t="str">
        <f t="shared" si="432"/>
        <v>-7.15999221555319+1.65894751058106i</v>
      </c>
      <c r="AD473" s="20">
        <f t="shared" si="433"/>
        <v>17.325352473646134</v>
      </c>
      <c r="AE473" s="43">
        <f t="shared" si="434"/>
        <v>166.95493310101864</v>
      </c>
      <c r="AF473" t="str">
        <f t="shared" si="416"/>
        <v>247.084651286898</v>
      </c>
      <c r="AG473" t="str">
        <f t="shared" si="417"/>
        <v>1+5641.06807252781i</v>
      </c>
      <c r="AH473">
        <f t="shared" si="435"/>
        <v>5641.0681611635064</v>
      </c>
      <c r="AI473">
        <f t="shared" si="436"/>
        <v>1.5706190554029071</v>
      </c>
      <c r="AJ473" t="str">
        <f t="shared" si="418"/>
        <v>1+36.6729436076782i</v>
      </c>
      <c r="AK473">
        <f t="shared" si="437"/>
        <v>36.686575103870695</v>
      </c>
      <c r="AL473">
        <f t="shared" si="438"/>
        <v>1.5435350228703979</v>
      </c>
      <c r="AM473" t="str">
        <f t="shared" si="419"/>
        <v>1-36.4311150070702i</v>
      </c>
      <c r="AN473">
        <f t="shared" si="439"/>
        <v>36.444836954750876</v>
      </c>
      <c r="AO473">
        <f t="shared" si="440"/>
        <v>-1.5433541537262201</v>
      </c>
      <c r="AP473" s="41" t="str">
        <f t="shared" si="441"/>
        <v>0.0209739907673729-58.5635742188932i</v>
      </c>
      <c r="AQ473">
        <f t="shared" si="442"/>
        <v>35.352552046527386</v>
      </c>
      <c r="AR473" s="43">
        <f t="shared" si="443"/>
        <v>-89.979480058805066</v>
      </c>
      <c r="AS473" t="str">
        <f t="shared" si="420"/>
        <v>-0.0000166666666666667</v>
      </c>
      <c r="AT473" t="str">
        <f t="shared" si="421"/>
        <v>0.00757981813167818i</v>
      </c>
      <c r="AU473">
        <f t="shared" si="444"/>
        <v>7.57981813167818E-3</v>
      </c>
      <c r="AV473">
        <f t="shared" si="445"/>
        <v>1.5707963267948966</v>
      </c>
      <c r="AW473" t="str">
        <f t="shared" si="422"/>
        <v>1+7.70308853035943i</v>
      </c>
      <c r="AX473">
        <f t="shared" si="446"/>
        <v>7.7677263666117256</v>
      </c>
      <c r="AY473">
        <f t="shared" si="447"/>
        <v>1.4417002443721556</v>
      </c>
      <c r="AZ473" t="str">
        <f t="shared" si="423"/>
        <v>1+261.905010032221i</v>
      </c>
      <c r="BA473">
        <f t="shared" si="448"/>
        <v>261.90691911436363</v>
      </c>
      <c r="BB473">
        <f t="shared" si="449"/>
        <v>1.5669781671482959</v>
      </c>
      <c r="BC473" s="41" t="str">
        <f t="shared" si="450"/>
        <v>-0.00926362479882712+0.073557343383656i</v>
      </c>
      <c r="BD473">
        <f t="shared" si="451"/>
        <v>-22.599139644308082</v>
      </c>
      <c r="BE473" s="43">
        <f t="shared" si="452"/>
        <v>97.177896241238685</v>
      </c>
      <c r="BF473" s="41" t="str">
        <f t="shared" si="453"/>
        <v>-0.0557002902438647-0.542037873322721i</v>
      </c>
      <c r="BG473" s="20">
        <f t="shared" si="454"/>
        <v>-5.2737871706619472</v>
      </c>
      <c r="BH473" s="43">
        <f t="shared" si="455"/>
        <v>-95.867170657742648</v>
      </c>
      <c r="BI473" s="41" t="str">
        <f t="shared" si="409"/>
        <v>4.30758664341235+0.544053769483093i</v>
      </c>
      <c r="BJ473" s="20">
        <f t="shared" si="456"/>
        <v>12.753412402219308</v>
      </c>
      <c r="BK473" s="43">
        <f t="shared" si="410"/>
        <v>7.1984161824336299</v>
      </c>
      <c r="BL473">
        <f t="shared" si="457"/>
        <v>-5.2737871706619472</v>
      </c>
      <c r="BM473" s="43">
        <f t="shared" si="458"/>
        <v>-95.867170657742648</v>
      </c>
    </row>
    <row r="474" spans="14:65" x14ac:dyDescent="0.25">
      <c r="N474" s="9">
        <v>56</v>
      </c>
      <c r="O474" s="34">
        <f t="shared" si="408"/>
        <v>363078.05477010203</v>
      </c>
      <c r="P474" s="33" t="str">
        <f t="shared" si="411"/>
        <v>16.5157725627975</v>
      </c>
      <c r="Q474" s="4" t="str">
        <f t="shared" si="412"/>
        <v>1+5902.76325605938i</v>
      </c>
      <c r="R474" s="4">
        <f t="shared" si="424"/>
        <v>5902.7633407654712</v>
      </c>
      <c r="S474" s="4">
        <f t="shared" si="425"/>
        <v>1.570626914615032</v>
      </c>
      <c r="T474" s="4" t="str">
        <f t="shared" si="413"/>
        <v>1+37.5271662000445i</v>
      </c>
      <c r="U474" s="4">
        <f t="shared" si="426"/>
        <v>37.540487516889847</v>
      </c>
      <c r="V474" s="4">
        <f t="shared" si="427"/>
        <v>1.5441552689146583</v>
      </c>
      <c r="W474" t="str">
        <f t="shared" si="414"/>
        <v>1-570.321674772713i</v>
      </c>
      <c r="X474" s="4">
        <f t="shared" si="428"/>
        <v>570.32255147026433</v>
      </c>
      <c r="Y474" s="4">
        <f t="shared" si="429"/>
        <v>-1.5690429321416062</v>
      </c>
      <c r="Z474" t="str">
        <f t="shared" si="415"/>
        <v>-1.7236709474306+7.98450344681797i</v>
      </c>
      <c r="AA474" s="4">
        <f t="shared" si="430"/>
        <v>8.1684353965287837</v>
      </c>
      <c r="AB474" s="4">
        <f t="shared" si="431"/>
        <v>1.783410622904589</v>
      </c>
      <c r="AC474" s="47" t="str">
        <f t="shared" si="432"/>
        <v>-7.1281580748929+1.72423973479731i</v>
      </c>
      <c r="AD474" s="20">
        <f t="shared" si="433"/>
        <v>17.306501929576605</v>
      </c>
      <c r="AE474" s="43">
        <f t="shared" si="434"/>
        <v>166.4018467068272</v>
      </c>
      <c r="AF474" t="str">
        <f t="shared" si="416"/>
        <v>247.084651286898</v>
      </c>
      <c r="AG474" t="str">
        <f t="shared" si="417"/>
        <v>1+5772.46542759643i</v>
      </c>
      <c r="AH474">
        <f t="shared" si="435"/>
        <v>5772.465514214532</v>
      </c>
      <c r="AI474">
        <f t="shared" si="436"/>
        <v>1.5706230905923522</v>
      </c>
      <c r="AJ474" t="str">
        <f t="shared" si="418"/>
        <v>1+37.5271662000445i</v>
      </c>
      <c r="AK474">
        <f t="shared" si="437"/>
        <v>37.540487516889847</v>
      </c>
      <c r="AL474">
        <f t="shared" si="438"/>
        <v>1.5441552689146583</v>
      </c>
      <c r="AM474" t="str">
        <f t="shared" si="419"/>
        <v>1-37.2797046877093i</v>
      </c>
      <c r="AN474">
        <f t="shared" si="439"/>
        <v>37.293114399347438</v>
      </c>
      <c r="AO474">
        <f t="shared" si="440"/>
        <v>-1.5439785109047173</v>
      </c>
      <c r="AP474" s="41" t="str">
        <f t="shared" si="441"/>
        <v>0.0209736413292619-59.925677981701i</v>
      </c>
      <c r="AQ474">
        <f t="shared" si="442"/>
        <v>35.552259656293366</v>
      </c>
      <c r="AR474" s="43">
        <f t="shared" si="443"/>
        <v>-89.979946808770578</v>
      </c>
      <c r="AS474" t="str">
        <f t="shared" si="420"/>
        <v>-0.0000166666666666667</v>
      </c>
      <c r="AT474" t="str">
        <f t="shared" si="421"/>
        <v>0.00775637477690889i</v>
      </c>
      <c r="AU474">
        <f t="shared" si="444"/>
        <v>7.7563747769088904E-3</v>
      </c>
      <c r="AV474">
        <f t="shared" si="445"/>
        <v>1.5707963267948966</v>
      </c>
      <c r="AW474" t="str">
        <f t="shared" si="422"/>
        <v>1+7.88251651203509i</v>
      </c>
      <c r="AX474">
        <f t="shared" si="446"/>
        <v>7.9456948445372495</v>
      </c>
      <c r="AY474">
        <f t="shared" si="447"/>
        <v>1.4446073779241868</v>
      </c>
      <c r="AZ474" t="str">
        <f t="shared" si="423"/>
        <v>1+268.005561409193i</v>
      </c>
      <c r="BA474">
        <f t="shared" si="448"/>
        <v>268.00742703562662</v>
      </c>
      <c r="BB474">
        <f t="shared" si="449"/>
        <v>1.5670650782566233</v>
      </c>
      <c r="BC474" s="41" t="str">
        <f t="shared" si="450"/>
        <v>-0.00885329691419164+0.0719350292715837i</v>
      </c>
      <c r="BD474">
        <f t="shared" si="451"/>
        <v>-22.795901765998604</v>
      </c>
      <c r="BE474" s="43">
        <f t="shared" si="452"/>
        <v>97.016309397926406</v>
      </c>
      <c r="BF474" s="41" t="str">
        <f t="shared" si="453"/>
        <v>-0.0609255359055527-0.528029466093304i</v>
      </c>
      <c r="BG474" s="20">
        <f t="shared" si="454"/>
        <v>-5.4893998364220007</v>
      </c>
      <c r="BH474" s="43">
        <f t="shared" si="455"/>
        <v>-96.581843895246408</v>
      </c>
      <c r="BI474" s="41" t="str">
        <f t="shared" si="409"/>
        <v>4.3105697138591+0.532048559459187i</v>
      </c>
      <c r="BJ474" s="20">
        <f t="shared" si="456"/>
        <v>12.756357890294762</v>
      </c>
      <c r="BK474" s="43">
        <f t="shared" si="410"/>
        <v>7.0363625891558241</v>
      </c>
      <c r="BL474">
        <f t="shared" si="457"/>
        <v>-5.4893998364220007</v>
      </c>
      <c r="BM474" s="43">
        <f t="shared" si="458"/>
        <v>-96.581843895246408</v>
      </c>
    </row>
    <row r="475" spans="14:65" x14ac:dyDescent="0.25">
      <c r="N475" s="9">
        <v>57</v>
      </c>
      <c r="O475" s="34">
        <f t="shared" si="408"/>
        <v>371535.2290971732</v>
      </c>
      <c r="P475" s="33" t="str">
        <f t="shared" si="411"/>
        <v>16.5157725627975</v>
      </c>
      <c r="Q475" s="4" t="str">
        <f t="shared" si="412"/>
        <v>1+6040.25627501789i</v>
      </c>
      <c r="R475" s="4">
        <f t="shared" si="424"/>
        <v>6040.2563577958354</v>
      </c>
      <c r="S475" s="4">
        <f t="shared" si="425"/>
        <v>1.5706307709069784</v>
      </c>
      <c r="T475" s="4" t="str">
        <f t="shared" si="413"/>
        <v>1+38.4012861926607i</v>
      </c>
      <c r="U475" s="4">
        <f t="shared" si="426"/>
        <v>38.414304383271521</v>
      </c>
      <c r="V475" s="4">
        <f t="shared" si="427"/>
        <v>1.544761416247421</v>
      </c>
      <c r="W475" t="str">
        <f t="shared" si="414"/>
        <v>1-583.60617314074i</v>
      </c>
      <c r="X475" s="4">
        <f t="shared" si="428"/>
        <v>583.6070298822483</v>
      </c>
      <c r="Y475" s="4">
        <f t="shared" si="429"/>
        <v>-1.5690828441976443</v>
      </c>
      <c r="Z475" t="str">
        <f t="shared" si="415"/>
        <v>-1.85203360455142+8.17048642397035i</v>
      </c>
      <c r="AA475" s="4">
        <f t="shared" si="430"/>
        <v>8.3777608510073573</v>
      </c>
      <c r="AB475" s="4">
        <f t="shared" si="431"/>
        <v>1.7937031574856233</v>
      </c>
      <c r="AC475" s="47" t="str">
        <f t="shared" si="432"/>
        <v>-7.09475344976105+1.78940643100052i</v>
      </c>
      <c r="AD475" s="20">
        <f t="shared" si="433"/>
        <v>17.286581027216624</v>
      </c>
      <c r="AE475" s="43">
        <f t="shared" si="434"/>
        <v>165.84434985715615</v>
      </c>
      <c r="AF475" t="str">
        <f t="shared" si="416"/>
        <v>247.084651286898</v>
      </c>
      <c r="AG475" t="str">
        <f t="shared" si="417"/>
        <v>1+5906.92342024235i</v>
      </c>
      <c r="AH475">
        <f t="shared" si="435"/>
        <v>5906.923504888784</v>
      </c>
      <c r="AI475">
        <f t="shared" si="436"/>
        <v>1.5706270339296768</v>
      </c>
      <c r="AJ475" t="str">
        <f t="shared" si="418"/>
        <v>1+38.4012861926607i</v>
      </c>
      <c r="AK475">
        <f t="shared" si="437"/>
        <v>38.414304383271521</v>
      </c>
      <c r="AL475">
        <f t="shared" si="438"/>
        <v>1.544761416247421</v>
      </c>
      <c r="AM475" t="str">
        <f t="shared" si="419"/>
        <v>1-38.1480605612289i</v>
      </c>
      <c r="AN475">
        <f t="shared" si="439"/>
        <v>38.16116513660436</v>
      </c>
      <c r="AO475">
        <f t="shared" si="440"/>
        <v>-1.5445886761876566</v>
      </c>
      <c r="AP475" s="41" t="str">
        <f t="shared" si="441"/>
        <v>0.0209733076184567-61.319555132179i</v>
      </c>
      <c r="AQ475">
        <f t="shared" si="442"/>
        <v>35.751980416598393</v>
      </c>
      <c r="AR475" s="43">
        <f t="shared" si="443"/>
        <v>-89.980402956943891</v>
      </c>
      <c r="AS475" t="str">
        <f t="shared" si="420"/>
        <v>-0.0000166666666666667</v>
      </c>
      <c r="AT475" t="str">
        <f t="shared" si="421"/>
        <v>0.00793704395471406i</v>
      </c>
      <c r="AU475">
        <f t="shared" si="444"/>
        <v>7.9370439547140608E-3</v>
      </c>
      <c r="AV475">
        <f t="shared" si="445"/>
        <v>1.5707963267948966</v>
      </c>
      <c r="AW475" t="str">
        <f t="shared" si="422"/>
        <v>1+8.06612390830284i</v>
      </c>
      <c r="AX475">
        <f t="shared" si="446"/>
        <v>8.1278751776891038</v>
      </c>
      <c r="AY475">
        <f t="shared" si="447"/>
        <v>1.4474504105901271</v>
      </c>
      <c r="AZ475" t="str">
        <f t="shared" si="423"/>
        <v>1+274.248212882296i</v>
      </c>
      <c r="BA475">
        <f t="shared" si="448"/>
        <v>274.25003604217289</v>
      </c>
      <c r="BB475">
        <f t="shared" si="449"/>
        <v>1.5671500110810637</v>
      </c>
      <c r="BC475" s="41" t="str">
        <f t="shared" si="450"/>
        <v>-0.00846086454970675+0.0703462400084627i</v>
      </c>
      <c r="BD475">
        <f t="shared" si="451"/>
        <v>-22.992807357146567</v>
      </c>
      <c r="BE475" s="43">
        <f t="shared" si="452"/>
        <v>96.858281917532722</v>
      </c>
      <c r="BF475" s="41" t="str">
        <f t="shared" si="453"/>
        <v>-0.0658502663158563-0.514229154414829i</v>
      </c>
      <c r="BG475" s="20">
        <f t="shared" si="454"/>
        <v>-5.7062263299299438</v>
      </c>
      <c r="BH475" s="43">
        <f t="shared" si="455"/>
        <v>-97.297368225311132</v>
      </c>
      <c r="BI475" s="41" t="str">
        <f t="shared" si="409"/>
        <v>4.31342269022551+0.520291843553141i</v>
      </c>
      <c r="BJ475" s="20">
        <f t="shared" si="456"/>
        <v>12.759173059451838</v>
      </c>
      <c r="BK475" s="43">
        <f t="shared" si="410"/>
        <v>6.8778789605888351</v>
      </c>
      <c r="BL475">
        <f t="shared" si="457"/>
        <v>-5.7062263299299438</v>
      </c>
      <c r="BM475" s="43">
        <f t="shared" si="458"/>
        <v>-97.297368225311132</v>
      </c>
    </row>
    <row r="476" spans="14:65" x14ac:dyDescent="0.25">
      <c r="N476" s="9">
        <v>58</v>
      </c>
      <c r="O476" s="34">
        <f t="shared" si="408"/>
        <v>380189.39632056188</v>
      </c>
      <c r="P476" s="33" t="str">
        <f t="shared" si="411"/>
        <v>16.5157725627975</v>
      </c>
      <c r="Q476" s="4" t="str">
        <f t="shared" si="412"/>
        <v>1+6180.95191780566i</v>
      </c>
      <c r="R476" s="4">
        <f t="shared" si="424"/>
        <v>6180.9519986993482</v>
      </c>
      <c r="S476" s="4">
        <f t="shared" si="425"/>
        <v>1.570634539419008</v>
      </c>
      <c r="T476" s="4" t="str">
        <f t="shared" si="413"/>
        <v>1+39.2957670555174i</v>
      </c>
      <c r="U476" s="4">
        <f t="shared" si="426"/>
        <v>39.308489012953508</v>
      </c>
      <c r="V476" s="4">
        <f t="shared" si="427"/>
        <v>1.5453537844733463</v>
      </c>
      <c r="W476" t="str">
        <f t="shared" si="414"/>
        <v>1-597.200107226707i</v>
      </c>
      <c r="X476" s="4">
        <f t="shared" si="428"/>
        <v>597.2009444664252</v>
      </c>
      <c r="Y476" s="4">
        <f t="shared" si="429"/>
        <v>-1.5691218477496449</v>
      </c>
      <c r="Z476" t="str">
        <f t="shared" si="415"/>
        <v>-1.98644580732631+8.3608015011739i</v>
      </c>
      <c r="AA476" s="4">
        <f t="shared" si="430"/>
        <v>8.5935422665787833</v>
      </c>
      <c r="AB476" s="4">
        <f t="shared" si="431"/>
        <v>1.8040616574445061</v>
      </c>
      <c r="AC476" s="47" t="str">
        <f t="shared" si="432"/>
        <v>-7.05975635829654+1.85441821399506i</v>
      </c>
      <c r="AD476" s="20">
        <f t="shared" si="433"/>
        <v>17.265562829683265</v>
      </c>
      <c r="AE476" s="43">
        <f t="shared" si="434"/>
        <v>165.28234106793886</v>
      </c>
      <c r="AF476" t="str">
        <f t="shared" si="416"/>
        <v>247.084651286898</v>
      </c>
      <c r="AG476" t="str">
        <f t="shared" si="417"/>
        <v>1+6044.51334187306i</v>
      </c>
      <c r="AH476">
        <f t="shared" si="435"/>
        <v>6044.5134245927047</v>
      </c>
      <c r="AI476">
        <f t="shared" si="436"/>
        <v>1.5706308875056905</v>
      </c>
      <c r="AJ476" t="str">
        <f t="shared" si="418"/>
        <v>1+39.2957670555174i</v>
      </c>
      <c r="AK476">
        <f t="shared" si="437"/>
        <v>39.308489012953508</v>
      </c>
      <c r="AL476">
        <f t="shared" si="438"/>
        <v>1.5453537844733463</v>
      </c>
      <c r="AM476" t="str">
        <f t="shared" si="419"/>
        <v>1-39.0366430414073i</v>
      </c>
      <c r="AN476">
        <f t="shared" si="439"/>
        <v>39.049449419194801</v>
      </c>
      <c r="AO476">
        <f t="shared" si="440"/>
        <v>-1.5451849712743826</v>
      </c>
      <c r="AP476" s="41" t="str">
        <f t="shared" si="441"/>
        <v>0.0209729889271145-62.7459447224435i</v>
      </c>
      <c r="AQ476">
        <f t="shared" si="442"/>
        <v>35.951713736378814</v>
      </c>
      <c r="AR476" s="43">
        <f t="shared" si="443"/>
        <v>-89.980848743136121</v>
      </c>
      <c r="AS476" t="str">
        <f t="shared" si="420"/>
        <v>-0.0000166666666666667</v>
      </c>
      <c r="AT476" t="str">
        <f t="shared" si="421"/>
        <v>0.00812192145828323i</v>
      </c>
      <c r="AU476">
        <f t="shared" si="444"/>
        <v>8.1219214582832298E-3</v>
      </c>
      <c r="AV476">
        <f t="shared" si="445"/>
        <v>1.5707963267948966</v>
      </c>
      <c r="AW476" t="str">
        <f t="shared" si="422"/>
        <v>1+8.25400807023454i</v>
      </c>
      <c r="AX476">
        <f t="shared" si="446"/>
        <v>8.314364030008365</v>
      </c>
      <c r="AY476">
        <f t="shared" si="447"/>
        <v>1.4502306658472437</v>
      </c>
      <c r="AZ476" t="str">
        <f t="shared" si="423"/>
        <v>1+280.636274387974i</v>
      </c>
      <c r="BA476">
        <f t="shared" si="448"/>
        <v>280.63805604793208</v>
      </c>
      <c r="BB476">
        <f t="shared" si="449"/>
        <v>1.5672330106492203</v>
      </c>
      <c r="BC476" s="41" t="str">
        <f t="shared" si="450"/>
        <v>-0.00808557150988297+0.0687904320664371i</v>
      </c>
      <c r="BD476">
        <f t="shared" si="451"/>
        <v>-23.189850156393938</v>
      </c>
      <c r="BE476" s="43">
        <f t="shared" si="452"/>
        <v>96.703740550287691</v>
      </c>
      <c r="BF476" s="41" t="str">
        <f t="shared" si="453"/>
        <v>-0.0704840652952332-0.500637721249482i</v>
      </c>
      <c r="BG476" s="20">
        <f t="shared" si="454"/>
        <v>-5.9242873267106724</v>
      </c>
      <c r="BH476" s="43">
        <f t="shared" si="455"/>
        <v>-98.013918381773451</v>
      </c>
      <c r="BI476" s="41" t="str">
        <f t="shared" si="409"/>
        <v>4.31615106927192+0.508779563978502i</v>
      </c>
      <c r="BJ476" s="20">
        <f t="shared" si="456"/>
        <v>12.761863579984871</v>
      </c>
      <c r="BK476" s="43">
        <f t="shared" si="410"/>
        <v>6.7228918071515826</v>
      </c>
      <c r="BL476">
        <f t="shared" si="457"/>
        <v>-5.9242873267106724</v>
      </c>
      <c r="BM476" s="43">
        <f t="shared" si="458"/>
        <v>-98.013918381773451</v>
      </c>
    </row>
    <row r="477" spans="14:65" x14ac:dyDescent="0.25">
      <c r="N477" s="9">
        <v>59</v>
      </c>
      <c r="O477" s="34">
        <f t="shared" si="408"/>
        <v>389045.14499428123</v>
      </c>
      <c r="P477" s="33" t="str">
        <f t="shared" si="411"/>
        <v>16.5157725627975</v>
      </c>
      <c r="Q477" s="4" t="str">
        <f t="shared" si="412"/>
        <v>1+6324.92478311482i</v>
      </c>
      <c r="R477" s="4">
        <f t="shared" si="424"/>
        <v>6324.9248621671422</v>
      </c>
      <c r="S477" s="4">
        <f t="shared" si="425"/>
        <v>1.5706382221492354</v>
      </c>
      <c r="T477" s="4" t="str">
        <f t="shared" si="413"/>
        <v>1+40.2110830542079i</v>
      </c>
      <c r="U477" s="4">
        <f t="shared" si="426"/>
        <v>40.223515515086511</v>
      </c>
      <c r="V477" s="4">
        <f t="shared" si="427"/>
        <v>1.5459326860100591</v>
      </c>
      <c r="W477" t="str">
        <f t="shared" si="414"/>
        <v>1-611.110684714405i</v>
      </c>
      <c r="X477" s="4">
        <f t="shared" si="428"/>
        <v>611.11150289624629</v>
      </c>
      <c r="Y477" s="4">
        <f t="shared" si="429"/>
        <v>-1.5691599634773323</v>
      </c>
      <c r="Z477" t="str">
        <f t="shared" si="415"/>
        <v>-2.12719266205829+8.55554958600166i</v>
      </c>
      <c r="AA477" s="4">
        <f t="shared" si="430"/>
        <v>8.8160295677843461</v>
      </c>
      <c r="AB477" s="4">
        <f t="shared" si="431"/>
        <v>1.8144880656941715</v>
      </c>
      <c r="AC477" s="47" t="str">
        <f t="shared" si="432"/>
        <v>-7.02314516782504+1.91924339756334i</v>
      </c>
      <c r="AD477" s="20">
        <f t="shared" si="433"/>
        <v>17.243419368875937</v>
      </c>
      <c r="AE477" s="43">
        <f t="shared" si="434"/>
        <v>164.71572561933115</v>
      </c>
      <c r="AF477" t="str">
        <f t="shared" si="416"/>
        <v>247.084651286898</v>
      </c>
      <c r="AG477" t="str">
        <f t="shared" si="417"/>
        <v>1+6185.30814448623i</v>
      </c>
      <c r="AH477">
        <f t="shared" si="435"/>
        <v>6185.3082253229459</v>
      </c>
      <c r="AI477">
        <f t="shared" si="436"/>
        <v>1.5706346533636095</v>
      </c>
      <c r="AJ477" t="str">
        <f t="shared" si="418"/>
        <v>1+40.2110830542079i</v>
      </c>
      <c r="AK477">
        <f t="shared" si="437"/>
        <v>40.223515515086511</v>
      </c>
      <c r="AL477">
        <f t="shared" si="438"/>
        <v>1.5459326860100591</v>
      </c>
      <c r="AM477" t="str">
        <f t="shared" si="419"/>
        <v>1-39.9459232664374i</v>
      </c>
      <c r="AN477">
        <f t="shared" si="439"/>
        <v>39.958438227839999</v>
      </c>
      <c r="AO477">
        <f t="shared" si="440"/>
        <v>-1.5457677106312848</v>
      </c>
      <c r="AP477" s="41" t="str">
        <f t="shared" si="441"/>
        <v>0.0209726845792408-64.2056030431356i</v>
      </c>
      <c r="AQ477">
        <f t="shared" si="442"/>
        <v>36.15145905110203</v>
      </c>
      <c r="AR477" s="43">
        <f t="shared" si="443"/>
        <v>-89.981284401800522</v>
      </c>
      <c r="AS477" t="str">
        <f t="shared" si="420"/>
        <v>-0.0000166666666666667</v>
      </c>
      <c r="AT477" t="str">
        <f t="shared" si="421"/>
        <v>0.00831110531211591i</v>
      </c>
      <c r="AU477">
        <f t="shared" si="444"/>
        <v>8.3111053121159104E-3</v>
      </c>
      <c r="AV477">
        <f t="shared" si="445"/>
        <v>1.5707963267948966</v>
      </c>
      <c r="AW477" t="str">
        <f t="shared" si="422"/>
        <v>1+8.4462686164998i</v>
      </c>
      <c r="AX477">
        <f t="shared" si="446"/>
        <v>8.5052603453433129</v>
      </c>
      <c r="AY477">
        <f t="shared" si="447"/>
        <v>1.4529494458045875</v>
      </c>
      <c r="AZ477" t="str">
        <f t="shared" si="423"/>
        <v>1+287.173132960993i</v>
      </c>
      <c r="BA477">
        <f t="shared" si="448"/>
        <v>287.17487406566778</v>
      </c>
      <c r="BB477">
        <f t="shared" si="449"/>
        <v>1.5673141209639863</v>
      </c>
      <c r="BC477" s="41" t="str">
        <f t="shared" si="450"/>
        <v>-0.00772669144304697+0.0672670604375803i</v>
      </c>
      <c r="BD477">
        <f t="shared" si="451"/>
        <v>-23.387024167333447</v>
      </c>
      <c r="BE477" s="43">
        <f t="shared" si="452"/>
        <v>96.552613212018201</v>
      </c>
      <c r="BF477" s="41" t="str">
        <f t="shared" si="453"/>
        <v>-0.0748361859468097-0.487255732003064i</v>
      </c>
      <c r="BG477" s="20">
        <f t="shared" si="454"/>
        <v>-6.1436047984575115</v>
      </c>
      <c r="BH477" s="43">
        <f t="shared" si="455"/>
        <v>-98.731661168650632</v>
      </c>
      <c r="BI477" s="41" t="str">
        <f t="shared" si="409"/>
        <v>4.31876013087142+0.497507654470196i</v>
      </c>
      <c r="BJ477" s="20">
        <f t="shared" si="456"/>
        <v>12.76443488376859</v>
      </c>
      <c r="BK477" s="43">
        <f t="shared" si="410"/>
        <v>6.5713288102176826</v>
      </c>
      <c r="BL477">
        <f t="shared" si="457"/>
        <v>-6.1436047984575115</v>
      </c>
      <c r="BM477" s="43">
        <f t="shared" si="458"/>
        <v>-98.731661168650632</v>
      </c>
    </row>
    <row r="478" spans="14:65" x14ac:dyDescent="0.25">
      <c r="N478" s="9">
        <v>60</v>
      </c>
      <c r="O478" s="34">
        <f t="shared" si="408"/>
        <v>398107.17055349716</v>
      </c>
      <c r="P478" s="33" t="str">
        <f t="shared" si="411"/>
        <v>16.5157725627975</v>
      </c>
      <c r="Q478" s="4" t="str">
        <f t="shared" si="412"/>
        <v>1+6472.25120726425i</v>
      </c>
      <c r="R478" s="4">
        <f t="shared" si="424"/>
        <v>6472.2512845171223</v>
      </c>
      <c r="S478" s="4">
        <f t="shared" si="425"/>
        <v>1.5706418210502926</v>
      </c>
      <c r="T478" s="4" t="str">
        <f t="shared" si="413"/>
        <v>1+41.1477195013902i</v>
      </c>
      <c r="U478" s="4">
        <f t="shared" si="426"/>
        <v>41.15986904941618</v>
      </c>
      <c r="V478" s="4">
        <f t="shared" si="427"/>
        <v>1.5464984262458834</v>
      </c>
      <c r="W478" t="str">
        <f t="shared" si="414"/>
        <v>1-625.345281176143i</v>
      </c>
      <c r="X478" s="4">
        <f t="shared" si="428"/>
        <v>625.34608073391587</v>
      </c>
      <c r="Y478" s="4">
        <f t="shared" si="429"/>
        <v>-1.5691972115897266</v>
      </c>
      <c r="Z478" t="str">
        <f t="shared" si="415"/>
        <v>-2.27457271169651+8.75483393646599i</v>
      </c>
      <c r="AA478" s="4">
        <f t="shared" si="430"/>
        <v>9.0454849663183357</v>
      </c>
      <c r="AB478" s="4">
        <f t="shared" si="431"/>
        <v>1.8249841936498712</v>
      </c>
      <c r="AC478" s="47" t="str">
        <f t="shared" si="432"/>
        <v>-6.98489875540764+1.98384794494032i</v>
      </c>
      <c r="AD478" s="20">
        <f t="shared" si="433"/>
        <v>17.220121675383975</v>
      </c>
      <c r="AE478" s="43">
        <f t="shared" si="434"/>
        <v>164.14441595257736</v>
      </c>
      <c r="AF478" t="str">
        <f t="shared" si="416"/>
        <v>247.084651286898</v>
      </c>
      <c r="AG478" t="str">
        <f t="shared" si="417"/>
        <v>1+6329.38247934982i</v>
      </c>
      <c r="AH478">
        <f t="shared" si="435"/>
        <v>6329.3825583464677</v>
      </c>
      <c r="AI478">
        <f t="shared" si="436"/>
        <v>1.5706383335001413</v>
      </c>
      <c r="AJ478" t="str">
        <f t="shared" si="418"/>
        <v>1+41.1477195013902i</v>
      </c>
      <c r="AK478">
        <f t="shared" si="437"/>
        <v>41.15986904941618</v>
      </c>
      <c r="AL478">
        <f t="shared" si="438"/>
        <v>1.5464984262458834</v>
      </c>
      <c r="AM478" t="str">
        <f t="shared" si="419"/>
        <v>1-40.87638334873i</v>
      </c>
      <c r="AN478">
        <f t="shared" si="439"/>
        <v>40.888613521032134</v>
      </c>
      <c r="AO478">
        <f t="shared" si="440"/>
        <v>-1.5463372016504597</v>
      </c>
      <c r="AP478" s="41" t="str">
        <f t="shared" si="441"/>
        <v>0.0209723939292777-65.6993040244183i</v>
      </c>
      <c r="AQ478">
        <f t="shared" si="442"/>
        <v>36.351215821578911</v>
      </c>
      <c r="AR478" s="43">
        <f t="shared" si="443"/>
        <v>-89.981710162147664</v>
      </c>
      <c r="AS478" t="str">
        <f t="shared" si="420"/>
        <v>-0.0000166666666666667</v>
      </c>
      <c r="AT478" t="str">
        <f t="shared" si="421"/>
        <v>0.00850469582399554i</v>
      </c>
      <c r="AU478">
        <f t="shared" si="444"/>
        <v>8.5046958239955398E-3</v>
      </c>
      <c r="AV478">
        <f t="shared" si="445"/>
        <v>1.5707963267948966</v>
      </c>
      <c r="AW478" t="str">
        <f t="shared" si="422"/>
        <v>1+8.64300748618508i</v>
      </c>
      <c r="AX478">
        <f t="shared" si="446"/>
        <v>8.7006654002007995</v>
      </c>
      <c r="AY478">
        <f t="shared" si="447"/>
        <v>1.4556080311362134</v>
      </c>
      <c r="AZ478" t="str">
        <f t="shared" si="423"/>
        <v>1+293.862254530293i</v>
      </c>
      <c r="BA478">
        <f t="shared" si="448"/>
        <v>293.86395600281895</v>
      </c>
      <c r="BB478">
        <f t="shared" si="449"/>
        <v>1.5673933850268524</v>
      </c>
      <c r="BC478" s="41" t="str">
        <f t="shared" si="450"/>
        <v>-0.0073835268490524+0.0657755795075741i</v>
      </c>
      <c r="BD478">
        <f t="shared" si="451"/>
        <v>-23.584323648019762</v>
      </c>
      <c r="BE478" s="43">
        <f t="shared" si="452"/>
        <v>96.404828989309934</v>
      </c>
      <c r="BF478" s="41" t="str">
        <f t="shared" si="453"/>
        <v>-0.0789155607348945-0.474083558004575i</v>
      </c>
      <c r="BG478" s="20">
        <f t="shared" si="454"/>
        <v>-6.3642019726357848</v>
      </c>
      <c r="BH478" s="43">
        <f t="shared" si="455"/>
        <v>-99.450755058112676</v>
      </c>
      <c r="BI478" s="41" t="str">
        <f t="shared" si="409"/>
        <v>4.32125494521674+0.486472046592708i</v>
      </c>
      <c r="BJ478" s="20">
        <f t="shared" si="456"/>
        <v>12.766892173559143</v>
      </c>
      <c r="BK478" s="43">
        <f t="shared" si="410"/>
        <v>6.4231188271622779</v>
      </c>
      <c r="BL478">
        <f t="shared" si="457"/>
        <v>-6.3642019726357848</v>
      </c>
      <c r="BM478" s="43">
        <f t="shared" si="458"/>
        <v>-99.450755058112676</v>
      </c>
    </row>
    <row r="479" spans="14:65" x14ac:dyDescent="0.25">
      <c r="N479" s="9">
        <v>61</v>
      </c>
      <c r="O479" s="34">
        <f t="shared" si="408"/>
        <v>407380.27780411334</v>
      </c>
      <c r="P479" s="33" t="str">
        <f t="shared" si="411"/>
        <v>16.5157725627975</v>
      </c>
      <c r="Q479" s="4" t="str">
        <f t="shared" si="412"/>
        <v>1+6623.00930467416i</v>
      </c>
      <c r="R479" s="4">
        <f t="shared" si="424"/>
        <v>6623.0093801685434</v>
      </c>
      <c r="S479" s="4">
        <f t="shared" si="425"/>
        <v>1.570645338030364</v>
      </c>
      <c r="T479" s="4" t="str">
        <f t="shared" si="413"/>
        <v>1+42.1061730141067i</v>
      </c>
      <c r="U479" s="4">
        <f t="shared" si="426"/>
        <v>42.118046083524433</v>
      </c>
      <c r="V479" s="4">
        <f t="shared" si="427"/>
        <v>1.5470513036943756</v>
      </c>
      <c r="W479" t="str">
        <f t="shared" si="414"/>
        <v>1-639.911443983385i</v>
      </c>
      <c r="X479" s="4">
        <f t="shared" si="428"/>
        <v>639.91222534102349</v>
      </c>
      <c r="Y479" s="4">
        <f t="shared" si="429"/>
        <v>-1.5692336118358565</v>
      </c>
      <c r="Z479" t="str">
        <f t="shared" si="415"/>
        <v>-2.42889856908587+8.95876021576738i</v>
      </c>
      <c r="AA479" s="4">
        <f t="shared" si="430"/>
        <v>9.2821836257705979</v>
      </c>
      <c r="AB479" s="4">
        <f t="shared" si="431"/>
        <v>1.8355517143926077</v>
      </c>
      <c r="AC479" s="47" t="str">
        <f t="shared" si="432"/>
        <v>-6.94499667635052+2.04819542850065i</v>
      </c>
      <c r="AD479" s="20">
        <f t="shared" si="433"/>
        <v>17.195639811799232</v>
      </c>
      <c r="AE479" s="43">
        <f t="shared" si="434"/>
        <v>163.56833206989697</v>
      </c>
      <c r="AF479" t="str">
        <f t="shared" si="416"/>
        <v>247.084651286898</v>
      </c>
      <c r="AG479" t="str">
        <f t="shared" si="417"/>
        <v>1+6476.81273658326i</v>
      </c>
      <c r="AH479">
        <f t="shared" si="435"/>
        <v>6476.8128137817239</v>
      </c>
      <c r="AI479">
        <f t="shared" si="436"/>
        <v>1.5706419298665424</v>
      </c>
      <c r="AJ479" t="str">
        <f t="shared" si="418"/>
        <v>1+42.1061730141067i</v>
      </c>
      <c r="AK479">
        <f t="shared" si="437"/>
        <v>42.118046083524433</v>
      </c>
      <c r="AL479">
        <f t="shared" si="438"/>
        <v>1.5470513036943756</v>
      </c>
      <c r="AM479" t="str">
        <f t="shared" si="419"/>
        <v>1-41.8285166305371i</v>
      </c>
      <c r="AN479">
        <f t="shared" si="439"/>
        <v>41.840468490578814</v>
      </c>
      <c r="AO479">
        <f t="shared" si="440"/>
        <v>-1.5468937448051587</v>
      </c>
      <c r="AP479" s="41" t="str">
        <f t="shared" si="441"/>
        <v>0.0209721163607173-67.2278396463237i</v>
      </c>
      <c r="AQ479">
        <f t="shared" si="442"/>
        <v>36.550983532828731</v>
      </c>
      <c r="AR479" s="43">
        <f t="shared" si="443"/>
        <v>-89.982126248258623</v>
      </c>
      <c r="AS479" t="str">
        <f t="shared" si="420"/>
        <v>-0.0000166666666666667</v>
      </c>
      <c r="AT479" t="str">
        <f t="shared" si="421"/>
        <v>0.00870279563817405i</v>
      </c>
      <c r="AU479">
        <f t="shared" si="444"/>
        <v>8.7027956381740493E-3</v>
      </c>
      <c r="AV479">
        <f t="shared" si="445"/>
        <v>1.5707963267948966</v>
      </c>
      <c r="AW479" t="str">
        <f t="shared" si="422"/>
        <v>1+8.8443289928433i</v>
      </c>
      <c r="AX479">
        <f t="shared" si="446"/>
        <v>8.9006828577165127</v>
      </c>
      <c r="AY479">
        <f t="shared" si="447"/>
        <v>1.4582076810495439</v>
      </c>
      <c r="AZ479" t="str">
        <f t="shared" si="423"/>
        <v>1+300.707185756672i</v>
      </c>
      <c r="BA479">
        <f t="shared" si="448"/>
        <v>300.70884849917144</v>
      </c>
      <c r="BB479">
        <f t="shared" si="449"/>
        <v>1.5674708448606878</v>
      </c>
      <c r="BC479" s="41" t="str">
        <f t="shared" si="450"/>
        <v>-0.00705540810300065+0.0643154438622151i</v>
      </c>
      <c r="BD479">
        <f t="shared" si="451"/>
        <v>-23.781743100832298</v>
      </c>
      <c r="BE479" s="43">
        <f t="shared" si="452"/>
        <v>96.260318142625096</v>
      </c>
      <c r="BF479" s="41" t="str">
        <f t="shared" si="453"/>
        <v>-0.0827308122749431-0.461121398483865i</v>
      </c>
      <c r="BG479" s="20">
        <f t="shared" si="454"/>
        <v>-6.586103289033062</v>
      </c>
      <c r="BH479" s="43">
        <f t="shared" si="455"/>
        <v>-100.17134978747792</v>
      </c>
      <c r="BI479" s="41" t="str">
        <f t="shared" si="409"/>
        <v>4.32364037991142+0.47566867556037i</v>
      </c>
      <c r="BJ479" s="20">
        <f t="shared" si="456"/>
        <v>12.769240431996426</v>
      </c>
      <c r="BK479" s="43">
        <f t="shared" si="410"/>
        <v>6.2781918943664783</v>
      </c>
      <c r="BL479">
        <f t="shared" si="457"/>
        <v>-6.586103289033062</v>
      </c>
      <c r="BM479" s="43">
        <f t="shared" si="458"/>
        <v>-100.17134978747792</v>
      </c>
    </row>
    <row r="480" spans="14:65" x14ac:dyDescent="0.25">
      <c r="N480" s="9">
        <v>62</v>
      </c>
      <c r="O480" s="34">
        <f t="shared" si="408"/>
        <v>416869.38347033598</v>
      </c>
      <c r="P480" s="33" t="str">
        <f t="shared" si="411"/>
        <v>16.5157725627975</v>
      </c>
      <c r="Q480" s="4" t="str">
        <f t="shared" si="412"/>
        <v>1+6777.27900928331i</v>
      </c>
      <c r="R480" s="4">
        <f t="shared" si="424"/>
        <v>6777.2790830592303</v>
      </c>
      <c r="S480" s="4">
        <f t="shared" si="425"/>
        <v>1.5706487749541986</v>
      </c>
      <c r="T480" s="4" t="str">
        <f t="shared" si="413"/>
        <v>1+43.0869517770965i</v>
      </c>
      <c r="U480" s="4">
        <f t="shared" si="426"/>
        <v>43.098554656065204</v>
      </c>
      <c r="V480" s="4">
        <f t="shared" si="427"/>
        <v>1.5475916101457026</v>
      </c>
      <c r="W480" t="str">
        <f t="shared" si="414"/>
        <v>1-654.816896308457i</v>
      </c>
      <c r="X480" s="4">
        <f t="shared" si="428"/>
        <v>654.81765988024529</v>
      </c>
      <c r="Y480" s="4">
        <f t="shared" si="429"/>
        <v>-1.5692691835152279</v>
      </c>
      <c r="Z480" t="str">
        <f t="shared" si="415"/>
        <v>-2.59049758006071+9.1674365483184i</v>
      </c>
      <c r="AA480" s="4">
        <f t="shared" si="430"/>
        <v>9.526414361119528</v>
      </c>
      <c r="AB480" s="4">
        <f t="shared" si="431"/>
        <v>1.8461921557989212</v>
      </c>
      <c r="AC480" s="47" t="str">
        <f t="shared" si="432"/>
        <v>-6.90341934036338+2.11224699960942i</v>
      </c>
      <c r="AD480" s="20">
        <f t="shared" si="433"/>
        <v>17.169942909632095</v>
      </c>
      <c r="AE480" s="43">
        <f t="shared" si="434"/>
        <v>162.98740193613531</v>
      </c>
      <c r="AF480" t="str">
        <f t="shared" si="416"/>
        <v>247.084651286898</v>
      </c>
      <c r="AG480" t="str">
        <f t="shared" si="417"/>
        <v>1+6627.6770856604i</v>
      </c>
      <c r="AH480">
        <f t="shared" si="435"/>
        <v>6627.677161101612</v>
      </c>
      <c r="AI480">
        <f t="shared" si="436"/>
        <v>1.5706454443696536</v>
      </c>
      <c r="AJ480" t="str">
        <f t="shared" si="418"/>
        <v>1+43.0869517770965i</v>
      </c>
      <c r="AK480">
        <f t="shared" si="437"/>
        <v>43.098554656065204</v>
      </c>
      <c r="AL480">
        <f t="shared" si="438"/>
        <v>1.5475916101457026</v>
      </c>
      <c r="AM480" t="str">
        <f t="shared" si="419"/>
        <v>1-42.8028279455277i</v>
      </c>
      <c r="AN480">
        <f t="shared" si="439"/>
        <v>42.81450782310182</v>
      </c>
      <c r="AO480">
        <f t="shared" si="440"/>
        <v>-1.5474376338020686</v>
      </c>
      <c r="AP480" s="41" t="str">
        <f t="shared" si="441"/>
        <v>0.0209718512847999-68.7920203586718i</v>
      </c>
      <c r="AQ480">
        <f t="shared" si="442"/>
        <v>36.750761692994843</v>
      </c>
      <c r="AR480" s="43">
        <f t="shared" si="443"/>
        <v>-89.982532879195801</v>
      </c>
      <c r="AS480" t="str">
        <f t="shared" si="420"/>
        <v>-0.0000166666666666667</v>
      </c>
      <c r="AT480" t="str">
        <f t="shared" si="421"/>
        <v>0.00890550978979501i</v>
      </c>
      <c r="AU480">
        <f t="shared" si="444"/>
        <v>8.9055097897950096E-3</v>
      </c>
      <c r="AV480">
        <f t="shared" si="445"/>
        <v>1.5707963267948966</v>
      </c>
      <c r="AW480" t="str">
        <f t="shared" si="422"/>
        <v>1+9.05033987980207i</v>
      </c>
      <c r="AX480">
        <f t="shared" si="446"/>
        <v>9.1054188228733199</v>
      </c>
      <c r="AY480">
        <f t="shared" si="447"/>
        <v>1.4607496332861707</v>
      </c>
      <c r="AZ480" t="str">
        <f t="shared" si="423"/>
        <v>1+307.71155591327i</v>
      </c>
      <c r="BA480">
        <f t="shared" si="448"/>
        <v>307.71318080733153</v>
      </c>
      <c r="BB480">
        <f t="shared" si="449"/>
        <v>1.5675465415320016</v>
      </c>
      <c r="BC480" s="41" t="str">
        <f t="shared" si="450"/>
        <v>-0.00674169249649768+0.0628861090305403i</v>
      </c>
      <c r="BD480">
        <f t="shared" si="451"/>
        <v>-23.979277262683382</v>
      </c>
      <c r="BE480" s="43">
        <f t="shared" si="452"/>
        <v>96.119012107532015</v>
      </c>
      <c r="BF480" s="41" t="str">
        <f t="shared" si="453"/>
        <v>-0.0862902647497648-0.448369301069649i</v>
      </c>
      <c r="BG480" s="20">
        <f t="shared" si="454"/>
        <v>-6.8093343530512831</v>
      </c>
      <c r="BH480" s="43">
        <f t="shared" si="455"/>
        <v>-100.89358595633263</v>
      </c>
      <c r="BI480" s="41" t="str">
        <f t="shared" si="409"/>
        <v>4.32592110693414+0.465093485597442i</v>
      </c>
      <c r="BJ480" s="20">
        <f t="shared" si="456"/>
        <v>12.77148443031146</v>
      </c>
      <c r="BK480" s="43">
        <f t="shared" si="410"/>
        <v>6.1364792283362286</v>
      </c>
      <c r="BL480">
        <f t="shared" si="457"/>
        <v>-6.8093343530512831</v>
      </c>
      <c r="BM480" s="43">
        <f t="shared" si="458"/>
        <v>-100.89358595633263</v>
      </c>
    </row>
    <row r="481" spans="14:65" x14ac:dyDescent="0.25">
      <c r="N481" s="9">
        <v>63</v>
      </c>
      <c r="O481" s="34">
        <f t="shared" si="408"/>
        <v>426579.51880159322</v>
      </c>
      <c r="P481" s="33" t="str">
        <f t="shared" si="411"/>
        <v>16.5157725627975</v>
      </c>
      <c r="Q481" s="4" t="str">
        <f t="shared" si="412"/>
        <v>1+6935.14211693107i</v>
      </c>
      <c r="R481" s="4">
        <f t="shared" si="424"/>
        <v>6935.1421890276451</v>
      </c>
      <c r="S481" s="4">
        <f t="shared" si="425"/>
        <v>1.5706521336440991</v>
      </c>
      <c r="T481" s="4" t="str">
        <f t="shared" si="413"/>
        <v>1+44.0905758122416i</v>
      </c>
      <c r="U481" s="4">
        <f t="shared" si="426"/>
        <v>44.10191464613554</v>
      </c>
      <c r="V481" s="4">
        <f t="shared" si="427"/>
        <v>1.5481196308149152</v>
      </c>
      <c r="W481" t="str">
        <f t="shared" si="414"/>
        <v>1-670.069541219478i</v>
      </c>
      <c r="X481" s="4">
        <f t="shared" si="428"/>
        <v>670.07028741026988</v>
      </c>
      <c r="Y481" s="4">
        <f t="shared" si="429"/>
        <v>-1.569303945488056</v>
      </c>
      <c r="Z481" t="str">
        <f t="shared" si="415"/>
        <v>-2.75971251778924+9.38097357707268i</v>
      </c>
      <c r="AA481" s="4">
        <f t="shared" si="430"/>
        <v>9.778480374504948</v>
      </c>
      <c r="AB481" s="4">
        <f t="shared" si="431"/>
        <v>1.8569068936620459</v>
      </c>
      <c r="AC481" s="47" t="str">
        <f t="shared" si="432"/>
        <v>-6.86014819495447+2.17596136961393i</v>
      </c>
      <c r="AD481" s="20">
        <f t="shared" si="433"/>
        <v>17.142999210023319</v>
      </c>
      <c r="AE481" s="43">
        <f t="shared" si="434"/>
        <v>162.40156188074414</v>
      </c>
      <c r="AF481" t="str">
        <f t="shared" si="416"/>
        <v>247.084651286898</v>
      </c>
      <c r="AG481" t="str">
        <f t="shared" si="417"/>
        <v>1+6782.05551685601i</v>
      </c>
      <c r="AH481">
        <f t="shared" si="435"/>
        <v>6782.055590579972</v>
      </c>
      <c r="AI481">
        <f t="shared" si="436"/>
        <v>1.5706488788729107</v>
      </c>
      <c r="AJ481" t="str">
        <f t="shared" si="418"/>
        <v>1+44.0905758122416i</v>
      </c>
      <c r="AK481">
        <f t="shared" si="437"/>
        <v>44.10191464613554</v>
      </c>
      <c r="AL481">
        <f t="shared" si="438"/>
        <v>1.5481196308149152</v>
      </c>
      <c r="AM481" t="str">
        <f t="shared" si="419"/>
        <v>1-43.7998338864573i</v>
      </c>
      <c r="AN481">
        <f t="shared" si="439"/>
        <v>43.811247967631026</v>
      </c>
      <c r="AO481">
        <f t="shared" si="440"/>
        <v>-1.5479691557304716</v>
      </c>
      <c r="AP481" s="41" t="str">
        <f t="shared" si="441"/>
        <v>0.0209715981392631-70.3926755107802i</v>
      </c>
      <c r="AQ481">
        <f t="shared" si="442"/>
        <v>36.950549832308482</v>
      </c>
      <c r="AR481" s="43">
        <f t="shared" si="443"/>
        <v>-89.982930269111733</v>
      </c>
      <c r="AS481" t="str">
        <f t="shared" si="420"/>
        <v>-0.0000166666666666667</v>
      </c>
      <c r="AT481" t="str">
        <f t="shared" si="421"/>
        <v>0.00911294576058489i</v>
      </c>
      <c r="AU481">
        <f t="shared" si="444"/>
        <v>9.1129457605848892E-3</v>
      </c>
      <c r="AV481">
        <f t="shared" si="445"/>
        <v>1.5707963267948966</v>
      </c>
      <c r="AW481" t="str">
        <f t="shared" si="422"/>
        <v>1+9.26114937676049i</v>
      </c>
      <c r="AX481">
        <f t="shared" si="446"/>
        <v>9.3149818989985818</v>
      </c>
      <c r="AY481">
        <f t="shared" si="447"/>
        <v>1.4632351041525498</v>
      </c>
      <c r="AZ481" t="str">
        <f t="shared" si="423"/>
        <v>1+314.879078809857i</v>
      </c>
      <c r="BA481">
        <f t="shared" si="448"/>
        <v>314.88066671700267</v>
      </c>
      <c r="BB481">
        <f t="shared" si="449"/>
        <v>1.567620515172699</v>
      </c>
      <c r="BC481" s="41" t="str">
        <f t="shared" si="450"/>
        <v>-0.00644176329773813+0.0614870321682068i</v>
      </c>
      <c r="BD481">
        <f t="shared" si="451"/>
        <v>-24.176921095566382</v>
      </c>
      <c r="BE481" s="43">
        <f t="shared" si="452"/>
        <v>95.980843494192939</v>
      </c>
      <c r="BF481" s="41" t="str">
        <f t="shared" si="453"/>
        <v>-0.0896019558709249-0.435827180829906i</v>
      </c>
      <c r="BG481" s="20">
        <f t="shared" si="454"/>
        <v>-7.0339218855430721</v>
      </c>
      <c r="BH481" s="43">
        <f t="shared" si="455"/>
        <v>-101.61759462506291</v>
      </c>
      <c r="BI481" s="41" t="str">
        <f t="shared" si="409"/>
        <v>4.3281016094663+0.454742434864341i</v>
      </c>
      <c r="BJ481" s="20">
        <f t="shared" si="456"/>
        <v>12.773628736742111</v>
      </c>
      <c r="BK481" s="43">
        <f t="shared" si="410"/>
        <v>5.9979132250811995</v>
      </c>
      <c r="BL481">
        <f t="shared" si="457"/>
        <v>-7.0339218855430721</v>
      </c>
      <c r="BM481" s="43">
        <f t="shared" si="458"/>
        <v>-101.61759462506291</v>
      </c>
    </row>
    <row r="482" spans="14:65" x14ac:dyDescent="0.25">
      <c r="N482" s="9">
        <v>64</v>
      </c>
      <c r="O482" s="34">
        <f t="shared" si="408"/>
        <v>436515.83224016649</v>
      </c>
      <c r="P482" s="33" t="str">
        <f t="shared" si="411"/>
        <v>16.5157725627975</v>
      </c>
      <c r="Q482" s="4" t="str">
        <f t="shared" si="412"/>
        <v>1+7096.68232872666i</v>
      </c>
      <c r="R482" s="4">
        <f t="shared" si="424"/>
        <v>7096.6823991821166</v>
      </c>
      <c r="S482" s="4">
        <f t="shared" si="425"/>
        <v>1.5706554158808863</v>
      </c>
      <c r="T482" s="4" t="str">
        <f t="shared" si="413"/>
        <v>1+45.1175772542901i</v>
      </c>
      <c r="U482" s="4">
        <f t="shared" si="426"/>
        <v>45.128658048925352</v>
      </c>
      <c r="V482" s="4">
        <f t="shared" si="427"/>
        <v>1.5486356444871652</v>
      </c>
      <c r="W482" t="str">
        <f t="shared" si="414"/>
        <v>1-685.67746587067i</v>
      </c>
      <c r="X482" s="4">
        <f t="shared" si="428"/>
        <v>685.67819507610398</v>
      </c>
      <c r="Y482" s="4">
        <f t="shared" si="429"/>
        <v>-1.5693379161852625</v>
      </c>
      <c r="Z482" t="str">
        <f t="shared" si="415"/>
        <v>-2.93690230984142+9.59948452218937i</v>
      </c>
      <c r="AA482" s="4">
        <f t="shared" si="430"/>
        <v>10.038700028853594</v>
      </c>
      <c r="AB482" s="4">
        <f t="shared" si="431"/>
        <v>1.8676971448325037</v>
      </c>
      <c r="AC482" s="47" t="str">
        <f t="shared" si="432"/>
        <v>-6.81516591554091+2.23929480296892i</v>
      </c>
      <c r="AD482" s="20">
        <f t="shared" si="433"/>
        <v>17.114776108433347</v>
      </c>
      <c r="AE482" s="43">
        <f t="shared" si="434"/>
        <v>161.8107569984895</v>
      </c>
      <c r="AF482" t="str">
        <f t="shared" si="416"/>
        <v>247.084651286898</v>
      </c>
      <c r="AG482" t="str">
        <f t="shared" si="417"/>
        <v>1+6940.02988365777i</v>
      </c>
      <c r="AH482">
        <f t="shared" si="435"/>
        <v>6940.0299557035696</v>
      </c>
      <c r="AI482">
        <f t="shared" si="436"/>
        <v>1.5706522351973324</v>
      </c>
      <c r="AJ482" t="str">
        <f t="shared" si="418"/>
        <v>1+45.1175772542901i</v>
      </c>
      <c r="AK482">
        <f t="shared" si="437"/>
        <v>45.128658048925352</v>
      </c>
      <c r="AL482">
        <f t="shared" si="438"/>
        <v>1.5486356444871652</v>
      </c>
      <c r="AM482" t="str">
        <f t="shared" si="419"/>
        <v>1-44.8200630790728i</v>
      </c>
      <c r="AN482">
        <f t="shared" si="439"/>
        <v>44.831217409435418</v>
      </c>
      <c r="AO482">
        <f t="shared" si="440"/>
        <v>-1.5484885912083355</v>
      </c>
      <c r="AP482" s="41" t="str">
        <f t="shared" si="441"/>
        <v>0.0209713563871522-72.0306537911982i</v>
      </c>
      <c r="AQ482">
        <f t="shared" si="442"/>
        <v>37.150347502099279</v>
      </c>
      <c r="AR482" s="43">
        <f t="shared" si="443"/>
        <v>-89.983318627355771</v>
      </c>
      <c r="AS482" t="str">
        <f t="shared" si="420"/>
        <v>-0.0000166666666666667</v>
      </c>
      <c r="AT482" t="str">
        <f t="shared" si="421"/>
        <v>0.00932521353584112i</v>
      </c>
      <c r="AU482">
        <f t="shared" si="444"/>
        <v>9.3252135358411203E-3</v>
      </c>
      <c r="AV482">
        <f t="shared" si="445"/>
        <v>1.5707963267948966</v>
      </c>
      <c r="AW482" t="str">
        <f t="shared" si="422"/>
        <v>1+9.47686925770427i</v>
      </c>
      <c r="AX482">
        <f t="shared" si="446"/>
        <v>9.5294832455711003</v>
      </c>
      <c r="AY482">
        <f t="shared" si="447"/>
        <v>1.4656652885781922</v>
      </c>
      <c r="AZ482" t="str">
        <f t="shared" si="423"/>
        <v>1+322.213554761945i</v>
      </c>
      <c r="BA482">
        <f t="shared" si="448"/>
        <v>322.21510652408728</v>
      </c>
      <c r="BB482">
        <f t="shared" si="449"/>
        <v>1.567692805001343</v>
      </c>
      <c r="BC482" s="41" t="str">
        <f t="shared" si="450"/>
        <v>-0.00615502883149871+0.060117672684628i</v>
      </c>
      <c r="BD482">
        <f t="shared" si="451"/>
        <v>-24.37466977743561</v>
      </c>
      <c r="BE482" s="43">
        <f t="shared" si="452"/>
        <v>95.845746085248209</v>
      </c>
      <c r="BF482" s="41" t="str">
        <f t="shared" si="453"/>
        <v>-0.0926736493076725-0.42349483787642i</v>
      </c>
      <c r="BG482" s="20">
        <f t="shared" si="454"/>
        <v>-7.259893669002274</v>
      </c>
      <c r="BH482" s="43">
        <f t="shared" si="455"/>
        <v>-102.3434969162623</v>
      </c>
      <c r="BI482" s="41" t="str">
        <f t="shared" si="409"/>
        <v>4.33018618857581+0.444611499975562i</v>
      </c>
      <c r="BJ482" s="20">
        <f t="shared" si="456"/>
        <v>12.775677724663668</v>
      </c>
      <c r="BK482" s="43">
        <f t="shared" si="410"/>
        <v>5.8624274578924362</v>
      </c>
      <c r="BL482">
        <f t="shared" si="457"/>
        <v>-7.259893669002274</v>
      </c>
      <c r="BM482" s="43">
        <f t="shared" si="458"/>
        <v>-102.3434969162623</v>
      </c>
    </row>
    <row r="483" spans="14:65" x14ac:dyDescent="0.25">
      <c r="N483" s="9">
        <v>65</v>
      </c>
      <c r="O483" s="34">
        <f t="shared" si="408"/>
        <v>446683.59215096442</v>
      </c>
      <c r="P483" s="33" t="str">
        <f t="shared" si="411"/>
        <v>16.5157725627975</v>
      </c>
      <c r="Q483" s="4" t="str">
        <f t="shared" si="412"/>
        <v>1+7261.98529542868i</v>
      </c>
      <c r="R483" s="4">
        <f t="shared" si="424"/>
        <v>7261.9853642803746</v>
      </c>
      <c r="S483" s="4">
        <f t="shared" si="425"/>
        <v>1.5706586234048459</v>
      </c>
      <c r="T483" s="4" t="str">
        <f t="shared" si="413"/>
        <v>1+46.1685006330008i</v>
      </c>
      <c r="U483" s="4">
        <f t="shared" si="426"/>
        <v>46.179329257790158</v>
      </c>
      <c r="V483" s="4">
        <f t="shared" si="427"/>
        <v>1.5491399236599093</v>
      </c>
      <c r="W483" t="str">
        <f t="shared" si="414"/>
        <v>1-701.648945790285i</v>
      </c>
      <c r="X483" s="4">
        <f t="shared" si="428"/>
        <v>701.64965839699391</v>
      </c>
      <c r="Y483" s="4">
        <f t="shared" si="429"/>
        <v>-1.5693711136182473</v>
      </c>
      <c r="Z483" t="str">
        <f t="shared" si="415"/>
        <v>-3.12244279952251+9.82308524106398i</v>
      </c>
      <c r="AA483" s="4">
        <f t="shared" si="430"/>
        <v>10.307407660973682</v>
      </c>
      <c r="AB483" s="4">
        <f t="shared" si="431"/>
        <v>1.878563960409303</v>
      </c>
      <c r="AC483" s="47" t="str">
        <f t="shared" si="432"/>
        <v>-6.76845660163509+2.30220112349386i</v>
      </c>
      <c r="AD483" s="20">
        <f t="shared" si="433"/>
        <v>17.085240203476911</v>
      </c>
      <c r="AE483" s="43">
        <f t="shared" si="434"/>
        <v>161.21494154710015</v>
      </c>
      <c r="AF483" t="str">
        <f t="shared" si="416"/>
        <v>247.084651286898</v>
      </c>
      <c r="AG483" t="str">
        <f t="shared" si="417"/>
        <v>1+7101.68394616604i</v>
      </c>
      <c r="AH483">
        <f t="shared" si="435"/>
        <v>7101.6840165718768</v>
      </c>
      <c r="AI483">
        <f t="shared" si="436"/>
        <v>1.5706555151224861</v>
      </c>
      <c r="AJ483" t="str">
        <f t="shared" si="418"/>
        <v>1+46.1685006330008i</v>
      </c>
      <c r="AK483">
        <f t="shared" si="437"/>
        <v>46.179329257790158</v>
      </c>
      <c r="AL483">
        <f t="shared" si="438"/>
        <v>1.5491399236599093</v>
      </c>
      <c r="AM483" t="str">
        <f t="shared" si="419"/>
        <v>1-45.8640564623967i</v>
      </c>
      <c r="AN483">
        <f t="shared" si="439"/>
        <v>45.874956950234974</v>
      </c>
      <c r="AO483">
        <f t="shared" si="440"/>
        <v>-1.5489962145253795</v>
      </c>
      <c r="AP483" s="41" t="str">
        <f t="shared" si="441"/>
        <v>0.0209711255156796-73.7068236776919i</v>
      </c>
      <c r="AQ483">
        <f t="shared" si="442"/>
        <v>37.350154273849434</v>
      </c>
      <c r="AR483" s="43">
        <f t="shared" si="443"/>
        <v>-89.983698158578662</v>
      </c>
      <c r="AS483" t="str">
        <f t="shared" si="420"/>
        <v>-0.0000166666666666667</v>
      </c>
      <c r="AT483" t="str">
        <f t="shared" si="421"/>
        <v>0.00954242566274787i</v>
      </c>
      <c r="AU483">
        <f t="shared" si="444"/>
        <v>9.5424256627478707E-3</v>
      </c>
      <c r="AV483">
        <f t="shared" si="445"/>
        <v>1.5707963267948966</v>
      </c>
      <c r="AW483" t="str">
        <f t="shared" si="422"/>
        <v>1+9.69761390016973i</v>
      </c>
      <c r="AX483">
        <f t="shared" si="446"/>
        <v>9.7490366373691071</v>
      </c>
      <c r="AY483">
        <f t="shared" si="447"/>
        <v>1.4680413601990849</v>
      </c>
      <c r="AZ483" t="str">
        <f t="shared" si="423"/>
        <v>1+329.718872605771i</v>
      </c>
      <c r="BA483">
        <f t="shared" si="448"/>
        <v>329.72038904565892</v>
      </c>
      <c r="BB483">
        <f t="shared" si="449"/>
        <v>1.5677634493439339</v>
      </c>
      <c r="BC483" s="41" t="str">
        <f t="shared" si="450"/>
        <v>-0.00588092157992871+0.0587774928172046i</v>
      </c>
      <c r="BD483">
        <f t="shared" si="451"/>
        <v>-24.572518693411347</v>
      </c>
      <c r="BE483" s="43">
        <f t="shared" si="452"/>
        <v>95.713654832227192</v>
      </c>
      <c r="BF483" s="41" t="str">
        <f t="shared" si="453"/>
        <v>-0.095512847508554-0.411371973554659i</v>
      </c>
      <c r="BG483" s="20">
        <f t="shared" si="454"/>
        <v>-7.4872784899344333</v>
      </c>
      <c r="BH483" s="43">
        <f t="shared" si="455"/>
        <v>-103.07140362067263</v>
      </c>
      <c r="BI483" s="41" t="str">
        <f t="shared" si="409"/>
        <v>4.3321789697499+0.434696680133505i</v>
      </c>
      <c r="BJ483" s="20">
        <f t="shared" si="456"/>
        <v>12.77763558043808</v>
      </c>
      <c r="BK483" s="43">
        <f t="shared" si="410"/>
        <v>5.7299566736485374</v>
      </c>
      <c r="BL483">
        <f t="shared" si="457"/>
        <v>-7.4872784899344333</v>
      </c>
      <c r="BM483" s="43">
        <f t="shared" si="458"/>
        <v>-103.07140362067263</v>
      </c>
    </row>
    <row r="484" spans="14:65" x14ac:dyDescent="0.25">
      <c r="N484" s="9">
        <v>66</v>
      </c>
      <c r="O484" s="34">
        <f t="shared" ref="O484:O518" si="459">10^(5+(N484/100))</f>
        <v>457088.18961487547</v>
      </c>
      <c r="P484" s="33" t="str">
        <f t="shared" si="411"/>
        <v>16.5157725627975</v>
      </c>
      <c r="Q484" s="4" t="str">
        <f t="shared" si="412"/>
        <v>1+7431.13866285803i</v>
      </c>
      <c r="R484" s="4">
        <f t="shared" si="424"/>
        <v>7431.1387301424684</v>
      </c>
      <c r="S484" s="4">
        <f t="shared" si="425"/>
        <v>1.5706617579166489</v>
      </c>
      <c r="T484" s="4" t="str">
        <f t="shared" si="413"/>
        <v>1+47.2439031618591i</v>
      </c>
      <c r="U484" s="4">
        <f t="shared" si="426"/>
        <v>47.254485352896616</v>
      </c>
      <c r="V484" s="4">
        <f t="shared" si="427"/>
        <v>1.5496327346821563</v>
      </c>
      <c r="W484" t="str">
        <f t="shared" si="414"/>
        <v>1-717.992449268375i</v>
      </c>
      <c r="X484" s="4">
        <f t="shared" si="428"/>
        <v>717.99314565419081</v>
      </c>
      <c r="Y484" s="4">
        <f t="shared" si="429"/>
        <v>-1.5694035553884356</v>
      </c>
      <c r="Z484" t="str">
        <f t="shared" si="415"/>
        <v>-3.31672754308686+10.0518942897572i</v>
      </c>
      <c r="AA484" s="4">
        <f t="shared" si="430"/>
        <v>10.584954435779325</v>
      </c>
      <c r="AB484" s="4">
        <f t="shared" si="431"/>
        <v>1.8895082190159451</v>
      </c>
      <c r="AC484" s="47" t="str">
        <f t="shared" si="432"/>
        <v>-6.72000597834478+2.36463173475283i</v>
      </c>
      <c r="AD484" s="20">
        <f t="shared" si="433"/>
        <v>17.054357350055028</v>
      </c>
      <c r="AE484" s="43">
        <f t="shared" si="434"/>
        <v>160.6140793399033</v>
      </c>
      <c r="AF484" t="str">
        <f t="shared" si="416"/>
        <v>247.084651286898</v>
      </c>
      <c r="AG484" t="str">
        <f t="shared" si="417"/>
        <v>1+7267.10341550442i</v>
      </c>
      <c r="AH484">
        <f t="shared" si="435"/>
        <v>7267.1034843076231</v>
      </c>
      <c r="AI484">
        <f t="shared" si="436"/>
        <v>1.5706587203874312</v>
      </c>
      <c r="AJ484" t="str">
        <f t="shared" si="418"/>
        <v>1+47.2439031618591i</v>
      </c>
      <c r="AK484">
        <f t="shared" si="437"/>
        <v>47.254485352896616</v>
      </c>
      <c r="AL484">
        <f t="shared" si="438"/>
        <v>1.5496327346821563</v>
      </c>
      <c r="AM484" t="str">
        <f t="shared" si="419"/>
        <v>1-46.9323675755392i</v>
      </c>
      <c r="AN484">
        <f t="shared" si="439"/>
        <v>46.943019994941984</v>
      </c>
      <c r="AO484">
        <f t="shared" si="440"/>
        <v>-1.5494922937831643</v>
      </c>
      <c r="AP484" s="41" t="str">
        <f t="shared" si="441"/>
        <v>0.0209709050351329-75.4220738977213i</v>
      </c>
      <c r="AQ484">
        <f t="shared" si="442"/>
        <v>37.549969738290187</v>
      </c>
      <c r="AR484" s="43">
        <f t="shared" si="443"/>
        <v>-89.98406906283499</v>
      </c>
      <c r="AS484" t="str">
        <f t="shared" si="420"/>
        <v>-0.0000166666666666667</v>
      </c>
      <c r="AT484" t="str">
        <f t="shared" si="421"/>
        <v>0.00976469731004991i</v>
      </c>
      <c r="AU484">
        <f t="shared" si="444"/>
        <v>9.7646973100499104E-3</v>
      </c>
      <c r="AV484">
        <f t="shared" si="445"/>
        <v>1.5707963267948966</v>
      </c>
      <c r="AW484" t="str">
        <f t="shared" si="422"/>
        <v>1+9.92350034588808i</v>
      </c>
      <c r="AX484">
        <f t="shared" si="446"/>
        <v>9.9737585249915099</v>
      </c>
      <c r="AY484">
        <f t="shared" si="447"/>
        <v>1.4703644714642179</v>
      </c>
      <c r="AZ484" t="str">
        <f t="shared" si="423"/>
        <v>1+337.399011760195i</v>
      </c>
      <c r="BA484">
        <f t="shared" si="448"/>
        <v>337.40049368185015</v>
      </c>
      <c r="BB484">
        <f t="shared" si="449"/>
        <v>1.567832485654215</v>
      </c>
      <c r="BC484" s="41" t="str">
        <f t="shared" si="450"/>
        <v>-0.00561889730485185+0.0574659581558458i</v>
      </c>
      <c r="BD484">
        <f t="shared" si="451"/>
        <v>-24.770463427302531</v>
      </c>
      <c r="BE484" s="43">
        <f t="shared" si="452"/>
        <v>95.584505850608053</v>
      </c>
      <c r="BF484" s="41" t="str">
        <f t="shared" si="453"/>
        <v>-0.0981268048429814-0.399458205239965i</v>
      </c>
      <c r="BG484" s="20">
        <f t="shared" si="454"/>
        <v>-7.7161060772474972</v>
      </c>
      <c r="BH484" s="43">
        <f t="shared" si="455"/>
        <v>-103.80141480948865</v>
      </c>
      <c r="BI484" s="41" t="str">
        <f t="shared" si="409"/>
        <v>4.33408390927178+0.424994000901482i</v>
      </c>
      <c r="BJ484" s="20">
        <f t="shared" si="456"/>
        <v>12.779506310987653</v>
      </c>
      <c r="BK484" s="43">
        <f t="shared" si="410"/>
        <v>5.6004367877730479</v>
      </c>
      <c r="BL484">
        <f t="shared" si="457"/>
        <v>-7.7161060772474972</v>
      </c>
      <c r="BM484" s="43">
        <f t="shared" si="458"/>
        <v>-103.80141480948865</v>
      </c>
    </row>
    <row r="485" spans="14:65" x14ac:dyDescent="0.25">
      <c r="N485" s="9">
        <v>67</v>
      </c>
      <c r="O485" s="34">
        <f t="shared" si="459"/>
        <v>467735.14128719864</v>
      </c>
      <c r="P485" s="33" t="str">
        <f t="shared" si="411"/>
        <v>16.5157725627975</v>
      </c>
      <c r="Q485" s="4" t="str">
        <f t="shared" si="412"/>
        <v>1+7604.23211836919i</v>
      </c>
      <c r="R485" s="4">
        <f t="shared" si="424"/>
        <v>7604.2321841220482</v>
      </c>
      <c r="S485" s="4">
        <f t="shared" si="425"/>
        <v>1.570664821078255</v>
      </c>
      <c r="T485" s="4" t="str">
        <f t="shared" si="413"/>
        <v>1+48.3443550335209i</v>
      </c>
      <c r="U485" s="4">
        <f t="shared" si="426"/>
        <v>48.354696396597483</v>
      </c>
      <c r="V485" s="4">
        <f t="shared" si="427"/>
        <v>1.5501143378908013</v>
      </c>
      <c r="W485" t="str">
        <f t="shared" si="414"/>
        <v>1-734.716641846822i</v>
      </c>
      <c r="X485" s="4">
        <f t="shared" si="428"/>
        <v>734.71732238097627</v>
      </c>
      <c r="Y485" s="4">
        <f t="shared" si="429"/>
        <v>-1.5694352586966103</v>
      </c>
      <c r="Z485" t="str">
        <f t="shared" si="415"/>
        <v>-3.52016864452386+10.2860329858555i</v>
      </c>
      <c r="AA485" s="4">
        <f t="shared" si="430"/>
        <v>10.871709243352509</v>
      </c>
      <c r="AB485" s="4">
        <f t="shared" si="431"/>
        <v>1.9005306201985408</v>
      </c>
      <c r="AC485" s="47" t="str">
        <f t="shared" si="432"/>
        <v>-6.66980160229368+2.42653565552775i</v>
      </c>
      <c r="AD485" s="20">
        <f t="shared" si="433"/>
        <v>17.022092716916205</v>
      </c>
      <c r="AE485" s="43">
        <f t="shared" si="434"/>
        <v>160.00814413130885</v>
      </c>
      <c r="AF485" t="str">
        <f t="shared" si="416"/>
        <v>247.084651286898</v>
      </c>
      <c r="AG485" t="str">
        <f t="shared" si="417"/>
        <v>1+7436.3759992652i</v>
      </c>
      <c r="AH485">
        <f t="shared" si="435"/>
        <v>7436.3760665022519</v>
      </c>
      <c r="AI485">
        <f t="shared" si="436"/>
        <v>1.5706618526916412</v>
      </c>
      <c r="AJ485" t="str">
        <f t="shared" si="418"/>
        <v>1+48.3443550335209i</v>
      </c>
      <c r="AK485">
        <f t="shared" si="437"/>
        <v>48.354696396597483</v>
      </c>
      <c r="AL485">
        <f t="shared" si="438"/>
        <v>1.5501143378908013</v>
      </c>
      <c r="AM485" t="str">
        <f t="shared" si="419"/>
        <v>1-48.0255628511938i</v>
      </c>
      <c r="AN485">
        <f t="shared" si="439"/>
        <v>48.035972845087315</v>
      </c>
      <c r="AO485">
        <f t="shared" si="440"/>
        <v>-1.5499770910322597</v>
      </c>
      <c r="AP485" s="41" t="str">
        <f t="shared" si="441"/>
        <v>0.0209706944778408-77.1773138996579i</v>
      </c>
      <c r="AQ485">
        <f t="shared" si="442"/>
        <v>37.749793504539049</v>
      </c>
      <c r="AR485" s="43">
        <f t="shared" si="443"/>
        <v>-89.984431535683797</v>
      </c>
      <c r="AS485" t="str">
        <f t="shared" si="420"/>
        <v>-0.0000166666666666667</v>
      </c>
      <c r="AT485" t="str">
        <f t="shared" si="421"/>
        <v>0.0099921463291168i</v>
      </c>
      <c r="AU485">
        <f t="shared" si="444"/>
        <v>9.9921463291168001E-3</v>
      </c>
      <c r="AV485">
        <f t="shared" si="445"/>
        <v>1.5707963267948966</v>
      </c>
      <c r="AW485" t="str">
        <f t="shared" si="422"/>
        <v>1+10.1546483628429i</v>
      </c>
      <c r="AX485">
        <f t="shared" si="446"/>
        <v>10.203768096786009</v>
      </c>
      <c r="AY485">
        <f t="shared" si="447"/>
        <v>1.4726357537632324</v>
      </c>
      <c r="AZ485" t="str">
        <f t="shared" si="423"/>
        <v>1+345.258044336659i</v>
      </c>
      <c r="BA485">
        <f t="shared" si="448"/>
        <v>345.25949252580205</v>
      </c>
      <c r="BB485">
        <f t="shared" si="449"/>
        <v>1.5678999505335183</v>
      </c>
      <c r="BC485" s="41" t="str">
        <f t="shared" si="450"/>
        <v>-0.00536843419213611+0.0561825381208294i</v>
      </c>
      <c r="BD485">
        <f t="shared" si="451"/>
        <v>-24.968499753439247</v>
      </c>
      <c r="BE485" s="43">
        <f t="shared" si="452"/>
        <v>95.458236413641146</v>
      </c>
      <c r="BF485" s="41" t="str">
        <f t="shared" si="453"/>
        <v>-0.100522540991722-0.387753079760806i</v>
      </c>
      <c r="BG485" s="20">
        <f t="shared" si="454"/>
        <v>-7.946407036523051</v>
      </c>
      <c r="BH485" s="43">
        <f t="shared" si="455"/>
        <v>-104.53361945505</v>
      </c>
      <c r="BI485" s="41" t="str">
        <f t="shared" si="409"/>
        <v>4.33590480043748+0.415499517638067i</v>
      </c>
      <c r="BJ485" s="20">
        <f t="shared" si="456"/>
        <v>12.781293751099804</v>
      </c>
      <c r="BK485" s="43">
        <f t="shared" si="410"/>
        <v>5.4738048779573694</v>
      </c>
      <c r="BL485">
        <f t="shared" si="457"/>
        <v>-7.946407036523051</v>
      </c>
      <c r="BM485" s="43">
        <f t="shared" si="458"/>
        <v>-104.53361945505</v>
      </c>
    </row>
    <row r="486" spans="14:65" x14ac:dyDescent="0.25">
      <c r="N486" s="9">
        <v>68</v>
      </c>
      <c r="O486" s="34">
        <f t="shared" si="459"/>
        <v>478630.09232263872</v>
      </c>
      <c r="P486" s="33" t="str">
        <f t="shared" si="411"/>
        <v>16.5157725627975</v>
      </c>
      <c r="Q486" s="4" t="str">
        <f t="shared" si="412"/>
        <v>1+7781.35743840343i</v>
      </c>
      <c r="R486" s="4">
        <f t="shared" si="424"/>
        <v>7781.3575026595699</v>
      </c>
      <c r="S486" s="4">
        <f t="shared" si="425"/>
        <v>1.5706678145137927</v>
      </c>
      <c r="T486" s="4" t="str">
        <f t="shared" si="413"/>
        <v>1+49.4704397221348i</v>
      </c>
      <c r="U486" s="4">
        <f t="shared" si="426"/>
        <v>49.480545735686597</v>
      </c>
      <c r="V486" s="4">
        <f t="shared" si="427"/>
        <v>1.5505849877440971</v>
      </c>
      <c r="W486" t="str">
        <f t="shared" si="414"/>
        <v>1-751.830390913903i</v>
      </c>
      <c r="X486" s="4">
        <f t="shared" si="428"/>
        <v>751.83105595722247</v>
      </c>
      <c r="Y486" s="4">
        <f t="shared" si="429"/>
        <v>-1.5694662403520296</v>
      </c>
      <c r="Z486" t="str">
        <f t="shared" si="415"/>
        <v>-3.73319762968548+10.5256254727946i</v>
      </c>
      <c r="AA486" s="4">
        <f t="shared" si="430"/>
        <v>11.168059640592533</v>
      </c>
      <c r="AB486" s="4">
        <f t="shared" si="431"/>
        <v>1.911631677986154</v>
      </c>
      <c r="AC486" s="47" t="str">
        <f t="shared" si="432"/>
        <v>-6.61783307093563+2.48785957131815i</v>
      </c>
      <c r="AD486" s="20">
        <f t="shared" si="433"/>
        <v>16.988410848756491</v>
      </c>
      <c r="AE486" s="43">
        <f t="shared" si="434"/>
        <v>159.39711999284972</v>
      </c>
      <c r="AF486" t="str">
        <f t="shared" si="416"/>
        <v>247.084651286898</v>
      </c>
      <c r="AG486" t="str">
        <f t="shared" si="417"/>
        <v>1+7609.59144801287i</v>
      </c>
      <c r="AH486">
        <f t="shared" si="435"/>
        <v>7609.5915137194206</v>
      </c>
      <c r="AI486">
        <f t="shared" si="436"/>
        <v>1.570664913695905</v>
      </c>
      <c r="AJ486" t="str">
        <f t="shared" si="418"/>
        <v>1+49.4704397221348i</v>
      </c>
      <c r="AK486">
        <f t="shared" si="437"/>
        <v>49.480545735686597</v>
      </c>
      <c r="AL486">
        <f t="shared" si="438"/>
        <v>1.5505849877440971</v>
      </c>
      <c r="AM486" t="str">
        <f t="shared" si="419"/>
        <v>1-49.1442219159655i</v>
      </c>
      <c r="AN486">
        <f t="shared" si="439"/>
        <v>49.154394999080843</v>
      </c>
      <c r="AO486">
        <f t="shared" si="440"/>
        <v>-1.5504508624065327</v>
      </c>
      <c r="AP486" s="41" t="str">
        <f t="shared" si="441"/>
        <v>0.0209704933971947-78.9734743349842i</v>
      </c>
      <c r="AQ486">
        <f t="shared" si="442"/>
        <v>37.949625199275033</v>
      </c>
      <c r="AR486" s="43">
        <f t="shared" si="443"/>
        <v>-89.984785768286841</v>
      </c>
      <c r="AS486" t="str">
        <f t="shared" si="420"/>
        <v>-0.0000166666666666667</v>
      </c>
      <c r="AT486" t="str">
        <f t="shared" si="421"/>
        <v>0.0102248933164291i</v>
      </c>
      <c r="AU486">
        <f t="shared" si="444"/>
        <v>1.02248933164291E-2</v>
      </c>
      <c r="AV486">
        <f t="shared" si="445"/>
        <v>1.5707963267948966</v>
      </c>
      <c r="AW486" t="str">
        <f t="shared" si="422"/>
        <v>1+10.3911805087724i</v>
      </c>
      <c r="AX486">
        <f t="shared" si="446"/>
        <v>10.439187342216416</v>
      </c>
      <c r="AY486">
        <f t="shared" si="447"/>
        <v>1.4748563175733014</v>
      </c>
      <c r="AZ486" t="str">
        <f t="shared" si="423"/>
        <v>1+353.300137298261i</v>
      </c>
      <c r="BA486">
        <f t="shared" si="448"/>
        <v>353.30155252272817</v>
      </c>
      <c r="BB486">
        <f t="shared" si="449"/>
        <v>1.5679658797501577</v>
      </c>
      <c r="BC486" s="41" t="str">
        <f t="shared" si="450"/>
        <v>-0.00512903201854811+0.0549267063969094i</v>
      </c>
      <c r="BD486">
        <f t="shared" si="451"/>
        <v>-25.166623628806551</v>
      </c>
      <c r="BE486" s="43">
        <f t="shared" si="452"/>
        <v>95.334784945044802</v>
      </c>
      <c r="BF486" s="41" t="str">
        <f t="shared" si="453"/>
        <v>-0.102706854516297-0.376256085469981i</v>
      </c>
      <c r="BG486" s="20">
        <f t="shared" si="454"/>
        <v>-8.1782127800500533</v>
      </c>
      <c r="BH486" s="43">
        <f t="shared" si="455"/>
        <v>-105.2680950621054</v>
      </c>
      <c r="BI486" s="41" t="str">
        <f t="shared" si="409"/>
        <v>4.33764527960946+0.406209318613947i</v>
      </c>
      <c r="BJ486" s="20">
        <f t="shared" si="456"/>
        <v>12.783001570468484</v>
      </c>
      <c r="BK486" s="43">
        <f t="shared" si="410"/>
        <v>5.3499991767579553</v>
      </c>
      <c r="BL486">
        <f t="shared" si="457"/>
        <v>-8.1782127800500533</v>
      </c>
      <c r="BM486" s="43">
        <f t="shared" si="458"/>
        <v>-105.2680950621054</v>
      </c>
    </row>
    <row r="487" spans="14:65" x14ac:dyDescent="0.25">
      <c r="N487" s="9">
        <v>69</v>
      </c>
      <c r="O487" s="34">
        <f t="shared" si="459"/>
        <v>489778.81936844654</v>
      </c>
      <c r="P487" s="33" t="str">
        <f t="shared" si="411"/>
        <v>16.5157725627975</v>
      </c>
      <c r="Q487" s="4" t="str">
        <f t="shared" si="412"/>
        <v>1+7962.60853714996i</v>
      </c>
      <c r="R487" s="4">
        <f t="shared" si="424"/>
        <v>7962.6085999434526</v>
      </c>
      <c r="S487" s="4">
        <f t="shared" si="425"/>
        <v>1.5706707398104207</v>
      </c>
      <c r="T487" s="4" t="str">
        <f t="shared" si="413"/>
        <v>1+50.6227542927081i</v>
      </c>
      <c r="U487" s="4">
        <f t="shared" si="426"/>
        <v>50.632630310698815</v>
      </c>
      <c r="V487" s="4">
        <f t="shared" si="427"/>
        <v>1.5510449329523135</v>
      </c>
      <c r="W487" t="str">
        <f t="shared" si="414"/>
        <v>1-769.342770405898i</v>
      </c>
      <c r="X487" s="4">
        <f t="shared" si="428"/>
        <v>769.34342031099629</v>
      </c>
      <c r="Y487" s="4">
        <f t="shared" si="429"/>
        <v>-1.5694965167813397</v>
      </c>
      <c r="Z487" t="str">
        <f t="shared" si="415"/>
        <v>-3.95626636161053+10.7707987856826i</v>
      </c>
      <c r="AA487" s="4">
        <f t="shared" si="430"/>
        <v>11.474412839255558</v>
      </c>
      <c r="AB487" s="4">
        <f t="shared" si="431"/>
        <v>1.9228117146563535</v>
      </c>
      <c r="AC487" s="47" t="str">
        <f t="shared" si="432"/>
        <v>-6.56409223409664+2.54854790274814i</v>
      </c>
      <c r="AD487" s="20">
        <f t="shared" si="433"/>
        <v>16.953275732939947</v>
      </c>
      <c r="AE487" s="43">
        <f t="shared" si="434"/>
        <v>158.781001677315</v>
      </c>
      <c r="AF487" t="str">
        <f t="shared" si="416"/>
        <v>247.084651286898</v>
      </c>
      <c r="AG487" t="str">
        <f t="shared" si="417"/>
        <v>1+7786.84160287114i</v>
      </c>
      <c r="AH487">
        <f t="shared" si="435"/>
        <v>7786.8416670820261</v>
      </c>
      <c r="AI487">
        <f t="shared" si="436"/>
        <v>1.5706679050232075</v>
      </c>
      <c r="AJ487" t="str">
        <f t="shared" si="418"/>
        <v>1+50.6227542927081i</v>
      </c>
      <c r="AK487">
        <f t="shared" si="437"/>
        <v>50.632630310698815</v>
      </c>
      <c r="AL487">
        <f t="shared" si="438"/>
        <v>1.5510449329523135</v>
      </c>
      <c r="AM487" t="str">
        <f t="shared" si="419"/>
        <v>1-50.2889378976978i</v>
      </c>
      <c r="AN487">
        <f t="shared" si="439"/>
        <v>50.298879459472118</v>
      </c>
      <c r="AO487">
        <f t="shared" si="440"/>
        <v>-1.55091385825461</v>
      </c>
      <c r="AP487" s="41" t="str">
        <f t="shared" si="441"/>
        <v>0.0209703013666669-80.811507551738i</v>
      </c>
      <c r="AQ487">
        <f t="shared" si="442"/>
        <v>38.149464465951013</v>
      </c>
      <c r="AR487" s="43">
        <f t="shared" si="443"/>
        <v>-89.985131947505266</v>
      </c>
      <c r="AS487" t="str">
        <f t="shared" si="420"/>
        <v>-0.0000166666666666667</v>
      </c>
      <c r="AT487" t="str">
        <f t="shared" si="421"/>
        <v>0.0104630616775202i</v>
      </c>
      <c r="AU487">
        <f t="shared" si="444"/>
        <v>1.0463061677520201E-2</v>
      </c>
      <c r="AV487">
        <f t="shared" si="445"/>
        <v>1.5707963267948966</v>
      </c>
      <c r="AW487" t="str">
        <f t="shared" si="422"/>
        <v>1+10.6332221961512i</v>
      </c>
      <c r="AX487">
        <f t="shared" si="446"/>
        <v>10.680141116704524</v>
      </c>
      <c r="AY487">
        <f t="shared" si="447"/>
        <v>1.477027252623498</v>
      </c>
      <c r="AZ487" t="str">
        <f t="shared" si="423"/>
        <v>1+361.529554669139i</v>
      </c>
      <c r="BA487">
        <f t="shared" si="448"/>
        <v>361.53093767928902</v>
      </c>
      <c r="BB487">
        <f t="shared" si="449"/>
        <v>1.5680303082583826</v>
      </c>
      <c r="BC487" s="41" t="str">
        <f t="shared" si="450"/>
        <v>-0.00490021134137821+0.0536979413264279i</v>
      </c>
      <c r="BD487">
        <f t="shared" si="451"/>
        <v>-25.364831185472593</v>
      </c>
      <c r="BE487" s="43">
        <f t="shared" si="452"/>
        <v>95.214091010673087</v>
      </c>
      <c r="BF487" s="41" t="str">
        <f t="shared" si="453"/>
        <v>-0.104686336537988-0.364966662984875i</v>
      </c>
      <c r="BG487" s="20">
        <f t="shared" si="454"/>
        <v>-8.4115554525326282</v>
      </c>
      <c r="BH487" s="43">
        <f t="shared" si="455"/>
        <v>-106.00490731201195</v>
      </c>
      <c r="BI487" s="41" t="str">
        <f t="shared" si="409"/>
        <v>4.33930883210482+0.397119527831282i</v>
      </c>
      <c r="BJ487" s="20">
        <f t="shared" si="456"/>
        <v>12.784633280478417</v>
      </c>
      <c r="BK487" s="43">
        <f t="shared" si="410"/>
        <v>5.2289590631678378</v>
      </c>
      <c r="BL487">
        <f t="shared" si="457"/>
        <v>-8.4115554525326282</v>
      </c>
      <c r="BM487" s="43">
        <f t="shared" si="458"/>
        <v>-106.00490731201195</v>
      </c>
    </row>
    <row r="488" spans="14:65" x14ac:dyDescent="0.25">
      <c r="N488" s="9">
        <v>70</v>
      </c>
      <c r="O488" s="34">
        <f t="shared" si="459"/>
        <v>501187.23362727347</v>
      </c>
      <c r="P488" s="33" t="str">
        <f t="shared" si="411"/>
        <v>16.5157725627975</v>
      </c>
      <c r="Q488" s="4" t="str">
        <f t="shared" si="412"/>
        <v>1+8148.08151634047i</v>
      </c>
      <c r="R488" s="4">
        <f t="shared" si="424"/>
        <v>8148.0815777046082</v>
      </c>
      <c r="S488" s="4">
        <f t="shared" si="425"/>
        <v>1.5706735985191702</v>
      </c>
      <c r="T488" s="4" t="str">
        <f t="shared" si="413"/>
        <v>1+51.8019097176787i</v>
      </c>
      <c r="U488" s="4">
        <f t="shared" si="426"/>
        <v>51.811560972417489</v>
      </c>
      <c r="V488" s="4">
        <f t="shared" si="427"/>
        <v>1.5514944166056317</v>
      </c>
      <c r="W488" t="str">
        <f t="shared" si="414"/>
        <v>1-787.263065618217i</v>
      </c>
      <c r="X488" s="4">
        <f t="shared" si="428"/>
        <v>787.2637007296812</v>
      </c>
      <c r="Y488" s="4">
        <f t="shared" si="429"/>
        <v>-1.5695261040372817</v>
      </c>
      <c r="Z488" t="str">
        <f t="shared" si="415"/>
        <v>-4.18984799898677+11.021682918655i</v>
      </c>
      <c r="AA488" s="4">
        <f t="shared" si="430"/>
        <v>11.791196742230401</v>
      </c>
      <c r="AB488" s="4">
        <f t="shared" si="431"/>
        <v>1.9340708547515866</v>
      </c>
      <c r="AC488" s="47" t="str">
        <f t="shared" si="432"/>
        <v>-6.50857340644252+2.60854289169056i</v>
      </c>
      <c r="AD488" s="20">
        <f t="shared" si="433"/>
        <v>16.916650870893843</v>
      </c>
      <c r="AE488" s="43">
        <f t="shared" si="434"/>
        <v>158.15979496836783</v>
      </c>
      <c r="AF488" t="str">
        <f t="shared" si="416"/>
        <v>247.084651286898</v>
      </c>
      <c r="AG488" t="str">
        <f t="shared" si="417"/>
        <v>1+7968.22044421829i</v>
      </c>
      <c r="AH488">
        <f t="shared" si="435"/>
        <v>7968.2205069675574</v>
      </c>
      <c r="AI488">
        <f t="shared" si="436"/>
        <v>1.57067082825959</v>
      </c>
      <c r="AJ488" t="str">
        <f t="shared" si="418"/>
        <v>1+51.8019097176787i</v>
      </c>
      <c r="AK488">
        <f t="shared" si="437"/>
        <v>51.811560972417489</v>
      </c>
      <c r="AL488">
        <f t="shared" si="438"/>
        <v>1.5514944166056317</v>
      </c>
      <c r="AM488" t="str">
        <f t="shared" si="419"/>
        <v>1-51.4603177399563i</v>
      </c>
      <c r="AN488">
        <f t="shared" si="439"/>
        <v>51.470033047369043</v>
      </c>
      <c r="AO488">
        <f t="shared" si="440"/>
        <v>-1.5513663232685619</v>
      </c>
      <c r="AP488" s="41" t="str">
        <f t="shared" si="441"/>
        <v>0.0209701179789327-82.6923880994602i</v>
      </c>
      <c r="AQ488">
        <f t="shared" si="442"/>
        <v>38.349310964041365</v>
      </c>
      <c r="AR488" s="43">
        <f t="shared" si="443"/>
        <v>-89.985470255994016</v>
      </c>
      <c r="AS488" t="str">
        <f t="shared" si="420"/>
        <v>-0.0000166666666666667</v>
      </c>
      <c r="AT488" t="str">
        <f t="shared" si="421"/>
        <v>0.0107067776924077i</v>
      </c>
      <c r="AU488">
        <f t="shared" si="444"/>
        <v>1.07067776924077E-2</v>
      </c>
      <c r="AV488">
        <f t="shared" si="445"/>
        <v>1.5707963267948966</v>
      </c>
      <c r="AW488" t="str">
        <f t="shared" si="422"/>
        <v>1+10.8809017586857i</v>
      </c>
      <c r="AX488">
        <f t="shared" si="446"/>
        <v>10.926757207981222</v>
      </c>
      <c r="AY488">
        <f t="shared" si="447"/>
        <v>1.4791496280750043</v>
      </c>
      <c r="AZ488" t="str">
        <f t="shared" si="423"/>
        <v>1+369.950659795313i</v>
      </c>
      <c r="BA488">
        <f t="shared" si="448"/>
        <v>369.95201132442492</v>
      </c>
      <c r="BB488">
        <f t="shared" si="449"/>
        <v>1.5680932702169001</v>
      </c>
      <c r="BC488" s="41" t="str">
        <f t="shared" si="450"/>
        <v>-0.00468151271101339+0.0524957262640668i</v>
      </c>
      <c r="BD488">
        <f t="shared" si="451"/>
        <v>-25.563118723301493</v>
      </c>
      <c r="BE488" s="43">
        <f t="shared" si="452"/>
        <v>95.096095309252533</v>
      </c>
      <c r="BF488" s="41" t="str">
        <f t="shared" si="453"/>
        <v>-0.106467384457441-0.353884214618864i</v>
      </c>
      <c r="BG488" s="20">
        <f t="shared" si="454"/>
        <v>-8.646467852407655</v>
      </c>
      <c r="BH488" s="43">
        <f t="shared" si="455"/>
        <v>-106.7441097223797</v>
      </c>
      <c r="BI488" s="41" t="str">
        <f t="shared" si="409"/>
        <v>4.34089879791737+0.388226307564823i</v>
      </c>
      <c r="BJ488" s="20">
        <f t="shared" si="456"/>
        <v>12.786192240739876</v>
      </c>
      <c r="BK488" s="43">
        <f t="shared" si="410"/>
        <v>5.1106250532585289</v>
      </c>
      <c r="BL488">
        <f t="shared" si="457"/>
        <v>-8.646467852407655</v>
      </c>
      <c r="BM488" s="43">
        <f t="shared" si="458"/>
        <v>-106.7441097223797</v>
      </c>
    </row>
    <row r="489" spans="14:65" x14ac:dyDescent="0.25">
      <c r="N489" s="9">
        <v>71</v>
      </c>
      <c r="O489" s="34">
        <f t="shared" si="459"/>
        <v>512861.38399136515</v>
      </c>
      <c r="P489" s="33" t="str">
        <f t="shared" si="411"/>
        <v>16.5157725627975</v>
      </c>
      <c r="Q489" s="4" t="str">
        <f t="shared" si="412"/>
        <v>1+8337.87471620352i</v>
      </c>
      <c r="R489" s="4">
        <f t="shared" si="424"/>
        <v>8337.8747761708401</v>
      </c>
      <c r="S489" s="4">
        <f t="shared" si="425"/>
        <v>1.5706763921557658</v>
      </c>
      <c r="T489" s="4" t="str">
        <f t="shared" si="413"/>
        <v>1+53.0085312008607i</v>
      </c>
      <c r="U489" s="4">
        <f t="shared" si="426"/>
        <v>53.017962805756902</v>
      </c>
      <c r="V489" s="4">
        <f t="shared" si="427"/>
        <v>1.5519336762993243</v>
      </c>
      <c r="W489" t="str">
        <f t="shared" si="414"/>
        <v>1-805.600778128583i</v>
      </c>
      <c r="X489" s="4">
        <f t="shared" si="428"/>
        <v>805.60139878315647</v>
      </c>
      <c r="Y489" s="4">
        <f t="shared" si="429"/>
        <v>-1.5695550178072031</v>
      </c>
      <c r="Z489" t="str">
        <f t="shared" si="415"/>
        <v>-4.43443799978382+11.2784108938001i</v>
      </c>
      <c r="AA489" s="4">
        <f t="shared" si="430"/>
        <v>12.118861029953081</v>
      </c>
      <c r="AB489" s="4">
        <f t="shared" si="431"/>
        <v>1.9454090193942177</v>
      </c>
      <c r="AC489" s="47" t="str">
        <f t="shared" si="432"/>
        <v>-6.45127357942988+2.66778470582662i</v>
      </c>
      <c r="AD489" s="20">
        <f t="shared" si="433"/>
        <v>16.878499354196027</v>
      </c>
      <c r="AE489" s="43">
        <f t="shared" si="434"/>
        <v>157.53351701290669</v>
      </c>
      <c r="AF489" t="str">
        <f t="shared" si="416"/>
        <v>247.084651286898</v>
      </c>
      <c r="AG489" t="str">
        <f t="shared" si="417"/>
        <v>1+8153.82414151678i</v>
      </c>
      <c r="AH489">
        <f t="shared" si="435"/>
        <v>8153.8242028376999</v>
      </c>
      <c r="AI489">
        <f t="shared" si="436"/>
        <v>1.5706736849549905</v>
      </c>
      <c r="AJ489" t="str">
        <f t="shared" si="418"/>
        <v>1+53.0085312008607i</v>
      </c>
      <c r="AK489">
        <f t="shared" si="437"/>
        <v>53.017962805756902</v>
      </c>
      <c r="AL489">
        <f t="shared" si="438"/>
        <v>1.5519336762993243</v>
      </c>
      <c r="AM489" t="str">
        <f t="shared" si="419"/>
        <v>1-52.6589825238381i</v>
      </c>
      <c r="AN489">
        <f t="shared" si="439"/>
        <v>52.668476724183748</v>
      </c>
      <c r="AO489">
        <f t="shared" si="440"/>
        <v>-1.5518084966098575</v>
      </c>
      <c r="AP489" s="41" t="str">
        <f t="shared" si="441"/>
        <v>0.0209699428450064-84.6171132459135i</v>
      </c>
      <c r="AQ489">
        <f t="shared" si="442"/>
        <v>38.549164368323041</v>
      </c>
      <c r="AR489" s="43">
        <f t="shared" si="443"/>
        <v>-89.985800872294476</v>
      </c>
      <c r="AS489" t="str">
        <f t="shared" si="420"/>
        <v>-0.0000166666666666667</v>
      </c>
      <c r="AT489" t="str">
        <f t="shared" si="421"/>
        <v>0.0109561705825487i</v>
      </c>
      <c r="AU489">
        <f t="shared" si="444"/>
        <v>1.09561705825487E-2</v>
      </c>
      <c r="AV489">
        <f t="shared" si="445"/>
        <v>1.5707963267948966</v>
      </c>
      <c r="AW489" t="str">
        <f t="shared" si="422"/>
        <v>1+11.1343505193583i</v>
      </c>
      <c r="AX489">
        <f t="shared" si="446"/>
        <v>11.179166403982654</v>
      </c>
      <c r="AY489">
        <f t="shared" si="447"/>
        <v>1.4812244927156217</v>
      </c>
      <c r="AZ489" t="str">
        <f t="shared" si="423"/>
        <v>1+378.567917658183i</v>
      </c>
      <c r="BA489">
        <f t="shared" si="448"/>
        <v>378.56923842284493</v>
      </c>
      <c r="BB489">
        <f t="shared" si="449"/>
        <v>1.5681547990069762</v>
      </c>
      <c r="BC489" s="41" t="str">
        <f t="shared" si="450"/>
        <v>-0.00447249590652809+0.0513195498957206i</v>
      </c>
      <c r="BD489">
        <f t="shared" si="451"/>
        <v>-25.761482702944537</v>
      </c>
      <c r="BE489" s="43">
        <f t="shared" si="452"/>
        <v>94.980739662274175</v>
      </c>
      <c r="BF489" s="41" t="str">
        <f t="shared" si="453"/>
        <v>-0.108056215645817-0.343008112526804i</v>
      </c>
      <c r="BG489" s="20">
        <f t="shared" si="454"/>
        <v>-8.8829833487484979</v>
      </c>
      <c r="BH489" s="43">
        <f t="shared" si="455"/>
        <v>-107.48574332481918</v>
      </c>
      <c r="BI489" s="41" t="str">
        <f t="shared" si="409"/>
        <v>4.34241837727196+0.379525860642717i</v>
      </c>
      <c r="BJ489" s="20">
        <f t="shared" si="456"/>
        <v>12.787681665378489</v>
      </c>
      <c r="BK489" s="43">
        <f t="shared" si="410"/>
        <v>4.9949387899797255</v>
      </c>
      <c r="BL489">
        <f t="shared" si="457"/>
        <v>-8.8829833487484979</v>
      </c>
      <c r="BM489" s="43">
        <f t="shared" si="458"/>
        <v>-107.48574332481918</v>
      </c>
    </row>
    <row r="490" spans="14:65" x14ac:dyDescent="0.25">
      <c r="N490" s="9">
        <v>72</v>
      </c>
      <c r="O490" s="34">
        <f t="shared" si="459"/>
        <v>524807.46024977288</v>
      </c>
      <c r="P490" s="33" t="str">
        <f t="shared" si="411"/>
        <v>16.5157725627975</v>
      </c>
      <c r="Q490" s="4" t="str">
        <f t="shared" si="412"/>
        <v>1+8532.08876760595i</v>
      </c>
      <c r="R490" s="4">
        <f t="shared" si="424"/>
        <v>8532.0888262082481</v>
      </c>
      <c r="S490" s="4">
        <f t="shared" si="425"/>
        <v>1.5706791222014309</v>
      </c>
      <c r="T490" s="4" t="str">
        <f t="shared" si="413"/>
        <v>1+54.2432585089366i</v>
      </c>
      <c r="U490" s="4">
        <f t="shared" si="426"/>
        <v>54.252475461192759</v>
      </c>
      <c r="V490" s="4">
        <f t="shared" si="427"/>
        <v>1.5523629442562683</v>
      </c>
      <c r="W490" t="str">
        <f t="shared" si="414"/>
        <v>1-824.365630834903i</v>
      </c>
      <c r="X490" s="4">
        <f t="shared" si="428"/>
        <v>824.36623736166416</v>
      </c>
      <c r="Y490" s="4">
        <f t="shared" si="429"/>
        <v>-1.5695832734213739</v>
      </c>
      <c r="Z490" t="str">
        <f t="shared" si="415"/>
        <v>-4.69055517218629+11.5411188316886i</v>
      </c>
      <c r="AA490" s="4">
        <f t="shared" si="430"/>
        <v>12.457878298911124</v>
      </c>
      <c r="AB490" s="4">
        <f t="shared" si="431"/>
        <v>1.9568259209503747</v>
      </c>
      <c r="AC490" s="47" t="str">
        <f t="shared" si="432"/>
        <v>-6.39219263116694+2.72621156225125i</v>
      </c>
      <c r="AD490" s="20">
        <f t="shared" si="433"/>
        <v>16.838783945338722</v>
      </c>
      <c r="AE490" s="43">
        <f t="shared" si="434"/>
        <v>156.9021966333016</v>
      </c>
      <c r="AF490" t="str">
        <f t="shared" si="416"/>
        <v>247.084651286898</v>
      </c>
      <c r="AG490" t="str">
        <f t="shared" si="417"/>
        <v>1+8343.75110430377i</v>
      </c>
      <c r="AH490">
        <f t="shared" si="435"/>
        <v>8343.7511642288555</v>
      </c>
      <c r="AI490">
        <f t="shared" si="436"/>
        <v>1.5706764766240668</v>
      </c>
      <c r="AJ490" t="str">
        <f t="shared" si="418"/>
        <v>1+54.2432585089366i</v>
      </c>
      <c r="AK490">
        <f t="shared" si="437"/>
        <v>54.252475461192759</v>
      </c>
      <c r="AL490">
        <f t="shared" si="438"/>
        <v>1.5523629442562683</v>
      </c>
      <c r="AM490" t="str">
        <f t="shared" si="419"/>
        <v>1-53.8855677972783i</v>
      </c>
      <c r="AN490">
        <f t="shared" si="439"/>
        <v>53.894845920877039</v>
      </c>
      <c r="AO490">
        <f t="shared" si="440"/>
        <v>-1.5522406120326382</v>
      </c>
      <c r="AP490" s="41" t="str">
        <f t="shared" si="441"/>
        <v>0.0209697755934081-86.5867035058484i</v>
      </c>
      <c r="AQ490">
        <f t="shared" si="442"/>
        <v>38.74902436818909</v>
      </c>
      <c r="AR490" s="43">
        <f t="shared" si="443"/>
        <v>-89.986123970925078</v>
      </c>
      <c r="AS490" t="str">
        <f t="shared" si="420"/>
        <v>-0.0000166666666666667</v>
      </c>
      <c r="AT490" t="str">
        <f t="shared" si="421"/>
        <v>0.0112113725793547i</v>
      </c>
      <c r="AU490">
        <f t="shared" si="444"/>
        <v>1.12113725793547E-2</v>
      </c>
      <c r="AV490">
        <f t="shared" si="445"/>
        <v>1.5707963267948966</v>
      </c>
      <c r="AW490" t="str">
        <f t="shared" si="422"/>
        <v>1+11.393702860057i</v>
      </c>
      <c r="AX490">
        <f t="shared" si="446"/>
        <v>11.437502562328502</v>
      </c>
      <c r="AY490">
        <f t="shared" si="447"/>
        <v>1.4832528751671465</v>
      </c>
      <c r="AZ490" t="str">
        <f t="shared" si="423"/>
        <v>1+387.385897241937i</v>
      </c>
      <c r="BA490">
        <f t="shared" si="448"/>
        <v>387.38718794242612</v>
      </c>
      <c r="BB490">
        <f t="shared" si="449"/>
        <v>1.5682149272501253</v>
      </c>
      <c r="BC490" s="41" t="str">
        <f t="shared" si="450"/>
        <v>-0.00427273919427811+0.0501689065238656i</v>
      </c>
      <c r="BD490">
        <f t="shared" si="451"/>
        <v>-25.959919739099554</v>
      </c>
      <c r="BE490" s="43">
        <f t="shared" si="452"/>
        <v>94.867967003125386</v>
      </c>
      <c r="BF490" s="41" t="str">
        <f t="shared" si="453"/>
        <v>-0.109458881038302-0.332337705589482i</v>
      </c>
      <c r="BG490" s="20">
        <f t="shared" si="454"/>
        <v>-9.1211357937608248</v>
      </c>
      <c r="BH490" s="43">
        <f t="shared" si="455"/>
        <v>-108.22983636357301</v>
      </c>
      <c r="BI490" s="41" t="str">
        <f t="shared" si="409"/>
        <v>4.3438706360125+0.371014432484348i</v>
      </c>
      <c r="BJ490" s="20">
        <f t="shared" si="456"/>
        <v>12.789104629089534</v>
      </c>
      <c r="BK490" s="43">
        <f t="shared" si="410"/>
        <v>4.881843032200301</v>
      </c>
      <c r="BL490">
        <f t="shared" si="457"/>
        <v>-9.1211357937608248</v>
      </c>
      <c r="BM490" s="43">
        <f t="shared" si="458"/>
        <v>-108.22983636357301</v>
      </c>
    </row>
    <row r="491" spans="14:65" x14ac:dyDescent="0.25">
      <c r="N491" s="9">
        <v>73</v>
      </c>
      <c r="O491" s="34">
        <f t="shared" si="459"/>
        <v>537031.7963702539</v>
      </c>
      <c r="P491" s="33" t="str">
        <f t="shared" si="411"/>
        <v>16.5157725627975</v>
      </c>
      <c r="Q491" s="4" t="str">
        <f t="shared" si="412"/>
        <v>1+8730.82664540852i</v>
      </c>
      <c r="R491" s="4">
        <f t="shared" si="424"/>
        <v>8730.8267026768663</v>
      </c>
      <c r="S491" s="4">
        <f t="shared" si="425"/>
        <v>1.5706817901036714</v>
      </c>
      <c r="T491" s="4" t="str">
        <f t="shared" si="413"/>
        <v>1+55.5067463106683i</v>
      </c>
      <c r="U491" s="4">
        <f t="shared" si="426"/>
        <v>55.515753493912783</v>
      </c>
      <c r="V491" s="4">
        <f t="shared" si="427"/>
        <v>1.5527824474468406</v>
      </c>
      <c r="W491" t="str">
        <f t="shared" si="414"/>
        <v>1-843.56757311046i</v>
      </c>
      <c r="X491" s="4">
        <f t="shared" si="428"/>
        <v>843.56816583099624</v>
      </c>
      <c r="Y491" s="4">
        <f t="shared" si="429"/>
        <v>-1.5696108858611142</v>
      </c>
      <c r="Z491" t="str">
        <f t="shared" si="415"/>
        <v>-4.95874277505498+11.8099460235464i</v>
      </c>
      <c r="AA491" s="4">
        <f t="shared" si="430"/>
        <v>12.808745254248732</v>
      </c>
      <c r="AB491" s="4">
        <f t="shared" si="431"/>
        <v>1.9683210580941839</v>
      </c>
      <c r="AC491" s="47" t="str">
        <f t="shared" si="432"/>
        <v>-6.33133353248139+2.78375987060131i</v>
      </c>
      <c r="AD491" s="20">
        <f t="shared" si="433"/>
        <v>16.797467163110042</v>
      </c>
      <c r="AE491" s="43">
        <f t="shared" si="434"/>
        <v>156.26587461655151</v>
      </c>
      <c r="AF491" t="str">
        <f t="shared" si="416"/>
        <v>247.084651286898</v>
      </c>
      <c r="AG491" t="str">
        <f t="shared" si="417"/>
        <v>1+8538.10203436887i</v>
      </c>
      <c r="AH491">
        <f t="shared" si="435"/>
        <v>8538.1020929298938</v>
      </c>
      <c r="AI491">
        <f t="shared" si="436"/>
        <v>1.5706792047469986</v>
      </c>
      <c r="AJ491" t="str">
        <f t="shared" si="418"/>
        <v>1+55.5067463106683i</v>
      </c>
      <c r="AK491">
        <f t="shared" si="437"/>
        <v>55.515753493912783</v>
      </c>
      <c r="AL491">
        <f t="shared" si="438"/>
        <v>1.5527824474468406</v>
      </c>
      <c r="AM491" t="str">
        <f t="shared" si="419"/>
        <v>1-55.1407239120244i</v>
      </c>
      <c r="AN491">
        <f t="shared" si="439"/>
        <v>55.149790874871847</v>
      </c>
      <c r="AO491">
        <f t="shared" si="440"/>
        <v>-1.5526628980043609</v>
      </c>
      <c r="AP491" s="41" t="str">
        <f t="shared" si="441"/>
        <v>0.0209696158693714-88.6022031820904i</v>
      </c>
      <c r="AQ491">
        <f t="shared" si="442"/>
        <v>38.948890666992391</v>
      </c>
      <c r="AR491" s="43">
        <f t="shared" si="443"/>
        <v>-89.986439722470294</v>
      </c>
      <c r="AS491" t="str">
        <f t="shared" si="420"/>
        <v>-0.0000166666666666667</v>
      </c>
      <c r="AT491" t="str">
        <f t="shared" si="421"/>
        <v>0.0114725189943023i</v>
      </c>
      <c r="AU491">
        <f t="shared" si="444"/>
        <v>1.1472518994302299E-2</v>
      </c>
      <c r="AV491">
        <f t="shared" si="445"/>
        <v>1.5707963267948966</v>
      </c>
      <c r="AW491" t="str">
        <f t="shared" si="422"/>
        <v>1+11.6590962928255i</v>
      </c>
      <c r="AX491">
        <f t="shared" si="446"/>
        <v>11.70190268141798</v>
      </c>
      <c r="AY491">
        <f t="shared" si="447"/>
        <v>1.4852357841042549</v>
      </c>
      <c r="AZ491" t="str">
        <f t="shared" si="423"/>
        <v>1+396.409273956067i</v>
      </c>
      <c r="BA491">
        <f t="shared" si="448"/>
        <v>396.41053527672062</v>
      </c>
      <c r="BB491">
        <f t="shared" si="449"/>
        <v>1.5682736868253977</v>
      </c>
      <c r="BC491" s="41" t="str">
        <f t="shared" si="450"/>
        <v>-0.00408183860940074+0.0490432963216571i</v>
      </c>
      <c r="BD491">
        <f t="shared" si="451"/>
        <v>-26.158426594031212</v>
      </c>
      <c r="BE491" s="43">
        <f t="shared" si="452"/>
        <v>94.757721365539382</v>
      </c>
      <c r="BF491" s="41" t="str">
        <f t="shared" si="453"/>
        <v>-0.110681278560362-0.32187232506385i</v>
      </c>
      <c r="BG491" s="20">
        <f t="shared" si="454"/>
        <v>-9.3609594309211612</v>
      </c>
      <c r="BH491" s="43">
        <f t="shared" si="455"/>
        <v>-108.97640401790912</v>
      </c>
      <c r="BI491" s="41" t="str">
        <f t="shared" si="409"/>
        <v>4.34525851082325+0.362688312911459i</v>
      </c>
      <c r="BJ491" s="20">
        <f t="shared" si="456"/>
        <v>12.790464072961178</v>
      </c>
      <c r="BK491" s="43">
        <f t="shared" si="410"/>
        <v>4.7712816430690994</v>
      </c>
      <c r="BL491">
        <f t="shared" si="457"/>
        <v>-9.3609594309211612</v>
      </c>
      <c r="BM491" s="43">
        <f t="shared" si="458"/>
        <v>-108.97640401790912</v>
      </c>
    </row>
    <row r="492" spans="14:65" x14ac:dyDescent="0.25">
      <c r="N492" s="9">
        <v>74</v>
      </c>
      <c r="O492" s="34">
        <f t="shared" si="459"/>
        <v>549540.87385762564</v>
      </c>
      <c r="P492" s="33" t="str">
        <f t="shared" si="411"/>
        <v>16.5157725627975</v>
      </c>
      <c r="Q492" s="4" t="str">
        <f t="shared" si="412"/>
        <v>1+8934.19372306461i</v>
      </c>
      <c r="R492" s="4">
        <f t="shared" si="424"/>
        <v>8934.1937790293705</v>
      </c>
      <c r="S492" s="4">
        <f t="shared" si="425"/>
        <v>1.5706843972770441</v>
      </c>
      <c r="T492" s="4" t="str">
        <f t="shared" si="413"/>
        <v>1+56.7996645240123i</v>
      </c>
      <c r="U492" s="4">
        <f t="shared" si="426"/>
        <v>56.808466710872779</v>
      </c>
      <c r="V492" s="4">
        <f t="shared" si="427"/>
        <v>1.5531924077062433</v>
      </c>
      <c r="W492" t="str">
        <f t="shared" si="414"/>
        <v>1-863.216786079215i</v>
      </c>
      <c r="X492" s="4">
        <f t="shared" si="428"/>
        <v>863.21736530779378</v>
      </c>
      <c r="Y492" s="4">
        <f t="shared" si="429"/>
        <v>-1.5696378697667368</v>
      </c>
      <c r="Z492" t="str">
        <f t="shared" si="415"/>
        <v>-5.23956967025213+12.085035005109i</v>
      </c>
      <c r="AA492" s="4">
        <f t="shared" si="430"/>
        <v>13.171983958543827</v>
      </c>
      <c r="AB492" s="4">
        <f t="shared" si="431"/>
        <v>1.9798937113255812</v>
      </c>
      <c r="AC492" s="47" t="str">
        <f t="shared" si="432"/>
        <v>-6.26870254737461+2.84036439603452i</v>
      </c>
      <c r="AD492" s="20">
        <f t="shared" si="433"/>
        <v>16.754511372492654</v>
      </c>
      <c r="AE492" s="43">
        <f t="shared" si="434"/>
        <v>155.62460397731826</v>
      </c>
      <c r="AF492" t="str">
        <f t="shared" si="416"/>
        <v>247.084651286898</v>
      </c>
      <c r="AG492" t="str">
        <f t="shared" si="417"/>
        <v>1+8736.9799791477i</v>
      </c>
      <c r="AH492">
        <f t="shared" si="435"/>
        <v>8736.9800363757113</v>
      </c>
      <c r="AI492">
        <f t="shared" si="436"/>
        <v>1.5706818707702725</v>
      </c>
      <c r="AJ492" t="str">
        <f t="shared" si="418"/>
        <v>1+56.7996645240123i</v>
      </c>
      <c r="AK492">
        <f t="shared" si="437"/>
        <v>56.808466710872779</v>
      </c>
      <c r="AL492">
        <f t="shared" si="438"/>
        <v>1.5531924077062433</v>
      </c>
      <c r="AM492" t="str">
        <f t="shared" si="419"/>
        <v>1-56.4251163684623i</v>
      </c>
      <c r="AN492">
        <f t="shared" si="439"/>
        <v>56.433976974819977</v>
      </c>
      <c r="AO492">
        <f t="shared" si="440"/>
        <v>-1.5530755778238574</v>
      </c>
      <c r="AP492" s="41" t="str">
        <f t="shared" si="441"/>
        <v>0.0209694633340961-90.6646809192466i</v>
      </c>
      <c r="AQ492">
        <f t="shared" si="442"/>
        <v>39.148762981419402</v>
      </c>
      <c r="AR492" s="43">
        <f t="shared" si="443"/>
        <v>-89.986748293667475</v>
      </c>
      <c r="AS492" t="str">
        <f t="shared" si="420"/>
        <v>-0.0000166666666666667</v>
      </c>
      <c r="AT492" t="str">
        <f t="shared" si="421"/>
        <v>0.0117397482906773i</v>
      </c>
      <c r="AU492">
        <f t="shared" si="444"/>
        <v>1.1739748290677299E-2</v>
      </c>
      <c r="AV492">
        <f t="shared" si="445"/>
        <v>1.5707963267948966</v>
      </c>
      <c r="AW492" t="str">
        <f t="shared" si="422"/>
        <v>1+11.9306715327748i</v>
      </c>
      <c r="AX492">
        <f t="shared" si="446"/>
        <v>11.972506973184981</v>
      </c>
      <c r="AY492">
        <f t="shared" si="447"/>
        <v>1.487174208483667</v>
      </c>
      <c r="AZ492" t="str">
        <f t="shared" si="423"/>
        <v>1+405.642832114345i</v>
      </c>
      <c r="BA492">
        <f t="shared" si="448"/>
        <v>405.64406472392358</v>
      </c>
      <c r="BB492">
        <f t="shared" si="449"/>
        <v>1.5683311088862739</v>
      </c>
      <c r="BC492" s="41" t="str">
        <f t="shared" si="450"/>
        <v>-0.00389940726005219+0.0479422255578683i</v>
      </c>
      <c r="BD492">
        <f t="shared" si="451"/>
        <v>-26.357000171344733</v>
      </c>
      <c r="BE492" s="43">
        <f t="shared" si="452"/>
        <v>94.649947871432943</v>
      </c>
      <c r="BF492" s="41" t="str">
        <f t="shared" si="453"/>
        <v>-0.111729166316885-0.311611289028508i</v>
      </c>
      <c r="BG492" s="20">
        <f t="shared" si="454"/>
        <v>-9.6024887988520753</v>
      </c>
      <c r="BH492" s="43">
        <f t="shared" si="455"/>
        <v>-109.72544815124876</v>
      </c>
      <c r="BI492" s="41" t="str">
        <f t="shared" si="409"/>
        <v>4.34658481428511+0.354543837747816i</v>
      </c>
      <c r="BJ492" s="20">
        <f t="shared" si="456"/>
        <v>12.791762810074662</v>
      </c>
      <c r="BK492" s="43">
        <f t="shared" si="410"/>
        <v>4.6631995777654884</v>
      </c>
      <c r="BL492">
        <f t="shared" si="457"/>
        <v>-9.6024887988520753</v>
      </c>
      <c r="BM492" s="43">
        <f t="shared" si="458"/>
        <v>-109.72544815124876</v>
      </c>
    </row>
    <row r="493" spans="14:65" x14ac:dyDescent="0.25">
      <c r="N493" s="9">
        <v>75</v>
      </c>
      <c r="O493" s="34">
        <f t="shared" si="459"/>
        <v>562341.32519035018</v>
      </c>
      <c r="P493" s="33" t="str">
        <f t="shared" si="411"/>
        <v>16.5157725627975</v>
      </c>
      <c r="Q493" s="4" t="str">
        <f t="shared" si="412"/>
        <v>1+9142.29782849073i</v>
      </c>
      <c r="R493" s="4">
        <f t="shared" si="424"/>
        <v>9142.2978831815744</v>
      </c>
      <c r="S493" s="4">
        <f t="shared" si="425"/>
        <v>1.5706869451039069</v>
      </c>
      <c r="T493" s="4" t="str">
        <f t="shared" si="413"/>
        <v>1+58.1226986713197i</v>
      </c>
      <c r="U493" s="4">
        <f t="shared" si="426"/>
        <v>58.131300525938933</v>
      </c>
      <c r="V493" s="4">
        <f t="shared" si="427"/>
        <v>1.5535930418493091</v>
      </c>
      <c r="W493" t="str">
        <f t="shared" si="414"/>
        <v>1-883.323688013978i</v>
      </c>
      <c r="X493" s="4">
        <f t="shared" si="428"/>
        <v>883.32425405771312</v>
      </c>
      <c r="Y493" s="4">
        <f t="shared" si="429"/>
        <v>-1.569664239445308</v>
      </c>
      <c r="Z493" t="str">
        <f t="shared" si="415"/>
        <v>-5.53363152927353+12.3665316321957i</v>
      </c>
      <c r="AA493" s="4">
        <f t="shared" si="430"/>
        <v>13.548143138890547</v>
      </c>
      <c r="AB493" s="4">
        <f t="shared" si="431"/>
        <v>1.9915429389955188</v>
      </c>
      <c r="AC493" s="47" t="str">
        <f t="shared" si="432"/>
        <v>-6.2043094259365+2.89595844221409i</v>
      </c>
      <c r="AD493" s="20">
        <f t="shared" si="433"/>
        <v>16.70987887893369</v>
      </c>
      <c r="AE493" s="43">
        <f t="shared" si="434"/>
        <v>154.97845019175497</v>
      </c>
      <c r="AF493" t="str">
        <f t="shared" si="416"/>
        <v>247.084651286898</v>
      </c>
      <c r="AG493" t="str">
        <f t="shared" si="417"/>
        <v>1+8940.49038635911i</v>
      </c>
      <c r="AH493">
        <f t="shared" si="435"/>
        <v>8940.490442284452</v>
      </c>
      <c r="AI493">
        <f t="shared" si="436"/>
        <v>1.5706844761074494</v>
      </c>
      <c r="AJ493" t="str">
        <f t="shared" si="418"/>
        <v>1+58.1226986713197i</v>
      </c>
      <c r="AK493">
        <f t="shared" si="437"/>
        <v>58.131300525938933</v>
      </c>
      <c r="AL493">
        <f t="shared" si="438"/>
        <v>1.5535930418493091</v>
      </c>
      <c r="AM493" t="str">
        <f t="shared" si="419"/>
        <v>1-57.7394261684737i</v>
      </c>
      <c r="AN493">
        <f t="shared" si="439"/>
        <v>57.74808511340116</v>
      </c>
      <c r="AO493">
        <f t="shared" si="440"/>
        <v>-1.5534788697368576</v>
      </c>
      <c r="AP493" s="41" t="str">
        <f t="shared" si="441"/>
        <v>0.0209693176640415-92.7752302703139i</v>
      </c>
      <c r="AQ493">
        <f t="shared" si="442"/>
        <v>39.348641040891515</v>
      </c>
      <c r="AR493" s="43">
        <f t="shared" si="443"/>
        <v>-89.987049847492059</v>
      </c>
      <c r="AS493" t="str">
        <f t="shared" si="420"/>
        <v>-0.0000166666666666667</v>
      </c>
      <c r="AT493" t="str">
        <f t="shared" si="421"/>
        <v>0.0120132021569901i</v>
      </c>
      <c r="AU493">
        <f t="shared" si="444"/>
        <v>1.20132021569901E-2</v>
      </c>
      <c r="AV493">
        <f t="shared" si="445"/>
        <v>1.5707963267948966</v>
      </c>
      <c r="AW493" t="str">
        <f t="shared" si="422"/>
        <v>1+12.208572572692i</v>
      </c>
      <c r="AX493">
        <f t="shared" si="446"/>
        <v>12.249458937548523</v>
      </c>
      <c r="AY493">
        <f t="shared" si="447"/>
        <v>1.4890691177824011</v>
      </c>
      <c r="AZ493" t="str">
        <f t="shared" si="423"/>
        <v>1+415.091467471528i</v>
      </c>
      <c r="BA493">
        <f t="shared" si="448"/>
        <v>415.09267202356943</v>
      </c>
      <c r="BB493">
        <f t="shared" si="449"/>
        <v>1.5683872238771752</v>
      </c>
      <c r="BC493" s="41" t="str">
        <f t="shared" si="450"/>
        <v>-0.00372507465415599+0.0468652067946759i</v>
      </c>
      <c r="BD493">
        <f t="shared" si="451"/>
        <v>-26.555637510004185</v>
      </c>
      <c r="BE493" s="43">
        <f t="shared" si="452"/>
        <v>94.544592718201429</v>
      </c>
      <c r="BF493" s="41" t="str">
        <f t="shared" si="453"/>
        <v>-0.112608175474054-0.301553905657252i</v>
      </c>
      <c r="BG493" s="20">
        <f t="shared" si="454"/>
        <v>-9.8457586310704865</v>
      </c>
      <c r="BH493" s="43">
        <f t="shared" si="455"/>
        <v>-110.47695709004361</v>
      </c>
      <c r="BI493" s="41" t="str">
        <f t="shared" si="409"/>
        <v>4.34785223976819+0.3465773902221i</v>
      </c>
      <c r="BJ493" s="20">
        <f t="shared" si="456"/>
        <v>12.793003530887329</v>
      </c>
      <c r="BK493" s="43">
        <f t="shared" si="410"/>
        <v>4.5575428707093666</v>
      </c>
      <c r="BL493">
        <f t="shared" si="457"/>
        <v>-9.8457586310704865</v>
      </c>
      <c r="BM493" s="43">
        <f t="shared" si="458"/>
        <v>-110.47695709004361</v>
      </c>
    </row>
    <row r="494" spans="14:65" x14ac:dyDescent="0.25">
      <c r="N494" s="9">
        <v>76</v>
      </c>
      <c r="O494" s="34">
        <f t="shared" si="459"/>
        <v>575439.93733715697</v>
      </c>
      <c r="P494" s="33" t="str">
        <f t="shared" si="411"/>
        <v>16.5157725627975</v>
      </c>
      <c r="Q494" s="4" t="str">
        <f t="shared" si="412"/>
        <v>1+9355.24930123811i</v>
      </c>
      <c r="R494" s="4">
        <f t="shared" si="424"/>
        <v>9355.2493546840378</v>
      </c>
      <c r="S494" s="4">
        <f t="shared" si="425"/>
        <v>1.5706894349351512</v>
      </c>
      <c r="T494" s="4" t="str">
        <f t="shared" si="413"/>
        <v>1+59.4765502428072i</v>
      </c>
      <c r="U494" s="4">
        <f t="shared" si="426"/>
        <v>59.484956323302185</v>
      </c>
      <c r="V494" s="4">
        <f t="shared" si="427"/>
        <v>1.553984561782829</v>
      </c>
      <c r="W494" t="str">
        <f t="shared" si="414"/>
        <v>1-903.898939860292i</v>
      </c>
      <c r="X494" s="4">
        <f t="shared" si="428"/>
        <v>903.89949301930676</v>
      </c>
      <c r="Y494" s="4">
        <f t="shared" si="429"/>
        <v>-1.5696900088782335</v>
      </c>
      <c r="Z494" t="str">
        <f t="shared" si="415"/>
        <v>-5.84155209674778+12.6545851580441i</v>
      </c>
      <c r="AA494" s="4">
        <f t="shared" si="430"/>
        <v>13.937799554492393</v>
      </c>
      <c r="AB494" s="4">
        <f t="shared" si="431"/>
        <v>2.0032675738928543</v>
      </c>
      <c r="AC494" s="47" t="str">
        <f t="shared" si="432"/>
        <v>-6.13816758770305+2.95047405426217i</v>
      </c>
      <c r="AD494" s="20">
        <f t="shared" si="433"/>
        <v>16.663532026789326</v>
      </c>
      <c r="AE494" s="43">
        <f t="shared" si="434"/>
        <v>154.32749139902276</v>
      </c>
      <c r="AF494" t="str">
        <f t="shared" si="416"/>
        <v>247.084651286898</v>
      </c>
      <c r="AG494" t="str">
        <f t="shared" si="417"/>
        <v>1+9148.74115991471i</v>
      </c>
      <c r="AH494">
        <f t="shared" si="435"/>
        <v>9148.7412145670369</v>
      </c>
      <c r="AI494">
        <f t="shared" si="436"/>
        <v>1.5706870221399132</v>
      </c>
      <c r="AJ494" t="str">
        <f t="shared" si="418"/>
        <v>1+59.4765502428072i</v>
      </c>
      <c r="AK494">
        <f t="shared" si="437"/>
        <v>59.484956323302185</v>
      </c>
      <c r="AL494">
        <f t="shared" si="438"/>
        <v>1.553984561782829</v>
      </c>
      <c r="AM494" t="str">
        <f t="shared" si="419"/>
        <v>1-59.084350176511i</v>
      </c>
      <c r="AN494">
        <f t="shared" si="439"/>
        <v>59.092812048341166</v>
      </c>
      <c r="AO494">
        <f t="shared" si="440"/>
        <v>-1.5538729870490253</v>
      </c>
      <c r="AP494" s="41" t="str">
        <f t="shared" si="441"/>
        <v>0.0209691785502188-94.934970276494i</v>
      </c>
      <c r="AQ494">
        <f t="shared" si="442"/>
        <v>39.548524586993182</v>
      </c>
      <c r="AR494" s="43">
        <f t="shared" si="443"/>
        <v>-89.987344543241065</v>
      </c>
      <c r="AS494" t="str">
        <f t="shared" si="420"/>
        <v>-0.0000166666666666667</v>
      </c>
      <c r="AT494" t="str">
        <f t="shared" si="421"/>
        <v>0.0122930255821i</v>
      </c>
      <c r="AU494">
        <f t="shared" si="444"/>
        <v>1.2293025582099999E-2</v>
      </c>
      <c r="AV494">
        <f t="shared" si="445"/>
        <v>1.5707963267948966</v>
      </c>
      <c r="AW494" t="str">
        <f t="shared" si="422"/>
        <v>1+12.4929467593867i</v>
      </c>
      <c r="AX494">
        <f t="shared" si="446"/>
        <v>12.532905438599249</v>
      </c>
      <c r="AY494">
        <f t="shared" si="447"/>
        <v>1.4909214622440319</v>
      </c>
      <c r="AZ494" t="str">
        <f t="shared" si="423"/>
        <v>1+424.760189819149i</v>
      </c>
      <c r="BA494">
        <f t="shared" si="448"/>
        <v>424.76136695231531</v>
      </c>
      <c r="BB494">
        <f t="shared" si="449"/>
        <v>1.568442061549598</v>
      </c>
      <c r="BC494" s="41" t="str">
        <f t="shared" si="450"/>
        <v>-0.00355848604838074+0.0458117590601893i</v>
      </c>
      <c r="BD494">
        <f t="shared" si="451"/>
        <v>-26.754335778585904</v>
      </c>
      <c r="BE494" s="43">
        <f t="shared" si="452"/>
        <v>94.441603165533706</v>
      </c>
      <c r="BF494" s="41" t="str">
        <f t="shared" si="453"/>
        <v>-0.113323822763734-0.291699475357117i</v>
      </c>
      <c r="BG494" s="20">
        <f t="shared" si="454"/>
        <v>-10.090803751796578</v>
      </c>
      <c r="BH494" s="43">
        <f t="shared" si="455"/>
        <v>-111.23090543544346</v>
      </c>
      <c r="BI494" s="41" t="str">
        <f t="shared" si="409"/>
        <v>4.34906336616366+0.338785402187777i</v>
      </c>
      <c r="BJ494" s="20">
        <f t="shared" si="456"/>
        <v>12.794188808407277</v>
      </c>
      <c r="BK494" s="43">
        <f t="shared" si="410"/>
        <v>4.4542586222926461</v>
      </c>
      <c r="BL494">
        <f t="shared" si="457"/>
        <v>-10.090803751796578</v>
      </c>
      <c r="BM494" s="43">
        <f t="shared" si="458"/>
        <v>-111.23090543544346</v>
      </c>
    </row>
    <row r="495" spans="14:65" x14ac:dyDescent="0.25">
      <c r="N495" s="9">
        <v>77</v>
      </c>
      <c r="O495" s="34">
        <f t="shared" si="459"/>
        <v>588843.65535558888</v>
      </c>
      <c r="P495" s="33" t="str">
        <f t="shared" si="411"/>
        <v>16.5157725627975</v>
      </c>
      <c r="Q495" s="4" t="str">
        <f t="shared" si="412"/>
        <v>1+9573.16105099637i</v>
      </c>
      <c r="R495" s="4">
        <f t="shared" si="424"/>
        <v>9573.1611032257224</v>
      </c>
      <c r="S495" s="4">
        <f t="shared" si="425"/>
        <v>1.5706918680909183</v>
      </c>
      <c r="T495" s="4" t="str">
        <f t="shared" si="413"/>
        <v>1+60.8619370684988i</v>
      </c>
      <c r="U495" s="4">
        <f t="shared" si="426"/>
        <v>60.870151829364687</v>
      </c>
      <c r="V495" s="4">
        <f t="shared" si="427"/>
        <v>1.554367174615457</v>
      </c>
      <c r="W495" t="str">
        <f t="shared" si="414"/>
        <v>1-924.95345088904i</v>
      </c>
      <c r="X495" s="4">
        <f t="shared" si="428"/>
        <v>924.95399145662577</v>
      </c>
      <c r="Y495" s="4">
        <f t="shared" si="429"/>
        <v>-1.5697151917286714</v>
      </c>
      <c r="Z495" t="str">
        <f t="shared" si="415"/>
        <v>-6.16398451348207+12.9493483124465i</v>
      </c>
      <c r="AA495" s="4">
        <f t="shared" si="430"/>
        <v>14.341559427046553</v>
      </c>
      <c r="AB495" s="4">
        <f t="shared" si="431"/>
        <v>2.0150662204468466</v>
      </c>
      <c r="AC495" s="47" t="str">
        <f t="shared" si="432"/>
        <v>-6.0702942933697+3.0038422414355i</v>
      </c>
      <c r="AD495" s="20">
        <f t="shared" si="433"/>
        <v>16.615433301700232</v>
      </c>
      <c r="AE495" s="43">
        <f t="shared" si="434"/>
        <v>153.671818567407</v>
      </c>
      <c r="AF495" t="str">
        <f t="shared" si="416"/>
        <v>247.084651286898</v>
      </c>
      <c r="AG495" t="str">
        <f t="shared" si="417"/>
        <v>1+9361.84271713122i</v>
      </c>
      <c r="AH495">
        <f t="shared" si="435"/>
        <v>9361.8427705395079</v>
      </c>
      <c r="AI495">
        <f t="shared" si="436"/>
        <v>1.5706895102176039</v>
      </c>
      <c r="AJ495" t="str">
        <f t="shared" si="418"/>
        <v>1+60.8619370684988i</v>
      </c>
      <c r="AK495">
        <f t="shared" si="437"/>
        <v>60.870151829364687</v>
      </c>
      <c r="AL495">
        <f t="shared" si="438"/>
        <v>1.554367174615457</v>
      </c>
      <c r="AM495" t="str">
        <f t="shared" si="419"/>
        <v>1-60.4606014890859i</v>
      </c>
      <c r="AN495">
        <f t="shared" si="439"/>
        <v>60.468870771844713</v>
      </c>
      <c r="AO495">
        <f t="shared" si="440"/>
        <v>-1.5542581382365546</v>
      </c>
      <c r="AP495" s="41" t="str">
        <f t="shared" si="441"/>
        <v>0.0209690456975486-97.1450460605265i</v>
      </c>
      <c r="AQ495">
        <f t="shared" si="442"/>
        <v>39.748413372926031</v>
      </c>
      <c r="AR495" s="43">
        <f t="shared" si="443"/>
        <v>-89.987632536614598</v>
      </c>
      <c r="AS495" t="str">
        <f t="shared" si="420"/>
        <v>-0.0000166666666666667</v>
      </c>
      <c r="AT495" t="str">
        <f t="shared" si="421"/>
        <v>0.0125793669320909i</v>
      </c>
      <c r="AU495">
        <f t="shared" si="444"/>
        <v>1.2579366932090901E-2</v>
      </c>
      <c r="AV495">
        <f t="shared" si="445"/>
        <v>1.5707963267948966</v>
      </c>
      <c r="AW495" t="str">
        <f t="shared" si="422"/>
        <v>1+12.783944871817i</v>
      </c>
      <c r="AX495">
        <f t="shared" si="446"/>
        <v>12.82299678256437</v>
      </c>
      <c r="AY495">
        <f t="shared" si="447"/>
        <v>1.4927321731319569</v>
      </c>
      <c r="AZ495" t="str">
        <f t="shared" si="423"/>
        <v>1+434.654125641778i</v>
      </c>
      <c r="BA495">
        <f t="shared" si="448"/>
        <v>434.65527598019395</v>
      </c>
      <c r="BB495">
        <f t="shared" si="449"/>
        <v>1.568495650977882</v>
      </c>
      <c r="BC495" s="41" t="str">
        <f t="shared" si="450"/>
        <v>-0.00339930181901649+0.0447814079974826i</v>
      </c>
      <c r="BD495">
        <f t="shared" si="451"/>
        <v>-26.953092269763246</v>
      </c>
      <c r="BE495" s="43">
        <f t="shared" si="452"/>
        <v>94.340927521804403</v>
      </c>
      <c r="BF495" s="41" t="str">
        <f t="shared" si="453"/>
        <v>-0.113881522540379-0.282047291811529i</v>
      </c>
      <c r="BG495" s="20">
        <f t="shared" si="454"/>
        <v>-10.337658968063019</v>
      </c>
      <c r="BH495" s="43">
        <f t="shared" si="455"/>
        <v>-111.98725391078862</v>
      </c>
      <c r="BI495" s="41" t="str">
        <f t="shared" si="409"/>
        <v>4.35022066245549+0.331164355172688i</v>
      </c>
      <c r="BJ495" s="20">
        <f t="shared" si="456"/>
        <v>12.795321103162774</v>
      </c>
      <c r="BK495" s="43">
        <f t="shared" si="410"/>
        <v>4.3532949851898213</v>
      </c>
      <c r="BL495">
        <f t="shared" si="457"/>
        <v>-10.337658968063019</v>
      </c>
      <c r="BM495" s="43">
        <f t="shared" si="458"/>
        <v>-111.98725391078862</v>
      </c>
    </row>
    <row r="496" spans="14:65" x14ac:dyDescent="0.25">
      <c r="N496" s="9">
        <v>78</v>
      </c>
      <c r="O496" s="34">
        <f t="shared" si="459"/>
        <v>602559.58607435878</v>
      </c>
      <c r="P496" s="33" t="str">
        <f t="shared" si="411"/>
        <v>16.5157725627975</v>
      </c>
      <c r="Q496" s="4" t="str">
        <f t="shared" si="412"/>
        <v>1+9796.14861745964i</v>
      </c>
      <c r="R496" s="4">
        <f t="shared" si="424"/>
        <v>9796.1486685001055</v>
      </c>
      <c r="S496" s="4">
        <f t="shared" si="425"/>
        <v>1.5706942458612996</v>
      </c>
      <c r="T496" s="4" t="str">
        <f t="shared" si="413"/>
        <v>1+62.2795936988271i</v>
      </c>
      <c r="U496" s="4">
        <f t="shared" si="426"/>
        <v>62.28762149328697</v>
      </c>
      <c r="V496" s="4">
        <f t="shared" si="427"/>
        <v>1.5547410827652308</v>
      </c>
      <c r="W496" t="str">
        <f t="shared" si="414"/>
        <v>1-946.498384480655i</v>
      </c>
      <c r="X496" s="4">
        <f t="shared" si="428"/>
        <v>946.49891274342713</v>
      </c>
      <c r="Y496" s="4">
        <f t="shared" si="429"/>
        <v>-1.5697398013487738</v>
      </c>
      <c r="Z496" t="str">
        <f t="shared" si="415"/>
        <v>-6.50161270186159+13.2509773827292i</v>
      </c>
      <c r="AA496" s="4">
        <f t="shared" si="430"/>
        <v>14.760059936281044</v>
      </c>
      <c r="AB496" s="4">
        <f t="shared" si="431"/>
        <v>2.026937252598449</v>
      </c>
      <c r="AC496" s="47" t="str">
        <f t="shared" si="432"/>
        <v>-6.00071080272153+3.05599321904881i</v>
      </c>
      <c r="AD496" s="20">
        <f t="shared" si="433"/>
        <v>16.565545436598633</v>
      </c>
      <c r="AE496" s="43">
        <f t="shared" si="434"/>
        <v>153.01153562198874</v>
      </c>
      <c r="AF496" t="str">
        <f t="shared" si="416"/>
        <v>247.084651286898</v>
      </c>
      <c r="AG496" t="str">
        <f t="shared" si="417"/>
        <v>1+9579.90804727498i</v>
      </c>
      <c r="AH496">
        <f t="shared" si="435"/>
        <v>9579.908099467546</v>
      </c>
      <c r="AI496">
        <f t="shared" si="436"/>
        <v>1.5706919416597331</v>
      </c>
      <c r="AJ496" t="str">
        <f t="shared" si="418"/>
        <v>1+62.2795936988271i</v>
      </c>
      <c r="AK496">
        <f t="shared" si="437"/>
        <v>62.28762149328697</v>
      </c>
      <c r="AL496">
        <f t="shared" si="438"/>
        <v>1.5547410827652308</v>
      </c>
      <c r="AM496" t="str">
        <f t="shared" si="419"/>
        <v>1-61.8689098128609i</v>
      </c>
      <c r="AN496">
        <f t="shared" si="439"/>
        <v>61.876990888632548</v>
      </c>
      <c r="AO496">
        <f t="shared" si="440"/>
        <v>-1.5546345270543698</v>
      </c>
      <c r="AP496" s="41" t="str">
        <f t="shared" si="441"/>
        <v>0.0209689188242359-99.4066294338457i</v>
      </c>
      <c r="AQ496">
        <f t="shared" si="442"/>
        <v>39.948307162987021</v>
      </c>
      <c r="AR496" s="43">
        <f t="shared" si="443"/>
        <v>-89.987913979795877</v>
      </c>
      <c r="AS496" t="str">
        <f t="shared" si="420"/>
        <v>-0.0000166666666666667</v>
      </c>
      <c r="AT496" t="str">
        <f t="shared" si="421"/>
        <v>0.0128723780289369i</v>
      </c>
      <c r="AU496">
        <f t="shared" si="444"/>
        <v>1.28723780289369E-2</v>
      </c>
      <c r="AV496">
        <f t="shared" si="445"/>
        <v>1.5707963267948966</v>
      </c>
      <c r="AW496" t="str">
        <f t="shared" si="422"/>
        <v>1+13.0817212010338i</v>
      </c>
      <c r="AX496">
        <f t="shared" si="446"/>
        <v>13.119886797590031</v>
      </c>
      <c r="AY496">
        <f t="shared" si="447"/>
        <v>1.4945021629887052</v>
      </c>
      <c r="AZ496" t="str">
        <f t="shared" si="423"/>
        <v>1+444.778520835149i</v>
      </c>
      <c r="BA496">
        <f t="shared" si="448"/>
        <v>444.77964498873263</v>
      </c>
      <c r="BB496">
        <f t="shared" si="449"/>
        <v>1.5685480205746198</v>
      </c>
      <c r="BC496" s="41" t="str">
        <f t="shared" si="450"/>
        <v>-0.00324719685438562+0.0437736859918354i</v>
      </c>
      <c r="BD496">
        <f t="shared" si="451"/>
        <v>-27.151904395010135</v>
      </c>
      <c r="BE496" s="43">
        <f t="shared" si="452"/>
        <v>94.242515130099648</v>
      </c>
      <c r="BF496" s="41" t="str">
        <f t="shared" si="453"/>
        <v>-0.114286598321146-0.272596641974066i</v>
      </c>
      <c r="BG496" s="20">
        <f t="shared" si="454"/>
        <v>-10.586358958411495</v>
      </c>
      <c r="BH496" s="43">
        <f t="shared" si="455"/>
        <v>-112.74594924791164</v>
      </c>
      <c r="BI496" s="41" t="str">
        <f t="shared" si="409"/>
        <v>4.35132649213666+0.323710781270861i</v>
      </c>
      <c r="BJ496" s="20">
        <f t="shared" si="456"/>
        <v>12.796402767976891</v>
      </c>
      <c r="BK496" s="43">
        <f t="shared" si="410"/>
        <v>4.2546011503037739</v>
      </c>
      <c r="BL496">
        <f t="shared" si="457"/>
        <v>-10.586358958411495</v>
      </c>
      <c r="BM496" s="43">
        <f t="shared" si="458"/>
        <v>-112.74594924791164</v>
      </c>
    </row>
    <row r="497" spans="14:65" x14ac:dyDescent="0.25">
      <c r="N497" s="9">
        <v>79</v>
      </c>
      <c r="O497" s="34">
        <f t="shared" si="459"/>
        <v>616595.00186148309</v>
      </c>
      <c r="P497" s="33" t="str">
        <f t="shared" si="411"/>
        <v>16.5157725627975</v>
      </c>
      <c r="Q497" s="4" t="str">
        <f t="shared" si="412"/>
        <v>1+10024.3302315873i</v>
      </c>
      <c r="R497" s="4">
        <f t="shared" si="424"/>
        <v>10024.330281465944</v>
      </c>
      <c r="S497" s="4">
        <f t="shared" si="425"/>
        <v>1.5706965695070201</v>
      </c>
      <c r="T497" s="4" t="str">
        <f t="shared" si="413"/>
        <v>1+63.7302717941024i</v>
      </c>
      <c r="U497" s="4">
        <f t="shared" si="426"/>
        <v>63.73811687640422</v>
      </c>
      <c r="V497" s="4">
        <f t="shared" si="427"/>
        <v>1.5551064840647599</v>
      </c>
      <c r="W497" t="str">
        <f t="shared" si="414"/>
        <v>1-968.54516404411i</v>
      </c>
      <c r="X497" s="4">
        <f t="shared" si="428"/>
        <v>968.54568028215988</v>
      </c>
      <c r="Y497" s="4">
        <f t="shared" si="429"/>
        <v>-1.5697638507867682</v>
      </c>
      <c r="Z497" t="str">
        <f t="shared" si="415"/>
        <v>-6.85515281654054+13.5596322966175i</v>
      </c>
      <c r="AA497" s="4">
        <f t="shared" si="430"/>
        <v>15.193970783096697</v>
      </c>
      <c r="AB497" s="4">
        <f t="shared" si="431"/>
        <v>2.0388788123919381</v>
      </c>
      <c r="AC497" s="47" t="str">
        <f t="shared" si="432"/>
        <v>-5.92944251662019+3.10685666892976i</v>
      </c>
      <c r="AD497" s="20">
        <f t="shared" si="433"/>
        <v>16.513831520998128</v>
      </c>
      <c r="AE497" s="43">
        <f t="shared" si="434"/>
        <v>152.34675953092082</v>
      </c>
      <c r="AF497" t="str">
        <f t="shared" si="416"/>
        <v>247.084651286898</v>
      </c>
      <c r="AG497" t="str">
        <f t="shared" si="417"/>
        <v>1+9803.05277147051i</v>
      </c>
      <c r="AH497">
        <f t="shared" si="435"/>
        <v>9803.0528224750287</v>
      </c>
      <c r="AI497">
        <f t="shared" si="436"/>
        <v>1.5706943177554837</v>
      </c>
      <c r="AJ497" t="str">
        <f t="shared" si="418"/>
        <v>1+63.7302717941024i</v>
      </c>
      <c r="AK497">
        <f t="shared" si="437"/>
        <v>63.73811687640422</v>
      </c>
      <c r="AL497">
        <f t="shared" si="438"/>
        <v>1.5551064840647599</v>
      </c>
      <c r="AM497" t="str">
        <f t="shared" si="419"/>
        <v>1-63.3100218515506i</v>
      </c>
      <c r="AN497">
        <f t="shared" si="439"/>
        <v>63.317919002789523</v>
      </c>
      <c r="AO497">
        <f t="shared" si="440"/>
        <v>-1.5550023526419796</v>
      </c>
      <c r="AP497" s="41" t="str">
        <f t="shared" si="441"/>
        <v>0.0209687976611601-101.720919517892i</v>
      </c>
      <c r="AQ497">
        <f t="shared" si="442"/>
        <v>40.148205732070252</v>
      </c>
      <c r="AR497" s="43">
        <f t="shared" si="443"/>
        <v>-89.98818902152945</v>
      </c>
      <c r="AS497" t="str">
        <f t="shared" si="420"/>
        <v>-0.0000166666666666667</v>
      </c>
      <c r="AT497" t="str">
        <f t="shared" si="421"/>
        <v>0.0131722142309999i</v>
      </c>
      <c r="AU497">
        <f t="shared" si="444"/>
        <v>1.31722142309999E-2</v>
      </c>
      <c r="AV497">
        <f t="shared" si="445"/>
        <v>1.5707963267948966</v>
      </c>
      <c r="AW497" t="str">
        <f t="shared" si="422"/>
        <v>1+13.3864336319885i</v>
      </c>
      <c r="AX497">
        <f t="shared" si="446"/>
        <v>13.423732915386569</v>
      </c>
      <c r="AY497">
        <f t="shared" si="447"/>
        <v>1.4962323259004364</v>
      </c>
      <c r="AZ497" t="str">
        <f t="shared" si="423"/>
        <v>1+455.138743487608i</v>
      </c>
      <c r="BA497">
        <f t="shared" si="448"/>
        <v>455.1398420523945</v>
      </c>
      <c r="BB497">
        <f t="shared" si="449"/>
        <v>1.568599198105715</v>
      </c>
      <c r="BC497" s="41" t="str">
        <f t="shared" si="450"/>
        <v>-0.00310185996838411+0.0427881322777461i</v>
      </c>
      <c r="BD497">
        <f t="shared" si="451"/>
        <v>-27.350769679518908</v>
      </c>
      <c r="BE497" s="43">
        <f t="shared" si="452"/>
        <v>94.14631635392503</v>
      </c>
      <c r="BF497" s="41" t="str">
        <f t="shared" si="453"/>
        <v>-0.114544293741025-0.263346805063297i</v>
      </c>
      <c r="BG497" s="20">
        <f t="shared" si="454"/>
        <v>-10.83693815852078</v>
      </c>
      <c r="BH497" s="43">
        <f t="shared" si="455"/>
        <v>-113.50692411515405</v>
      </c>
      <c r="BI497" s="41" t="str">
        <f t="shared" si="409"/>
        <v>4.35238311747148+0.316421263887802i</v>
      </c>
      <c r="BJ497" s="20">
        <f t="shared" si="456"/>
        <v>12.797436052551344</v>
      </c>
      <c r="BK497" s="43">
        <f t="shared" si="410"/>
        <v>4.1581273323955852</v>
      </c>
      <c r="BL497">
        <f t="shared" si="457"/>
        <v>-10.83693815852078</v>
      </c>
      <c r="BM497" s="43">
        <f t="shared" si="458"/>
        <v>-113.50692411515405</v>
      </c>
    </row>
    <row r="498" spans="14:65" x14ac:dyDescent="0.25">
      <c r="N498" s="9">
        <v>80</v>
      </c>
      <c r="O498" s="34">
        <f t="shared" si="459"/>
        <v>630957.34448019415</v>
      </c>
      <c r="P498" s="33" t="str">
        <f t="shared" si="411"/>
        <v>16.5157725627975</v>
      </c>
      <c r="Q498" s="4" t="str">
        <f t="shared" si="412"/>
        <v>1+10257.8268782913i</v>
      </c>
      <c r="R498" s="4">
        <f t="shared" si="424"/>
        <v>10257.826927034568</v>
      </c>
      <c r="S498" s="4">
        <f t="shared" si="425"/>
        <v>1.5706988402601074</v>
      </c>
      <c r="T498" s="4" t="str">
        <f t="shared" si="413"/>
        <v>1+65.2147405230528i</v>
      </c>
      <c r="U498" s="4">
        <f t="shared" si="426"/>
        <v>65.222407050714594</v>
      </c>
      <c r="V498" s="4">
        <f t="shared" si="427"/>
        <v>1.5554635718641245</v>
      </c>
      <c r="W498" t="str">
        <f t="shared" si="414"/>
        <v>1-991.10547907375i</v>
      </c>
      <c r="X498" s="4">
        <f t="shared" si="428"/>
        <v>991.10598356079322</v>
      </c>
      <c r="Y498" s="4">
        <f t="shared" si="429"/>
        <v>-1.5697873527938733</v>
      </c>
      <c r="Z498" t="str">
        <f t="shared" si="415"/>
        <v>-7.225354763502+13.8754767070325i</v>
      </c>
      <c r="AA498" s="4">
        <f t="shared" si="430"/>
        <v>15.643995822866435</v>
      </c>
      <c r="AB498" s="4">
        <f t="shared" si="431"/>
        <v>2.0508888093361421</v>
      </c>
      <c r="AC498" s="47" t="str">
        <f t="shared" si="432"/>
        <v>-5.85651910089007+3.15636201743449i</v>
      </c>
      <c r="AD498" s="20">
        <f t="shared" si="433"/>
        <v>16.460255113161729</v>
      </c>
      <c r="AE498" s="43">
        <f t="shared" si="434"/>
        <v>151.67762034748662</v>
      </c>
      <c r="AF498" t="str">
        <f t="shared" si="416"/>
        <v>247.084651286898</v>
      </c>
      <c r="AG498" t="str">
        <f t="shared" si="417"/>
        <v>1+10031.3952040042i</v>
      </c>
      <c r="AH498">
        <f t="shared" si="435"/>
        <v>10031.395253847717</v>
      </c>
      <c r="AI498">
        <f t="shared" si="436"/>
        <v>1.5706966397646929</v>
      </c>
      <c r="AJ498" t="str">
        <f t="shared" si="418"/>
        <v>1+65.2147405230528i</v>
      </c>
      <c r="AK498">
        <f t="shared" si="437"/>
        <v>65.222407050714594</v>
      </c>
      <c r="AL498">
        <f t="shared" si="438"/>
        <v>1.5554635718641245</v>
      </c>
      <c r="AM498" t="str">
        <f t="shared" si="419"/>
        <v>1-64.784701701833i</v>
      </c>
      <c r="AN498">
        <f t="shared" si="439"/>
        <v>64.792419113623808</v>
      </c>
      <c r="AO498">
        <f t="shared" si="440"/>
        <v>-1.5553618096270292</v>
      </c>
      <c r="AP498" s="41" t="str">
        <f t="shared" si="441"/>
        <v>0.0209686819513261-104.0891433799i</v>
      </c>
      <c r="AQ498">
        <f t="shared" si="442"/>
        <v>40.348108865190824</v>
      </c>
      <c r="AR498" s="43">
        <f t="shared" si="443"/>
        <v>-89.988457807197761</v>
      </c>
      <c r="AS498" t="str">
        <f t="shared" si="420"/>
        <v>-0.0000166666666666667</v>
      </c>
      <c r="AT498" t="str">
        <f t="shared" si="421"/>
        <v>0.013479034515403i</v>
      </c>
      <c r="AU498">
        <f t="shared" si="444"/>
        <v>1.3479034515403001E-2</v>
      </c>
      <c r="AV498">
        <f t="shared" si="445"/>
        <v>1.5707963267948966</v>
      </c>
      <c r="AW498" t="str">
        <f t="shared" si="422"/>
        <v>1+13.6982437272452i</v>
      </c>
      <c r="AX498">
        <f t="shared" si="446"/>
        <v>13.734696254777987</v>
      </c>
      <c r="AY498">
        <f t="shared" si="447"/>
        <v>1.4979235377658053</v>
      </c>
      <c r="AZ498" t="str">
        <f t="shared" si="423"/>
        <v>1+465.740286726336i</v>
      </c>
      <c r="BA498">
        <f t="shared" si="448"/>
        <v>465.74136028479336</v>
      </c>
      <c r="BB498">
        <f t="shared" si="449"/>
        <v>1.5686492107050991</v>
      </c>
      <c r="BC498" s="41" t="str">
        <f t="shared" si="450"/>
        <v>-0.00296299333472492+0.0418242930272104i</v>
      </c>
      <c r="BD498">
        <f t="shared" si="451"/>
        <v>-27.549685757324319</v>
      </c>
      <c r="BE498" s="43">
        <f t="shared" si="452"/>
        <v>94.052282562644152</v>
      </c>
      <c r="BF498" s="41" t="str">
        <f t="shared" si="453"/>
        <v>-0.114659782856511-0.254297050614718i</v>
      </c>
      <c r="BG498" s="20">
        <f t="shared" si="454"/>
        <v>-11.08943064416259</v>
      </c>
      <c r="BH498" s="43">
        <f t="shared" si="455"/>
        <v>-114.2700970898693</v>
      </c>
      <c r="BI498" s="41" t="str">
        <f t="shared" ref="BI498:BI560" si="460">IMPRODUCT(AP498,BC498)</f>
        <v>4.35339270360739+0.309292438350197i</v>
      </c>
      <c r="BJ498" s="20">
        <f t="shared" si="456"/>
        <v>12.798423107866498</v>
      </c>
      <c r="BK498" s="43">
        <f t="shared" ref="BK498:BK560" si="461">(180/PI())*IMARGUMENT(BI498)</f>
        <v>4.0638247554464098</v>
      </c>
      <c r="BL498">
        <f t="shared" si="457"/>
        <v>-11.08943064416259</v>
      </c>
      <c r="BM498" s="43">
        <f t="shared" si="458"/>
        <v>-114.2700970898693</v>
      </c>
    </row>
    <row r="499" spans="14:65" x14ac:dyDescent="0.25">
      <c r="N499" s="9">
        <v>81</v>
      </c>
      <c r="O499" s="34">
        <f t="shared" si="459"/>
        <v>645654.22903465747</v>
      </c>
      <c r="P499" s="33" t="str">
        <f t="shared" si="411"/>
        <v>16.5157725627975</v>
      </c>
      <c r="Q499" s="4" t="str">
        <f t="shared" si="412"/>
        <v>1+10496.7623605847i</v>
      </c>
      <c r="R499" s="4">
        <f t="shared" si="424"/>
        <v>10496.762408218434</v>
      </c>
      <c r="S499" s="4">
        <f t="shared" si="425"/>
        <v>1.570701059324545</v>
      </c>
      <c r="T499" s="4" t="str">
        <f t="shared" si="413"/>
        <v>1+66.7337869706477i</v>
      </c>
      <c r="U499" s="4">
        <f t="shared" si="426"/>
        <v>66.741279006652164</v>
      </c>
      <c r="V499" s="4">
        <f t="shared" si="427"/>
        <v>1.5558125351315306</v>
      </c>
      <c r="W499" t="str">
        <f t="shared" si="414"/>
        <v>1-1014.19129134723i</v>
      </c>
      <c r="X499" s="4">
        <f t="shared" si="428"/>
        <v>1014.191784350752</v>
      </c>
      <c r="Y499" s="4">
        <f t="shared" si="429"/>
        <v>-1.5698103198310607</v>
      </c>
      <c r="Z499" t="str">
        <f t="shared" si="415"/>
        <v>-7.61300379070945+14.1986780788612i</v>
      </c>
      <c r="AA499" s="4">
        <f t="shared" si="430"/>
        <v>16.110874771547635</v>
      </c>
      <c r="AB499" s="4">
        <f t="shared" si="431"/>
        <v>2.0629649205817469</v>
      </c>
      <c r="AC499" s="47" t="str">
        <f t="shared" si="432"/>
        <v>-5.78197458998207+3.20443872979082i</v>
      </c>
      <c r="AD499" s="20">
        <f t="shared" si="433"/>
        <v>16.404780354691194</v>
      </c>
      <c r="AE499" s="43">
        <f t="shared" si="434"/>
        <v>151.00426120528496</v>
      </c>
      <c r="AF499" t="str">
        <f t="shared" si="416"/>
        <v>247.084651286898</v>
      </c>
      <c r="AG499" t="str">
        <f t="shared" si="417"/>
        <v>1+10265.0564150563i</v>
      </c>
      <c r="AH499">
        <f t="shared" si="435"/>
        <v>10265.056463765237</v>
      </c>
      <c r="AI499">
        <f t="shared" si="436"/>
        <v>1.5706989089185204</v>
      </c>
      <c r="AJ499" t="str">
        <f t="shared" si="418"/>
        <v>1+66.7337869706477i</v>
      </c>
      <c r="AK499">
        <f t="shared" si="437"/>
        <v>66.741279006652164</v>
      </c>
      <c r="AL499">
        <f t="shared" si="438"/>
        <v>1.5558125351315306</v>
      </c>
      <c r="AM499" t="str">
        <f t="shared" si="419"/>
        <v>1-66.2937312584849i</v>
      </c>
      <c r="AN499">
        <f t="shared" si="439"/>
        <v>66.30127302075141</v>
      </c>
      <c r="AO499">
        <f t="shared" si="440"/>
        <v>-1.5557130882265957</v>
      </c>
      <c r="AP499" s="41" t="str">
        <f t="shared" si="441"/>
        <v>0.0209685714492865-106.512556683511i</v>
      </c>
      <c r="AQ499">
        <f t="shared" si="442"/>
        <v>40.548016357030711</v>
      </c>
      <c r="AR499" s="43">
        <f t="shared" si="443"/>
        <v>-89.988720478896113</v>
      </c>
      <c r="AS499" t="str">
        <f t="shared" si="420"/>
        <v>-0.0000166666666666667</v>
      </c>
      <c r="AT499" t="str">
        <f t="shared" si="421"/>
        <v>0.0137930015623223i</v>
      </c>
      <c r="AU499">
        <f t="shared" si="444"/>
        <v>1.3793001562322301E-2</v>
      </c>
      <c r="AV499">
        <f t="shared" si="445"/>
        <v>1.5707963267948966</v>
      </c>
      <c r="AW499" t="str">
        <f t="shared" si="422"/>
        <v>1+14.0173168126438i</v>
      </c>
      <c r="AX499">
        <f t="shared" si="446"/>
        <v>14.052941707202322</v>
      </c>
      <c r="AY499">
        <f t="shared" si="447"/>
        <v>1.4995766565684507</v>
      </c>
      <c r="AZ499" t="str">
        <f t="shared" si="423"/>
        <v>1+476.58877162989i</v>
      </c>
      <c r="BA499">
        <f t="shared" si="448"/>
        <v>476.58982075122776</v>
      </c>
      <c r="BB499">
        <f t="shared" si="449"/>
        <v>1.5686980848891128</v>
      </c>
      <c r="BC499" s="41" t="str">
        <f t="shared" si="450"/>
        <v>-0.00283031194143009+0.0408817214206678i</v>
      </c>
      <c r="BD499">
        <f t="shared" si="451"/>
        <v>-27.748650366625441</v>
      </c>
      <c r="BE499" s="43">
        <f t="shared" si="452"/>
        <v>93.960366116689983</v>
      </c>
      <c r="BF499" s="41" t="str">
        <f t="shared" si="453"/>
        <v>-0.114638179733835-0.245446635651535i</v>
      </c>
      <c r="BG499" s="20">
        <f t="shared" si="454"/>
        <v>-11.343870011934252</v>
      </c>
      <c r="BH499" s="43">
        <f t="shared" si="455"/>
        <v>-115.03537267802498</v>
      </c>
      <c r="BI499" s="41" t="str">
        <f t="shared" si="460"/>
        <v>4.35435732254022+0.30232099239017i</v>
      </c>
      <c r="BJ499" s="20">
        <f t="shared" si="456"/>
        <v>12.799365990405269</v>
      </c>
      <c r="BK499" s="43">
        <f t="shared" si="461"/>
        <v>3.9716456377938916</v>
      </c>
      <c r="BL499">
        <f t="shared" si="457"/>
        <v>-11.343870011934252</v>
      </c>
      <c r="BM499" s="43">
        <f t="shared" si="458"/>
        <v>-115.03537267802498</v>
      </c>
    </row>
    <row r="500" spans="14:65" x14ac:dyDescent="0.25">
      <c r="N500" s="9">
        <v>82</v>
      </c>
      <c r="O500" s="34">
        <f t="shared" si="459"/>
        <v>660693.44800759677</v>
      </c>
      <c r="P500" s="33" t="str">
        <f t="shared" si="411"/>
        <v>16.5157725627975</v>
      </c>
      <c r="Q500" s="4" t="str">
        <f t="shared" si="412"/>
        <v>1+10741.2633652227i</v>
      </c>
      <c r="R500" s="4">
        <f t="shared" si="424"/>
        <v>10741.263411772159</v>
      </c>
      <c r="S500" s="4">
        <f t="shared" si="425"/>
        <v>1.57070322787691</v>
      </c>
      <c r="T500" s="4" t="str">
        <f t="shared" si="413"/>
        <v>1+68.2882165554204i</v>
      </c>
      <c r="U500" s="4">
        <f t="shared" si="426"/>
        <v>68.29553807036001</v>
      </c>
      <c r="V500" s="4">
        <f t="shared" si="427"/>
        <v>1.5561535585517654</v>
      </c>
      <c r="W500" t="str">
        <f t="shared" si="414"/>
        <v>1-1037.81484126779i</v>
      </c>
      <c r="X500" s="4">
        <f t="shared" si="428"/>
        <v>1037.8153230491869</v>
      </c>
      <c r="Y500" s="4">
        <f t="shared" si="429"/>
        <v>-1.5698327640756604</v>
      </c>
      <c r="Z500" t="str">
        <f t="shared" si="415"/>
        <v>-8.01892215372244+14.529407777749i</v>
      </c>
      <c r="AA500" s="4">
        <f t="shared" si="430"/>
        <v>16.595384987386513</v>
      </c>
      <c r="AB500" s="4">
        <f t="shared" si="431"/>
        <v>2.0751045919570883</v>
      </c>
      <c r="AC500" s="47" t="str">
        <f t="shared" si="432"/>
        <v>-5.70584746836498+3.25101661926909i</v>
      </c>
      <c r="AD500" s="20">
        <f t="shared" si="433"/>
        <v>16.347372087032269</v>
      </c>
      <c r="AE500" s="43">
        <f t="shared" si="434"/>
        <v>150.32683826410872</v>
      </c>
      <c r="AF500" t="str">
        <f t="shared" si="416"/>
        <v>247.084651286898</v>
      </c>
      <c r="AG500" t="str">
        <f t="shared" si="417"/>
        <v>1+10504.1602948937i</v>
      </c>
      <c r="AH500">
        <f t="shared" si="435"/>
        <v>10504.160342493886</v>
      </c>
      <c r="AI500">
        <f t="shared" si="436"/>
        <v>1.5707011264201018</v>
      </c>
      <c r="AJ500" t="str">
        <f t="shared" si="418"/>
        <v>1+68.2882165554204i</v>
      </c>
      <c r="AK500">
        <f t="shared" si="437"/>
        <v>68.29553807036001</v>
      </c>
      <c r="AL500">
        <f t="shared" si="438"/>
        <v>1.5561535585517654</v>
      </c>
      <c r="AM500" t="str">
        <f t="shared" si="419"/>
        <v>1-67.8379106289511i</v>
      </c>
      <c r="AN500">
        <f t="shared" si="439"/>
        <v>67.845280738615529</v>
      </c>
      <c r="AO500">
        <f t="shared" si="440"/>
        <v>-1.5560563743462699</v>
      </c>
      <c r="AP500" s="41" t="str">
        <f t="shared" si="441"/>
        <v>0.0209684659206598-108.992444354534i</v>
      </c>
      <c r="AQ500">
        <f t="shared" si="442"/>
        <v>40.747928011503745</v>
      </c>
      <c r="AR500" s="43">
        <f t="shared" si="443"/>
        <v>-89.988977175505966</v>
      </c>
      <c r="AS500" t="str">
        <f t="shared" si="420"/>
        <v>-0.0000166666666666667</v>
      </c>
      <c r="AT500" t="str">
        <f t="shared" si="421"/>
        <v>0.0141142818412419i</v>
      </c>
      <c r="AU500">
        <f t="shared" si="444"/>
        <v>1.41142818412419E-2</v>
      </c>
      <c r="AV500">
        <f t="shared" si="445"/>
        <v>1.5707963267948966</v>
      </c>
      <c r="AW500" t="str">
        <f t="shared" si="422"/>
        <v>1+14.3438220649576i</v>
      </c>
      <c r="AX500">
        <f t="shared" si="446"/>
        <v>14.37863802420676</v>
      </c>
      <c r="AY500">
        <f t="shared" si="447"/>
        <v>1.5011925226524063</v>
      </c>
      <c r="AZ500" t="str">
        <f t="shared" si="423"/>
        <v>1+487.689950208559i</v>
      </c>
      <c r="BA500">
        <f t="shared" si="448"/>
        <v>487.69097544903036</v>
      </c>
      <c r="BB500">
        <f t="shared" si="449"/>
        <v>1.568745846570561</v>
      </c>
      <c r="BC500" s="41" t="str">
        <f t="shared" si="450"/>
        <v>-0.00270354306509992+0.0399599777019246i</v>
      </c>
      <c r="BD500">
        <f t="shared" si="451"/>
        <v>-27.947661345299682</v>
      </c>
      <c r="BE500" s="43">
        <f t="shared" si="452"/>
        <v>93.870520352590404</v>
      </c>
      <c r="BF500" s="41" t="str">
        <f t="shared" si="453"/>
        <v>-0.114484547260963-0.236794801041997i</v>
      </c>
      <c r="BG500" s="20">
        <f t="shared" si="454"/>
        <v>-11.600289258267416</v>
      </c>
      <c r="BH500" s="43">
        <f t="shared" si="455"/>
        <v>-115.80264138330087</v>
      </c>
      <c r="BI500" s="41" t="str">
        <f t="shared" si="460"/>
        <v>4.35527895693481+0.295503666513622i</v>
      </c>
      <c r="BJ500" s="20">
        <f t="shared" si="456"/>
        <v>12.800266666204065</v>
      </c>
      <c r="BK500" s="43">
        <f t="shared" si="461"/>
        <v>3.8815431770844415</v>
      </c>
      <c r="BL500">
        <f t="shared" si="457"/>
        <v>-11.600289258267416</v>
      </c>
      <c r="BM500" s="43">
        <f t="shared" si="458"/>
        <v>-115.80264138330087</v>
      </c>
    </row>
    <row r="501" spans="14:65" x14ac:dyDescent="0.25">
      <c r="N501" s="9">
        <v>83</v>
      </c>
      <c r="O501" s="34">
        <f t="shared" si="459"/>
        <v>676082.97539198259</v>
      </c>
      <c r="P501" s="33" t="str">
        <f t="shared" si="411"/>
        <v>16.5157725627975</v>
      </c>
      <c r="Q501" s="4" t="str">
        <f t="shared" si="412"/>
        <v>1+10991.4595298744i</v>
      </c>
      <c r="R501" s="4">
        <f t="shared" si="424"/>
        <v>10991.459575364264</v>
      </c>
      <c r="S501" s="4">
        <f t="shared" si="425"/>
        <v>1.5707053470669976</v>
      </c>
      <c r="T501" s="4" t="str">
        <f t="shared" si="413"/>
        <v>1+69.8788534565123i</v>
      </c>
      <c r="U501" s="4">
        <f t="shared" si="426"/>
        <v>69.886008330686067</v>
      </c>
      <c r="V501" s="4">
        <f t="shared" si="427"/>
        <v>1.5564868226224984</v>
      </c>
      <c r="W501" t="str">
        <f t="shared" si="414"/>
        <v>1-1061.98865435429i</v>
      </c>
      <c r="X501" s="4">
        <f t="shared" si="428"/>
        <v>1061.9891251690083</v>
      </c>
      <c r="Y501" s="4">
        <f t="shared" si="429"/>
        <v>-1.5698546974278176</v>
      </c>
      <c r="Z501" t="str">
        <f t="shared" si="415"/>
        <v>-8.44397085981149+14.86784116096i</v>
      </c>
      <c r="AA501" s="4">
        <f t="shared" si="430"/>
        <v>17.098343331120766</v>
      </c>
      <c r="AB501" s="4">
        <f t="shared" si="431"/>
        <v>2.0873050399006887</v>
      </c>
      <c r="AC501" s="47" t="str">
        <f t="shared" si="432"/>
        <v>-5.62818072769473+3.2960261694126i</v>
      </c>
      <c r="AD501" s="20">
        <f t="shared" si="433"/>
        <v>16.287995969335839</v>
      </c>
      <c r="AE501" s="43">
        <f t="shared" si="434"/>
        <v>149.64552060433041</v>
      </c>
      <c r="AF501" t="str">
        <f t="shared" si="416"/>
        <v>247.084651286898</v>
      </c>
      <c r="AG501" t="str">
        <f t="shared" si="417"/>
        <v>1+10748.8336195584i</v>
      </c>
      <c r="AH501">
        <f t="shared" si="435"/>
        <v>10748.833666075074</v>
      </c>
      <c r="AI501">
        <f t="shared" si="436"/>
        <v>1.5707032934451854</v>
      </c>
      <c r="AJ501" t="str">
        <f t="shared" si="418"/>
        <v>1+69.8788534565123i</v>
      </c>
      <c r="AK501">
        <f t="shared" si="437"/>
        <v>69.886008330686067</v>
      </c>
      <c r="AL501">
        <f t="shared" si="438"/>
        <v>1.5564868226224984</v>
      </c>
      <c r="AM501" t="str">
        <f t="shared" si="419"/>
        <v>1-69.4180585575737i</v>
      </c>
      <c r="AN501">
        <f t="shared" si="439"/>
        <v>69.42526092066727</v>
      </c>
      <c r="AO501">
        <f t="shared" si="440"/>
        <v>-1.5563918496770737</v>
      </c>
      <c r="AP501" s="41" t="str">
        <f t="shared" si="441"/>
        <v>0.0209683651416055-111.530121262239i</v>
      </c>
      <c r="AQ501">
        <f t="shared" si="442"/>
        <v>40.947843641341642</v>
      </c>
      <c r="AR501" s="43">
        <f t="shared" si="443"/>
        <v>-89.989228032766832</v>
      </c>
      <c r="AS501" t="str">
        <f t="shared" si="420"/>
        <v>-0.0000166666666666667</v>
      </c>
      <c r="AT501" t="str">
        <f t="shared" si="421"/>
        <v>0.0144430456992184i</v>
      </c>
      <c r="AU501">
        <f t="shared" si="444"/>
        <v>1.44430456992184E-2</v>
      </c>
      <c r="AV501">
        <f t="shared" si="445"/>
        <v>1.5707963267948966</v>
      </c>
      <c r="AW501" t="str">
        <f t="shared" si="422"/>
        <v>1+14.6779326015932i</v>
      </c>
      <c r="AX501">
        <f t="shared" si="446"/>
        <v>14.711957906985477</v>
      </c>
      <c r="AY501">
        <f t="shared" si="447"/>
        <v>1.5027719589997979</v>
      </c>
      <c r="AZ501" t="str">
        <f t="shared" si="423"/>
        <v>1+499.049708454168i</v>
      </c>
      <c r="BA501">
        <f t="shared" si="448"/>
        <v>499.05071035736449</v>
      </c>
      <c r="BB501">
        <f t="shared" si="449"/>
        <v>1.5687925210724472</v>
      </c>
      <c r="BC501" s="41" t="str">
        <f t="shared" si="450"/>
        <v>-0.00258242576447206+0.0390586292182918i</v>
      </c>
      <c r="BD501">
        <f t="shared" si="451"/>
        <v>-28.146716626600824</v>
      </c>
      <c r="BE501" s="43">
        <f t="shared" si="452"/>
        <v>93.782699567844276</v>
      </c>
      <c r="BF501" s="41" t="str">
        <f t="shared" si="453"/>
        <v>-0.114203905126569-0.228340767116829i</v>
      </c>
      <c r="BG501" s="20">
        <f t="shared" si="454"/>
        <v>-11.858720657265007</v>
      </c>
      <c r="BH501" s="43">
        <f t="shared" si="455"/>
        <v>-116.57177982782527</v>
      </c>
      <c r="BI501" s="41" t="str">
        <f t="shared" si="460"/>
        <v>4.35615950380654+0.288837254261679i</v>
      </c>
      <c r="BJ501" s="20">
        <f t="shared" si="456"/>
        <v>12.801127014740828</v>
      </c>
      <c r="BK501" s="43">
        <f t="shared" si="461"/>
        <v>3.7934715350774537</v>
      </c>
      <c r="BL501">
        <f t="shared" si="457"/>
        <v>-11.858720657265007</v>
      </c>
      <c r="BM501" s="43">
        <f t="shared" si="458"/>
        <v>-116.57177982782527</v>
      </c>
    </row>
    <row r="502" spans="14:65" x14ac:dyDescent="0.25">
      <c r="N502" s="9">
        <v>84</v>
      </c>
      <c r="O502" s="34">
        <f t="shared" si="459"/>
        <v>691830.97091893724</v>
      </c>
      <c r="P502" s="33" t="str">
        <f t="shared" si="411"/>
        <v>16.5157725627975</v>
      </c>
      <c r="Q502" s="4" t="str">
        <f t="shared" si="412"/>
        <v>1+11247.483511858i</v>
      </c>
      <c r="R502" s="4">
        <f t="shared" si="424"/>
        <v>11247.483556312389</v>
      </c>
      <c r="S502" s="4">
        <f t="shared" si="425"/>
        <v>1.5707074180184302</v>
      </c>
      <c r="T502" s="4" t="str">
        <f t="shared" si="413"/>
        <v>1+71.5065410506627i</v>
      </c>
      <c r="U502" s="4">
        <f t="shared" si="426"/>
        <v>71.513533076125597</v>
      </c>
      <c r="V502" s="4">
        <f t="shared" si="427"/>
        <v>1.5568125037484692</v>
      </c>
      <c r="W502" t="str">
        <f t="shared" si="414"/>
        <v>1-1086.72554788241i</v>
      </c>
      <c r="X502" s="4">
        <f t="shared" si="428"/>
        <v>1086.7260079800815</v>
      </c>
      <c r="Y502" s="4">
        <f t="shared" si="429"/>
        <v>-1.5698761315168013</v>
      </c>
      <c r="Z502" t="str">
        <f t="shared" si="415"/>
        <v>-8.8890514942694+15.2141576703538i</v>
      </c>
      <c r="AA502" s="4">
        <f t="shared" si="430"/>
        <v>17.620608107728813</v>
      </c>
      <c r="AB502" s="4">
        <f t="shared" si="431"/>
        <v>2.0995632543232192</v>
      </c>
      <c r="AC502" s="47" t="str">
        <f t="shared" si="432"/>
        <v>-5.54902189795724+3.33939886729728i</v>
      </c>
      <c r="AD502" s="20">
        <f t="shared" si="433"/>
        <v>16.226618597073699</v>
      </c>
      <c r="AE502" s="43">
        <f t="shared" si="434"/>
        <v>148.96049006792515</v>
      </c>
      <c r="AF502" t="str">
        <f t="shared" si="416"/>
        <v>247.084651286898</v>
      </c>
      <c r="AG502" t="str">
        <f t="shared" si="417"/>
        <v>1+10999.2061180859i</v>
      </c>
      <c r="AH502">
        <f t="shared" si="435"/>
        <v>10999.206163543726</v>
      </c>
      <c r="AI502">
        <f t="shared" si="436"/>
        <v>1.570705411142757</v>
      </c>
      <c r="AJ502" t="str">
        <f t="shared" si="418"/>
        <v>1+71.5065410506627i</v>
      </c>
      <c r="AK502">
        <f t="shared" si="437"/>
        <v>71.513533076125597</v>
      </c>
      <c r="AL502">
        <f t="shared" si="438"/>
        <v>1.5568125037484692</v>
      </c>
      <c r="AM502" t="str">
        <f t="shared" si="419"/>
        <v>1-71.0350128597002i</v>
      </c>
      <c r="AN502">
        <f t="shared" si="439"/>
        <v>71.042051293426013</v>
      </c>
      <c r="AO502">
        <f t="shared" si="440"/>
        <v>-1.5567196917902493</v>
      </c>
      <c r="AP502" s="41" t="str">
        <f t="shared" si="441"/>
        <v>0.0209682688983519-114.126932916512i</v>
      </c>
      <c r="AQ502">
        <f t="shared" si="442"/>
        <v>41.147763067697234</v>
      </c>
      <c r="AR502" s="43">
        <f t="shared" si="443"/>
        <v>-89.989473183346377</v>
      </c>
      <c r="AS502" t="str">
        <f t="shared" si="420"/>
        <v>-0.0000166666666666667</v>
      </c>
      <c r="AT502" t="str">
        <f t="shared" si="421"/>
        <v>0.0147794674512008i</v>
      </c>
      <c r="AU502">
        <f t="shared" si="444"/>
        <v>1.47794674512008E-2</v>
      </c>
      <c r="AV502">
        <f t="shared" si="445"/>
        <v>1.5707963267948966</v>
      </c>
      <c r="AW502" t="str">
        <f t="shared" si="422"/>
        <v>1+15.0198255723795i</v>
      </c>
      <c r="AX502">
        <f t="shared" si="446"/>
        <v>15.053078098007237</v>
      </c>
      <c r="AY502">
        <f t="shared" si="447"/>
        <v>1.50431577151023</v>
      </c>
      <c r="AZ502" t="str">
        <f t="shared" si="423"/>
        <v>1+510.674069460903i</v>
      </c>
      <c r="BA502">
        <f t="shared" si="448"/>
        <v>510.67504855804265</v>
      </c>
      <c r="BB502">
        <f t="shared" si="449"/>
        <v>1.5688381331413963</v>
      </c>
      <c r="BC502" s="41" t="str">
        <f t="shared" si="450"/>
        <v>-0.00246671039277239+0.0381772504470944i</v>
      </c>
      <c r="BD502">
        <f t="shared" si="451"/>
        <v>-28.345814235034599</v>
      </c>
      <c r="BE502" s="43">
        <f t="shared" si="452"/>
        <v>93.696859005682683</v>
      </c>
      <c r="BF502" s="41" t="str">
        <f t="shared" si="453"/>
        <v>-0.113801236914139-0.220083728626299i</v>
      </c>
      <c r="BG502" s="20">
        <f t="shared" si="454"/>
        <v>-12.119195637960903</v>
      </c>
      <c r="BH502" s="43">
        <f t="shared" si="455"/>
        <v>-117.3426509263922</v>
      </c>
      <c r="BI502" s="41" t="str">
        <f t="shared" si="460"/>
        <v>4.35700077806561+0.282318602373572i</v>
      </c>
      <c r="BJ502" s="20">
        <f t="shared" si="456"/>
        <v>12.801948832662644</v>
      </c>
      <c r="BK502" s="43">
        <f t="shared" si="461"/>
        <v>3.7073858223363105</v>
      </c>
      <c r="BL502">
        <f t="shared" si="457"/>
        <v>-12.119195637960903</v>
      </c>
      <c r="BM502" s="43">
        <f t="shared" si="458"/>
        <v>-117.3426509263922</v>
      </c>
    </row>
    <row r="503" spans="14:65" x14ac:dyDescent="0.25">
      <c r="N503" s="9">
        <v>85</v>
      </c>
      <c r="O503" s="34">
        <f t="shared" si="459"/>
        <v>707945.78438413853</v>
      </c>
      <c r="P503" s="33" t="str">
        <f t="shared" si="411"/>
        <v>16.5157725627975</v>
      </c>
      <c r="Q503" s="4" t="str">
        <f t="shared" si="412"/>
        <v>1+11509.4710584776i</v>
      </c>
      <c r="R503" s="4">
        <f t="shared" si="424"/>
        <v>11509.471101920082</v>
      </c>
      <c r="S503" s="4">
        <f t="shared" si="425"/>
        <v>1.5707094418292538</v>
      </c>
      <c r="T503" s="4" t="str">
        <f t="shared" si="413"/>
        <v>1+73.1721423593794i</v>
      </c>
      <c r="U503" s="4">
        <f t="shared" si="426"/>
        <v>73.178975241945579</v>
      </c>
      <c r="V503" s="4">
        <f t="shared" si="427"/>
        <v>1.557130774333608</v>
      </c>
      <c r="W503" t="str">
        <f t="shared" si="414"/>
        <v>1-1112.03863768054i</v>
      </c>
      <c r="X503" s="4">
        <f t="shared" si="428"/>
        <v>1112.0390873051142</v>
      </c>
      <c r="Y503" s="4">
        <f t="shared" si="429"/>
        <v>-1.5698970777071706</v>
      </c>
      <c r="Z503" t="str">
        <f t="shared" si="415"/>
        <v>-9.3551081327949+15.5685409275275i</v>
      </c>
      <c r="AA503" s="4">
        <f t="shared" si="430"/>
        <v>18.163081092930906</v>
      </c>
      <c r="AB503" s="4">
        <f t="shared" si="431"/>
        <v>2.1118760024258467</v>
      </c>
      <c r="AC503" s="47" t="str">
        <f t="shared" si="432"/>
        <v>-5.46842305095538+3.38106754553841i</v>
      </c>
      <c r="AD503" s="20">
        <f t="shared" si="433"/>
        <v>16.163207620762247</v>
      </c>
      <c r="AE503" s="43">
        <f t="shared" si="434"/>
        <v>148.27194104458471</v>
      </c>
      <c r="AF503" t="str">
        <f t="shared" si="416"/>
        <v>247.084651286898</v>
      </c>
      <c r="AG503" t="str">
        <f t="shared" si="417"/>
        <v>1+11255.4105412889i</v>
      </c>
      <c r="AH503">
        <f t="shared" si="435"/>
        <v>11255.410585711979</v>
      </c>
      <c r="AI503">
        <f t="shared" si="436"/>
        <v>1.5707074806356471</v>
      </c>
      <c r="AJ503" t="str">
        <f t="shared" si="418"/>
        <v>1+73.1721423593794i</v>
      </c>
      <c r="AK503">
        <f t="shared" si="437"/>
        <v>73.178975241945579</v>
      </c>
      <c r="AL503">
        <f t="shared" si="438"/>
        <v>1.557130774333608</v>
      </c>
      <c r="AM503" t="str">
        <f t="shared" si="419"/>
        <v>1-72.6896308659046i</v>
      </c>
      <c r="AN503">
        <f t="shared" si="439"/>
        <v>72.696509100654012</v>
      </c>
      <c r="AO503">
        <f t="shared" si="440"/>
        <v>-1.5570400742299699</v>
      </c>
      <c r="AP503" s="41" t="str">
        <f t="shared" si="441"/>
        <v>0.0209681769867614-116.784256181266i</v>
      </c>
      <c r="AQ503">
        <f t="shared" si="442"/>
        <v>41.347686119766472</v>
      </c>
      <c r="AR503" s="43">
        <f t="shared" si="443"/>
        <v>-89.989712756909199</v>
      </c>
      <c r="AS503" t="str">
        <f t="shared" si="420"/>
        <v>-0.0000166666666666667</v>
      </c>
      <c r="AT503" t="str">
        <f t="shared" si="421"/>
        <v>0.0151237254724553i</v>
      </c>
      <c r="AU503">
        <f t="shared" si="444"/>
        <v>1.51237254724553E-2</v>
      </c>
      <c r="AV503">
        <f t="shared" si="445"/>
        <v>1.5707963267948966</v>
      </c>
      <c r="AW503" t="str">
        <f t="shared" si="422"/>
        <v>1+15.3696822534952i</v>
      </c>
      <c r="AX503">
        <f t="shared" si="446"/>
        <v>15.402179474782301</v>
      </c>
      <c r="AY503">
        <f t="shared" si="447"/>
        <v>1.5058247492813195</v>
      </c>
      <c r="AZ503" t="str">
        <f t="shared" si="423"/>
        <v>1+522.569196618838i</v>
      </c>
      <c r="BA503">
        <f t="shared" si="448"/>
        <v>522.57015342904697</v>
      </c>
      <c r="BB503">
        <f t="shared" si="449"/>
        <v>1.5688827069607714</v>
      </c>
      <c r="BC503" s="41" t="str">
        <f t="shared" si="450"/>
        <v>-0.00235615812835087+0.0373154230096332i</v>
      </c>
      <c r="BD503">
        <f t="shared" si="451"/>
        <v>-28.544952282405966</v>
      </c>
      <c r="BE503" s="43">
        <f t="shared" si="452"/>
        <v>93.612954839747132</v>
      </c>
      <c r="BF503" s="41" t="str">
        <f t="shared" si="453"/>
        <v>-0.113281496265138-0.212022849121953i</v>
      </c>
      <c r="BG503" s="20">
        <f t="shared" si="454"/>
        <v>-12.38174466164371</v>
      </c>
      <c r="BH503" s="43">
        <f t="shared" si="455"/>
        <v>-118.11510411566803</v>
      </c>
      <c r="BI503" s="41" t="str">
        <f t="shared" si="460"/>
        <v>4.35780451592867+0.275944610858902i</v>
      </c>
      <c r="BJ503" s="20">
        <f t="shared" si="456"/>
        <v>12.802733837360519</v>
      </c>
      <c r="BK503" s="43">
        <f t="shared" si="461"/>
        <v>3.623242082837927</v>
      </c>
      <c r="BL503">
        <f t="shared" si="457"/>
        <v>-12.38174466164371</v>
      </c>
      <c r="BM503" s="43">
        <f t="shared" si="458"/>
        <v>-118.11510411566803</v>
      </c>
    </row>
    <row r="504" spans="14:65" x14ac:dyDescent="0.25">
      <c r="N504" s="9">
        <v>86</v>
      </c>
      <c r="O504" s="34">
        <f t="shared" si="459"/>
        <v>724435.96007499192</v>
      </c>
      <c r="P504" s="33" t="str">
        <f t="shared" si="411"/>
        <v>16.5157725627975</v>
      </c>
      <c r="Q504" s="4" t="str">
        <f t="shared" si="412"/>
        <v>1+11777.5610789983i</v>
      </c>
      <c r="R504" s="4">
        <f t="shared" si="424"/>
        <v>11777.56112145191</v>
      </c>
      <c r="S504" s="4">
        <f t="shared" si="425"/>
        <v>1.5707114195725194</v>
      </c>
      <c r="T504" s="4" t="str">
        <f t="shared" si="413"/>
        <v>1+74.8765405065228i</v>
      </c>
      <c r="U504" s="4">
        <f t="shared" si="426"/>
        <v>74.883217867723531</v>
      </c>
      <c r="V504" s="4">
        <f t="shared" si="427"/>
        <v>1.5574418028711274</v>
      </c>
      <c r="W504" t="str">
        <f t="shared" si="414"/>
        <v>1-1137.94134508393i</v>
      </c>
      <c r="X504" s="4">
        <f t="shared" si="428"/>
        <v>1137.9417844738034</v>
      </c>
      <c r="Y504" s="4">
        <f t="shared" si="429"/>
        <v>-1.569917547104799</v>
      </c>
      <c r="Z504" t="str">
        <f t="shared" si="415"/>
        <v>-9.8431293440036+15.931178831175i</v>
      </c>
      <c r="AA504" s="4">
        <f t="shared" si="430"/>
        <v>18.726709647817557</v>
      </c>
      <c r="AB504" s="4">
        <f t="shared" si="431"/>
        <v>2.1242398334949906</v>
      </c>
      <c r="AC504" s="47" t="str">
        <f t="shared" si="432"/>
        <v>-5.38644077472713+3.42096673052305i</v>
      </c>
      <c r="AD504" s="20">
        <f t="shared" si="433"/>
        <v>16.097731864110091</v>
      </c>
      <c r="AE504" s="43">
        <f t="shared" si="434"/>
        <v>147.58008020178252</v>
      </c>
      <c r="AF504" t="str">
        <f t="shared" si="416"/>
        <v>247.084651286898</v>
      </c>
      <c r="AG504" t="str">
        <f t="shared" si="417"/>
        <v>1+11517.5827321439i</v>
      </c>
      <c r="AH504">
        <f t="shared" si="435"/>
        <v>11517.582775555786</v>
      </c>
      <c r="AI504">
        <f t="shared" si="436"/>
        <v>1.5707095030211289</v>
      </c>
      <c r="AJ504" t="str">
        <f t="shared" si="418"/>
        <v>1+74.8765405065228i</v>
      </c>
      <c r="AK504">
        <f t="shared" si="437"/>
        <v>74.883217867723531</v>
      </c>
      <c r="AL504">
        <f t="shared" si="438"/>
        <v>1.5574418028711274</v>
      </c>
      <c r="AM504" t="str">
        <f t="shared" si="419"/>
        <v>1-74.3827898765551i</v>
      </c>
      <c r="AN504">
        <f t="shared" si="439"/>
        <v>74.389511557878549</v>
      </c>
      <c r="AO504">
        <f t="shared" si="440"/>
        <v>-1.5573531666040099</v>
      </c>
      <c r="AP504" s="41" t="str">
        <f>(IMDIV(IMPRODUCT(AF504,AJ504,AM504),IMPRODUCT(AG504)))</f>
        <v>0.0209680892118733-119.503500004468i</v>
      </c>
      <c r="AQ504">
        <f t="shared" si="442"/>
        <v>41.547612634426613</v>
      </c>
      <c r="AR504" s="43">
        <f t="shared" si="443"/>
        <v>-89.989946880184092</v>
      </c>
      <c r="AS504" t="str">
        <f t="shared" si="420"/>
        <v>-0.0000166666666666667</v>
      </c>
      <c r="AT504" t="str">
        <f t="shared" si="421"/>
        <v>0.0154760022931415i</v>
      </c>
      <c r="AU504">
        <f t="shared" si="444"/>
        <v>1.54760022931415E-2</v>
      </c>
      <c r="AV504">
        <f t="shared" si="445"/>
        <v>1.5707963267948966</v>
      </c>
      <c r="AW504" t="str">
        <f t="shared" si="422"/>
        <v>1+15.7276881435836i</v>
      </c>
      <c r="AX504">
        <f t="shared" si="446"/>
        <v>15.759447145817651</v>
      </c>
      <c r="AY504">
        <f t="shared" si="447"/>
        <v>1.5072996648898689</v>
      </c>
      <c r="AZ504" t="str">
        <f t="shared" si="423"/>
        <v>1+534.741396881841i</v>
      </c>
      <c r="BA504">
        <f t="shared" si="448"/>
        <v>534.74233191242922</v>
      </c>
      <c r="BB504">
        <f t="shared" si="449"/>
        <v>1.5689262661634924</v>
      </c>
      <c r="BC504" s="41" t="str">
        <f t="shared" si="450"/>
        <v>-0.00225054052309095+0.0364727356736221i</v>
      </c>
      <c r="BD504">
        <f t="shared" si="451"/>
        <v>-28.74412896403031</v>
      </c>
      <c r="BE504" s="43">
        <f t="shared" si="452"/>
        <v>93.530944158714178</v>
      </c>
      <c r="BF504" s="41" t="str">
        <f t="shared" si="453"/>
        <v>-0.11264961207187-0.204157254853431i</v>
      </c>
      <c r="BG504" s="20">
        <f t="shared" si="454"/>
        <v>-12.646397099920206</v>
      </c>
      <c r="BH504" s="43">
        <f t="shared" si="455"/>
        <v>-118.88897563950337</v>
      </c>
      <c r="BI504" s="41" t="str">
        <f t="shared" si="460"/>
        <v>4.3585723782012+0.26971223298666i</v>
      </c>
      <c r="BJ504" s="20">
        <f t="shared" si="456"/>
        <v>12.803483670396314</v>
      </c>
      <c r="BK504" s="43">
        <f t="shared" si="461"/>
        <v>3.540997278530075</v>
      </c>
      <c r="BL504">
        <f t="shared" si="457"/>
        <v>-12.646397099920206</v>
      </c>
      <c r="BM504" s="43">
        <f t="shared" si="458"/>
        <v>-118.88897563950337</v>
      </c>
    </row>
    <row r="505" spans="14:65" x14ac:dyDescent="0.25">
      <c r="N505" s="9">
        <v>87</v>
      </c>
      <c r="O505" s="34">
        <f t="shared" si="459"/>
        <v>741310.24130091805</v>
      </c>
      <c r="P505" s="33" t="str">
        <f t="shared" si="411"/>
        <v>16.5157725627975</v>
      </c>
      <c r="Q505" s="4" t="str">
        <f t="shared" si="412"/>
        <v>1+12051.8957182975i</v>
      </c>
      <c r="R505" s="4">
        <f t="shared" si="424"/>
        <v>12051.895759784749</v>
      </c>
      <c r="S505" s="4">
        <f t="shared" si="425"/>
        <v>1.5707133522968526</v>
      </c>
      <c r="T505" s="4" t="str">
        <f t="shared" si="413"/>
        <v>1+76.6206391865505i</v>
      </c>
      <c r="U505" s="4">
        <f t="shared" si="426"/>
        <v>76.627164565547901</v>
      </c>
      <c r="V505" s="4">
        <f t="shared" si="427"/>
        <v>1.5577457540316282</v>
      </c>
      <c r="W505" t="str">
        <f t="shared" si="414"/>
        <v>1-1164.44740405092i</v>
      </c>
      <c r="X505" s="4">
        <f t="shared" si="428"/>
        <v>1164.4478334390626</v>
      </c>
      <c r="Y505" s="4">
        <f t="shared" si="429"/>
        <v>-1.5699375505627637</v>
      </c>
      <c r="Z505" t="str">
        <f t="shared" si="415"/>
        <v>-10.3541502863145+16.3022636567129i</v>
      </c>
      <c r="AA505" s="4">
        <f t="shared" si="430"/>
        <v>19.312488925163656</v>
      </c>
      <c r="AB505" s="4">
        <f t="shared" si="431"/>
        <v>2.1366510846863882</v>
      </c>
      <c r="AC505" s="47" t="str">
        <f t="shared" si="432"/>
        <v>-5.30313611773251+3.45903299413346i</v>
      </c>
      <c r="AD505" s="20">
        <f t="shared" si="433"/>
        <v>16.03016144087562</v>
      </c>
      <c r="AE505" s="43">
        <f t="shared" si="434"/>
        <v>146.88512615804927</v>
      </c>
      <c r="AF505" t="str">
        <f t="shared" si="416"/>
        <v>247.084651286898</v>
      </c>
      <c r="AG505" t="str">
        <f t="shared" si="417"/>
        <v>1+11785.8616978166i</v>
      </c>
      <c r="AH505">
        <f t="shared" si="435"/>
        <v>11785.861740240311</v>
      </c>
      <c r="AI505">
        <f t="shared" si="436"/>
        <v>1.5707114793714974</v>
      </c>
      <c r="AJ505" t="str">
        <f t="shared" si="418"/>
        <v>1+76.6206391865505i</v>
      </c>
      <c r="AK505">
        <f t="shared" si="437"/>
        <v>76.627164565547901</v>
      </c>
      <c r="AL505">
        <f t="shared" si="438"/>
        <v>1.5577457540316282</v>
      </c>
      <c r="AM505" t="str">
        <f t="shared" si="419"/>
        <v>1-76.1153876269704i</v>
      </c>
      <c r="AN505">
        <f t="shared" si="439"/>
        <v>76.121956317503816</v>
      </c>
      <c r="AO505">
        <f t="shared" si="440"/>
        <v>-1.5576591346724178</v>
      </c>
      <c r="AP505" s="41" t="str">
        <f t="shared" si="441"/>
        <v>0.0209680053875043-122.286106165187i</v>
      </c>
      <c r="AQ505">
        <f t="shared" si="442"/>
        <v>41.747542455891406</v>
      </c>
      <c r="AR505" s="43">
        <f t="shared" si="443"/>
        <v>-89.990175677029782</v>
      </c>
      <c r="AS505" t="str">
        <f t="shared" si="420"/>
        <v>-0.0000166666666666667</v>
      </c>
      <c r="AT505" t="str">
        <f t="shared" si="421"/>
        <v>0.0158364846950925i</v>
      </c>
      <c r="AU505">
        <f t="shared" si="444"/>
        <v>1.5836484695092499E-2</v>
      </c>
      <c r="AV505">
        <f t="shared" si="445"/>
        <v>1.5707963267948966</v>
      </c>
      <c r="AW505" t="str">
        <f t="shared" si="422"/>
        <v>1+16.0940330621061i</v>
      </c>
      <c r="AX505">
        <f t="shared" si="446"/>
        <v>16.125070548812001</v>
      </c>
      <c r="AY505">
        <f t="shared" si="447"/>
        <v>1.5087412746732198</v>
      </c>
      <c r="AZ505" t="str">
        <f t="shared" si="423"/>
        <v>1+547.197124111608i</v>
      </c>
      <c r="BA505">
        <f t="shared" si="448"/>
        <v>547.19803785833744</v>
      </c>
      <c r="BB505">
        <f t="shared" si="449"/>
        <v>1.568968833844564</v>
      </c>
      <c r="BC505" s="41" t="str">
        <f t="shared" si="450"/>
        <v>-0.00214963906807694+0.0356487843450484i</v>
      </c>
      <c r="BD505">
        <f t="shared" si="451"/>
        <v>-28.94334255510298</v>
      </c>
      <c r="BE505" s="43">
        <f t="shared" si="452"/>
        <v>93.450784950892469</v>
      </c>
      <c r="BF505" s="41" t="str">
        <f t="shared" si="453"/>
        <v>-0.111910492668263-0.19648602827544i</v>
      </c>
      <c r="BG505" s="20">
        <f t="shared" si="454"/>
        <v>-12.913181114227356</v>
      </c>
      <c r="BH505" s="43">
        <f t="shared" si="455"/>
        <v>-119.66408889105821</v>
      </c>
      <c r="BI505" s="41" t="str">
        <f t="shared" si="460"/>
        <v>4.35930595343488+0.263618475197895i</v>
      </c>
      <c r="BJ505" s="20">
        <f t="shared" si="456"/>
        <v>12.804199900788419</v>
      </c>
      <c r="BK505" s="43">
        <f t="shared" si="461"/>
        <v>3.4606092738626923</v>
      </c>
      <c r="BL505">
        <f t="shared" si="457"/>
        <v>-12.913181114227356</v>
      </c>
      <c r="BM505" s="43">
        <f t="shared" si="458"/>
        <v>-119.66408889105821</v>
      </c>
    </row>
    <row r="506" spans="14:65" x14ac:dyDescent="0.25">
      <c r="N506" s="9">
        <v>88</v>
      </c>
      <c r="O506" s="34">
        <f t="shared" si="459"/>
        <v>758577.57502918423</v>
      </c>
      <c r="P506" s="33" t="str">
        <f t="shared" si="411"/>
        <v>16.5157725627975</v>
      </c>
      <c r="Q506" s="4" t="str">
        <f t="shared" si="412"/>
        <v>1+12332.6204322322i</v>
      </c>
      <c r="R506" s="4">
        <f t="shared" si="424"/>
        <v>12332.620472775081</v>
      </c>
      <c r="S506" s="4">
        <f t="shared" si="425"/>
        <v>1.5707152410270095</v>
      </c>
      <c r="T506" s="4" t="str">
        <f t="shared" si="413"/>
        <v>1+78.4053631436693i</v>
      </c>
      <c r="U506" s="4">
        <f t="shared" si="426"/>
        <v>78.411739999126766</v>
      </c>
      <c r="V506" s="4">
        <f t="shared" si="427"/>
        <v>1.5580427887492627</v>
      </c>
      <c r="W506" t="str">
        <f t="shared" si="414"/>
        <v>1-1191.57086844482i</v>
      </c>
      <c r="X506" s="4">
        <f t="shared" si="428"/>
        <v>1191.5712880588985</v>
      </c>
      <c r="Y506" s="4">
        <f t="shared" si="429"/>
        <v>-1.5699570986870988</v>
      </c>
      <c r="Z506" t="str">
        <f t="shared" si="415"/>
        <v>-10.8892549036603+16.6819921582275i</v>
      </c>
      <c r="AA506" s="4">
        <f t="shared" si="430"/>
        <v>19.921464171191175</v>
      </c>
      <c r="AB506" s="4">
        <f t="shared" si="431"/>
        <v>2.1491058878033322</v>
      </c>
      <c r="AC506" s="47" t="str">
        <f t="shared" si="432"/>
        <v>-5.21857450192955+3.49520530603536i</v>
      </c>
      <c r="AD506" s="20">
        <f t="shared" si="433"/>
        <v>15.96046786969219</v>
      </c>
      <c r="AE506" s="43">
        <f t="shared" si="434"/>
        <v>146.18730909918301</v>
      </c>
      <c r="AF506" t="str">
        <f t="shared" si="416"/>
        <v>247.084651286898</v>
      </c>
      <c r="AG506" t="str">
        <f t="shared" si="417"/>
        <v>1+12060.3896833659i</v>
      </c>
      <c r="AH506">
        <f t="shared" si="435"/>
        <v>12060.38972482393</v>
      </c>
      <c r="AI506">
        <f t="shared" si="436"/>
        <v>1.5707134107346397</v>
      </c>
      <c r="AJ506" t="str">
        <f t="shared" si="418"/>
        <v>1+78.4053631436693i</v>
      </c>
      <c r="AK506">
        <f t="shared" si="437"/>
        <v>78.411739999126766</v>
      </c>
      <c r="AL506">
        <f t="shared" si="438"/>
        <v>1.5580427887492627</v>
      </c>
      <c r="AM506" t="str">
        <f t="shared" si="419"/>
        <v>1-77.888342763412i</v>
      </c>
      <c r="AN506">
        <f t="shared" si="439"/>
        <v>77.894761944759509</v>
      </c>
      <c r="AO506">
        <f t="shared" si="440"/>
        <v>-1.5579581404342324</v>
      </c>
      <c r="AP506" s="41" t="str">
        <f t="shared" si="441"/>
        <v>0.0209679253358554-125.133550038043i</v>
      </c>
      <c r="AQ506">
        <f t="shared" si="442"/>
        <v>41.947475435381286</v>
      </c>
      <c r="AR506" s="43">
        <f t="shared" si="443"/>
        <v>-89.990399268499303</v>
      </c>
      <c r="AS506" t="str">
        <f t="shared" si="420"/>
        <v>-0.0000166666666666667</v>
      </c>
      <c r="AT506" t="str">
        <f t="shared" si="421"/>
        <v>0.0162053638108496i</v>
      </c>
      <c r="AU506">
        <f t="shared" si="444"/>
        <v>1.62053638108496E-2</v>
      </c>
      <c r="AV506">
        <f t="shared" si="445"/>
        <v>1.5707963267948966</v>
      </c>
      <c r="AW506" t="str">
        <f t="shared" si="422"/>
        <v>1+16.468911249988i</v>
      </c>
      <c r="AX506">
        <f t="shared" si="446"/>
        <v>16.499243551144438</v>
      </c>
      <c r="AY506">
        <f t="shared" si="447"/>
        <v>1.5101503190103676</v>
      </c>
      <c r="AZ506" t="str">
        <f t="shared" si="423"/>
        <v>1+559.942982499591i</v>
      </c>
      <c r="BA506">
        <f t="shared" si="448"/>
        <v>559.94387544693916</v>
      </c>
      <c r="BB506">
        <f t="shared" si="449"/>
        <v>1.5690104325733165</v>
      </c>
      <c r="BC506" s="41" t="str">
        <f t="shared" si="450"/>
        <v>-0.0020532447760041+0.0348431720503437i</v>
      </c>
      <c r="BD506">
        <f t="shared" si="451"/>
        <v>-29.142591407221943</v>
      </c>
      <c r="BE506" s="43">
        <f t="shared" si="452"/>
        <v>93.372436088817693</v>
      </c>
      <c r="BF506" s="41" t="str">
        <f t="shared" si="453"/>
        <v>-0.111069028995189-0.189008201263947i</v>
      </c>
      <c r="BG506" s="20">
        <f t="shared" si="454"/>
        <v>-13.182123537529753</v>
      </c>
      <c r="BH506" s="43">
        <f t="shared" si="455"/>
        <v>-120.4402548119992</v>
      </c>
      <c r="BI506" s="41" t="str">
        <f t="shared" si="460"/>
        <v>4.36000676096266+0.257660396948475i</v>
      </c>
      <c r="BJ506" s="20">
        <f t="shared" si="456"/>
        <v>12.804884028159334</v>
      </c>
      <c r="BK506" s="43">
        <f t="shared" si="461"/>
        <v>3.3820368203184117</v>
      </c>
      <c r="BL506">
        <f t="shared" si="457"/>
        <v>-13.182123537529753</v>
      </c>
      <c r="BM506" s="43">
        <f t="shared" si="458"/>
        <v>-120.4402548119992</v>
      </c>
    </row>
    <row r="507" spans="14:65" x14ac:dyDescent="0.25">
      <c r="N507" s="9">
        <v>89</v>
      </c>
      <c r="O507" s="34">
        <f t="shared" si="459"/>
        <v>776247.11662869214</v>
      </c>
      <c r="P507" s="33" t="str">
        <f t="shared" si="411"/>
        <v>16.5157725627975</v>
      </c>
      <c r="Q507" s="4" t="str">
        <f t="shared" si="412"/>
        <v>1+12619.8840647617i</v>
      </c>
      <c r="R507" s="4">
        <f t="shared" si="424"/>
        <v>12619.884104381714</v>
      </c>
      <c r="S507" s="4">
        <f t="shared" si="425"/>
        <v>1.5707170867644198</v>
      </c>
      <c r="T507" s="4" t="str">
        <f t="shared" si="413"/>
        <v>1+80.2316586621446i</v>
      </c>
      <c r="U507" s="4">
        <f t="shared" si="426"/>
        <v>80.237890374055098</v>
      </c>
      <c r="V507" s="4">
        <f t="shared" si="427"/>
        <v>1.5583330643059918</v>
      </c>
      <c r="W507" t="str">
        <f t="shared" si="414"/>
        <v>1-1219.32611948548i</v>
      </c>
      <c r="X507" s="4">
        <f t="shared" si="428"/>
        <v>1219.3265295479791</v>
      </c>
      <c r="Y507" s="4">
        <f t="shared" si="429"/>
        <v>-1.5699762018424186</v>
      </c>
      <c r="Z507" t="str">
        <f t="shared" si="415"/>
        <v>-11.4495782246768+17.0705656727967i</v>
      </c>
      <c r="AA507" s="4">
        <f t="shared" si="430"/>
        <v>20.554733126758379</v>
      </c>
      <c r="AB507" s="4">
        <f t="shared" si="431"/>
        <v>2.1616001770654845</v>
      </c>
      <c r="AC507" s="47" t="str">
        <f t="shared" si="432"/>
        <v>-5.13282560417613+3.52942538344821i</v>
      </c>
      <c r="AD507" s="20">
        <f t="shared" si="433"/>
        <v>15.888624186102989</v>
      </c>
      <c r="AE507" s="43">
        <f t="shared" si="434"/>
        <v>145.48687033760345</v>
      </c>
      <c r="AF507" t="str">
        <f t="shared" si="416"/>
        <v>247.084651286898</v>
      </c>
      <c r="AG507" t="str">
        <f t="shared" si="417"/>
        <v>1+12341.3122471635i</v>
      </c>
      <c r="AH507">
        <f t="shared" si="435"/>
        <v>12341.312287677829</v>
      </c>
      <c r="AI507">
        <f t="shared" si="436"/>
        <v>1.5707152981345902</v>
      </c>
      <c r="AJ507" t="str">
        <f t="shared" si="418"/>
        <v>1+80.2316586621446i</v>
      </c>
      <c r="AK507">
        <f t="shared" si="437"/>
        <v>80.237890374055098</v>
      </c>
      <c r="AL507">
        <f t="shared" si="438"/>
        <v>1.5583330643059918</v>
      </c>
      <c r="AM507" t="str">
        <f t="shared" si="419"/>
        <v>1-79.702595330161i</v>
      </c>
      <c r="AN507">
        <f t="shared" si="439"/>
        <v>79.708868404735242</v>
      </c>
      <c r="AO507">
        <f t="shared" si="440"/>
        <v>-1.5582503422122844</v>
      </c>
      <c r="AP507" s="41" t="str">
        <f t="shared" si="441"/>
        <v>0.0209678488871221-128.047341375466i</v>
      </c>
      <c r="AQ507">
        <f t="shared" si="442"/>
        <v>42.147411430808162</v>
      </c>
      <c r="AR507" s="43">
        <f t="shared" si="443"/>
        <v>-89.990617772902922</v>
      </c>
      <c r="AS507" t="str">
        <f t="shared" si="420"/>
        <v>-0.0000166666666666667</v>
      </c>
      <c r="AT507" t="str">
        <f t="shared" si="421"/>
        <v>0.0165828352250025i</v>
      </c>
      <c r="AU507">
        <f t="shared" si="444"/>
        <v>1.65828352250025E-2</v>
      </c>
      <c r="AV507">
        <f t="shared" si="445"/>
        <v>1.5707963267948966</v>
      </c>
      <c r="AW507" t="str">
        <f t="shared" si="422"/>
        <v>1+16.8525214726064i</v>
      </c>
      <c r="AX507">
        <f t="shared" si="446"/>
        <v>16.882164552706502</v>
      </c>
      <c r="AY507">
        <f t="shared" si="447"/>
        <v>1.5115275226024347</v>
      </c>
      <c r="AZ507" t="str">
        <f t="shared" si="423"/>
        <v>1+572.985730068617i</v>
      </c>
      <c r="BA507">
        <f t="shared" si="448"/>
        <v>572.98660269003335</v>
      </c>
      <c r="BB507">
        <f t="shared" si="449"/>
        <v>1.5690510844053702</v>
      </c>
      <c r="BC507" s="41" t="str">
        <f t="shared" si="450"/>
        <v>-0.00196115777981789+0.0340555089097062i</v>
      </c>
      <c r="BD507">
        <f t="shared" si="451"/>
        <v>-29.341873945055369</v>
      </c>
      <c r="BE507" s="43">
        <f t="shared" si="452"/>
        <v>93.295857313868169</v>
      </c>
      <c r="BF507" s="41" t="str">
        <f t="shared" si="453"/>
        <v>-0.110130096726085-0.181722748144024i</v>
      </c>
      <c r="BG507" s="20">
        <f t="shared" si="454"/>
        <v>-13.453249758952403</v>
      </c>
      <c r="BH507" s="43">
        <f t="shared" si="455"/>
        <v>-121.21727234852838</v>
      </c>
      <c r="BI507" s="41" t="str">
        <f t="shared" si="460"/>
        <v>4.3606762538164+0.251835110488085i</v>
      </c>
      <c r="BJ507" s="20">
        <f t="shared" si="456"/>
        <v>12.805537485752787</v>
      </c>
      <c r="BK507" s="43">
        <f t="shared" si="461"/>
        <v>3.3052395409652564</v>
      </c>
      <c r="BL507">
        <f t="shared" si="457"/>
        <v>-13.453249758952403</v>
      </c>
      <c r="BM507" s="43">
        <f t="shared" si="458"/>
        <v>-121.21727234852838</v>
      </c>
    </row>
    <row r="508" spans="14:65" x14ac:dyDescent="0.25">
      <c r="N508" s="9">
        <v>90</v>
      </c>
      <c r="O508" s="34">
        <f t="shared" si="459"/>
        <v>794328.23472428333</v>
      </c>
      <c r="P508" s="33" t="str">
        <f t="shared" si="411"/>
        <v>16.5157725627975</v>
      </c>
      <c r="Q508" s="4" t="str">
        <f t="shared" si="412"/>
        <v>1+12913.8389268662i</v>
      </c>
      <c r="R508" s="4">
        <f t="shared" si="424"/>
        <v>12913.838965584353</v>
      </c>
      <c r="S508" s="4">
        <f t="shared" si="425"/>
        <v>1.5707188904877176</v>
      </c>
      <c r="T508" s="4" t="str">
        <f t="shared" si="413"/>
        <v>1+82.1004940680342i</v>
      </c>
      <c r="U508" s="4">
        <f t="shared" si="426"/>
        <v>82.106583939507047</v>
      </c>
      <c r="V508" s="4">
        <f t="shared" si="427"/>
        <v>1.5586167344139767</v>
      </c>
      <c r="W508" t="str">
        <f t="shared" si="414"/>
        <v>1-1247.72787337438i</v>
      </c>
      <c r="X508" s="4">
        <f t="shared" si="428"/>
        <v>1247.72827410272</v>
      </c>
      <c r="Y508" s="4">
        <f t="shared" si="429"/>
        <v>-1.5699948701574131</v>
      </c>
      <c r="Z508" t="str">
        <f t="shared" si="415"/>
        <v>-12.036308770252+17.4681902272413i</v>
      </c>
      <c r="AA508" s="4">
        <f t="shared" si="430"/>
        <v>21.213448532191407</v>
      </c>
      <c r="AB508" s="4">
        <f t="shared" si="431"/>
        <v>2.1741296978561104</v>
      </c>
      <c r="AC508" s="47" t="str">
        <f t="shared" si="432"/>
        <v>-5.0459632057339+3.56163803519586i</v>
      </c>
      <c r="AD508" s="20">
        <f t="shared" si="433"/>
        <v>15.814605051036219</v>
      </c>
      <c r="AE508" s="43">
        <f t="shared" si="434"/>
        <v>144.7840618155486</v>
      </c>
      <c r="AF508" t="str">
        <f t="shared" si="416"/>
        <v>247.084651286898</v>
      </c>
      <c r="AG508" t="str">
        <f t="shared" si="417"/>
        <v>1+12628.778338071i</v>
      </c>
      <c r="AH508">
        <f t="shared" si="435"/>
        <v>12628.778377663109</v>
      </c>
      <c r="AI508">
        <f t="shared" si="436"/>
        <v>1.5707171425720732</v>
      </c>
      <c r="AJ508" t="str">
        <f t="shared" si="418"/>
        <v>1+82.1004940680342i</v>
      </c>
      <c r="AK508">
        <f t="shared" si="437"/>
        <v>82.106583939507047</v>
      </c>
      <c r="AL508">
        <f t="shared" si="438"/>
        <v>1.5586167344139767</v>
      </c>
      <c r="AM508" t="str">
        <f t="shared" si="419"/>
        <v>1-81.5591072679427i</v>
      </c>
      <c r="AN508">
        <f t="shared" si="439"/>
        <v>81.565237560763492</v>
      </c>
      <c r="AO508">
        <f t="shared" si="440"/>
        <v>-1.5585358947361196</v>
      </c>
      <c r="AP508" s="41" t="str">
        <f t="shared" si="441"/>
        <v>0.0209677758791497-131.029025108194i</v>
      </c>
      <c r="AQ508">
        <f t="shared" si="442"/>
        <v>42.347350306475128</v>
      </c>
      <c r="AR508" s="43">
        <f t="shared" si="443"/>
        <v>-89.99083130586979</v>
      </c>
      <c r="AS508" t="str">
        <f t="shared" si="420"/>
        <v>-0.0000166666666666667</v>
      </c>
      <c r="AT508" t="str">
        <f t="shared" si="421"/>
        <v>0.0169690990778916i</v>
      </c>
      <c r="AU508">
        <f t="shared" si="444"/>
        <v>1.6969099077891601E-2</v>
      </c>
      <c r="AV508">
        <f t="shared" si="445"/>
        <v>1.5707963267948966</v>
      </c>
      <c r="AW508" t="str">
        <f t="shared" si="422"/>
        <v>1+17.2450671251791i</v>
      </c>
      <c r="AX508">
        <f t="shared" si="446"/>
        <v>17.274036591136799</v>
      </c>
      <c r="AY508">
        <f t="shared" si="447"/>
        <v>1.5128735947521652</v>
      </c>
      <c r="AZ508" t="str">
        <f t="shared" si="423"/>
        <v>1+586.332282256088i</v>
      </c>
      <c r="BA508">
        <f t="shared" si="448"/>
        <v>586.33313501424504</v>
      </c>
      <c r="BB508">
        <f t="shared" si="449"/>
        <v>1.5690908108943271</v>
      </c>
      <c r="BC508" s="41" t="str">
        <f t="shared" si="450"/>
        <v>-0.00187318694706977+0.0332854121023402i</v>
      </c>
      <c r="BD508">
        <f t="shared" si="451"/>
        <v>-29.541188663151374</v>
      </c>
      <c r="BE508" s="43">
        <f t="shared" si="452"/>
        <v>93.221009220920607</v>
      </c>
      <c r="BF508" s="41" t="str">
        <f t="shared" si="453"/>
        <v>-0.109098557348488-0.174628578633815i</v>
      </c>
      <c r="BG508" s="20">
        <f t="shared" si="454"/>
        <v>-13.726583612115146</v>
      </c>
      <c r="BH508" s="43">
        <f t="shared" si="455"/>
        <v>-121.99492896353064</v>
      </c>
      <c r="BI508" s="41" t="str">
        <f t="shared" si="460"/>
        <v>4.36131582153003+0.246139780580953i</v>
      </c>
      <c r="BJ508" s="20">
        <f t="shared" si="456"/>
        <v>12.806161643323753</v>
      </c>
      <c r="BK508" s="43">
        <f t="shared" si="461"/>
        <v>3.2301779150508305</v>
      </c>
      <c r="BL508">
        <f t="shared" si="457"/>
        <v>-13.726583612115146</v>
      </c>
      <c r="BM508" s="43">
        <f t="shared" si="458"/>
        <v>-121.99492896353064</v>
      </c>
    </row>
    <row r="509" spans="14:65" x14ac:dyDescent="0.25">
      <c r="N509" s="9">
        <v>91</v>
      </c>
      <c r="O509" s="34">
        <f t="shared" si="459"/>
        <v>812830.51616410096</v>
      </c>
      <c r="P509" s="33" t="str">
        <f t="shared" si="411"/>
        <v>16.5157725627975</v>
      </c>
      <c r="Q509" s="4" t="str">
        <f t="shared" si="412"/>
        <v>1+13214.6408773046i</v>
      </c>
      <c r="R509" s="4">
        <f t="shared" si="424"/>
        <v>13214.640915141423</v>
      </c>
      <c r="S509" s="4">
        <f t="shared" si="425"/>
        <v>1.5707206531532611</v>
      </c>
      <c r="T509" s="4" t="str">
        <f t="shared" si="413"/>
        <v>1+84.012860242607i</v>
      </c>
      <c r="U509" s="4">
        <f t="shared" si="426"/>
        <v>84.018811501614422</v>
      </c>
      <c r="V509" s="4">
        <f t="shared" si="427"/>
        <v>1.5588939492961458</v>
      </c>
      <c r="W509" t="str">
        <f t="shared" si="414"/>
        <v>1-1276.79118909737i</v>
      </c>
      <c r="X509" s="4">
        <f t="shared" si="428"/>
        <v>1276.7915807040226</v>
      </c>
      <c r="Y509" s="4">
        <f t="shared" si="429"/>
        <v>-1.5700131135302182</v>
      </c>
      <c r="Z509" t="str">
        <f t="shared" si="415"/>
        <v>-12.6506910745372+17.8750766473632i</v>
      </c>
      <c r="AA509" s="4">
        <f t="shared" si="430"/>
        <v>21.898820740224448</v>
      </c>
      <c r="AB509" s="4">
        <f t="shared" si="431"/>
        <v>2.186690016426116</v>
      </c>
      <c r="AC509" s="47" t="str">
        <f t="shared" si="432"/>
        <v>-4.95806501001502+3.5917914967562i</v>
      </c>
      <c r="AD509" s="20">
        <f t="shared" si="433"/>
        <v>15.738386854950283</v>
      </c>
      <c r="AE509" s="43">
        <f t="shared" si="434"/>
        <v>144.07914555335185</v>
      </c>
      <c r="AF509" t="str">
        <f t="shared" si="416"/>
        <v>247.084651286898</v>
      </c>
      <c r="AG509" t="str">
        <f t="shared" si="417"/>
        <v>1+12922.9403744151i</v>
      </c>
      <c r="AH509">
        <f t="shared" si="435"/>
        <v>12922.940413105984</v>
      </c>
      <c r="AI509">
        <f t="shared" si="436"/>
        <v>1.5707189450250338</v>
      </c>
      <c r="AJ509" t="str">
        <f t="shared" si="418"/>
        <v>1+84.012860242607i</v>
      </c>
      <c r="AK509">
        <f t="shared" si="437"/>
        <v>84.018811501614422</v>
      </c>
      <c r="AL509">
        <f t="shared" si="438"/>
        <v>1.5588939492961458</v>
      </c>
      <c r="AM509" t="str">
        <f t="shared" si="419"/>
        <v>1-83.45886292396i</v>
      </c>
      <c r="AN509">
        <f t="shared" si="439"/>
        <v>83.464853684412233</v>
      </c>
      <c r="AO509">
        <f t="shared" si="440"/>
        <v>-1.5588149492230869</v>
      </c>
      <c r="AP509" s="41" t="str">
        <f t="shared" si="441"/>
        <v>0.0209677061570782-134.080182164407i</v>
      </c>
      <c r="AQ509">
        <f t="shared" si="442"/>
        <v>42.547291932788617</v>
      </c>
      <c r="AR509" s="43">
        <f t="shared" si="443"/>
        <v>-89.991039980408104</v>
      </c>
      <c r="AS509" t="str">
        <f t="shared" si="420"/>
        <v>-0.0000166666666666667</v>
      </c>
      <c r="AT509" t="str">
        <f t="shared" si="421"/>
        <v>0.0173643601717242i</v>
      </c>
      <c r="AU509">
        <f t="shared" si="444"/>
        <v>1.73643601717242E-2</v>
      </c>
      <c r="AV509">
        <f t="shared" si="445"/>
        <v>1.5707963267948966</v>
      </c>
      <c r="AW509" t="str">
        <f t="shared" si="422"/>
        <v>1+17.6467563406069i</v>
      </c>
      <c r="AX509">
        <f t="shared" si="446"/>
        <v>17.675067449510617</v>
      </c>
      <c r="AY509">
        <f t="shared" si="447"/>
        <v>1.514189229642102</v>
      </c>
      <c r="AZ509" t="str">
        <f t="shared" si="423"/>
        <v>1+599.989715580636i</v>
      </c>
      <c r="BA509">
        <f t="shared" si="448"/>
        <v>599.99054892767481</v>
      </c>
      <c r="BB509">
        <f t="shared" si="449"/>
        <v>1.5691296331031954</v>
      </c>
      <c r="BC509" s="41" t="str">
        <f t="shared" si="450"/>
        <v>-0.00178914950948455+0.0325325058243509i</v>
      </c>
      <c r="BD509">
        <f t="shared" si="451"/>
        <v>-29.740534122881236</v>
      </c>
      <c r="BE509" s="43">
        <f t="shared" si="452"/>
        <v>93.147853243066592</v>
      </c>
      <c r="BF509" s="41" t="str">
        <f t="shared" si="453"/>
        <v>-0.107979258207414-0.167724530810416i</v>
      </c>
      <c r="BG509" s="20">
        <f t="shared" si="454"/>
        <v>-14.002147267930969</v>
      </c>
      <c r="BH509" s="43">
        <f t="shared" si="455"/>
        <v>-122.77300120358153</v>
      </c>
      <c r="BI509" s="41" t="str">
        <f t="shared" si="460"/>
        <v>4.36192679283241+0.240571624173726i</v>
      </c>
      <c r="BJ509" s="20">
        <f t="shared" si="456"/>
        <v>12.806757809907367</v>
      </c>
      <c r="BK509" s="43">
        <f t="shared" si="461"/>
        <v>3.1568132626584862</v>
      </c>
      <c r="BL509">
        <f t="shared" si="457"/>
        <v>-14.002147267930969</v>
      </c>
      <c r="BM509" s="43">
        <f t="shared" si="458"/>
        <v>-122.77300120358153</v>
      </c>
    </row>
    <row r="510" spans="14:65" x14ac:dyDescent="0.25">
      <c r="N510" s="9">
        <v>92</v>
      </c>
      <c r="O510" s="34">
        <f t="shared" si="459"/>
        <v>831763.77110267128</v>
      </c>
      <c r="P510" s="33" t="str">
        <f t="shared" si="411"/>
        <v>16.5157725627975</v>
      </c>
      <c r="Q510" s="4" t="str">
        <f t="shared" si="412"/>
        <v>1+13522.4494052526i</v>
      </c>
      <c r="R510" s="4">
        <f t="shared" si="424"/>
        <v>13522.44944222815</v>
      </c>
      <c r="S510" s="4">
        <f t="shared" si="425"/>
        <v>1.5707223756956388</v>
      </c>
      <c r="T510" s="4" t="str">
        <f t="shared" si="413"/>
        <v>1+85.9697711477219i</v>
      </c>
      <c r="U510" s="4">
        <f t="shared" si="426"/>
        <v>85.975586948805869</v>
      </c>
      <c r="V510" s="4">
        <f t="shared" si="427"/>
        <v>1.559164855764974</v>
      </c>
      <c r="W510" t="str">
        <f t="shared" si="414"/>
        <v>1-1306.53147640915i</v>
      </c>
      <c r="X510" s="4">
        <f t="shared" si="428"/>
        <v>1306.5318591017492</v>
      </c>
      <c r="Y510" s="4">
        <f t="shared" si="429"/>
        <v>-1.5700309416336629</v>
      </c>
      <c r="Z510" t="str">
        <f t="shared" si="415"/>
        <v>-13.2940283247714+18.291440669728i</v>
      </c>
      <c r="AA510" s="4">
        <f t="shared" si="430"/>
        <v>22.612120441789706</v>
      </c>
      <c r="AB510" s="4">
        <f t="shared" si="431"/>
        <v>2.1992765305243904</v>
      </c>
      <c r="AC510" s="47" t="str">
        <f t="shared" si="432"/>
        <v>-4.86921242909161+3.61983775299796i</v>
      </c>
      <c r="AD510" s="20">
        <f t="shared" si="433"/>
        <v>15.659947816887287</v>
      </c>
      <c r="AE510" s="43">
        <f t="shared" si="434"/>
        <v>143.37239304455298</v>
      </c>
      <c r="AF510" t="str">
        <f t="shared" si="416"/>
        <v>247.084651286898</v>
      </c>
      <c r="AG510" t="str">
        <f t="shared" si="417"/>
        <v>1+13223.9543248009i</v>
      </c>
      <c r="AH510">
        <f t="shared" si="435"/>
        <v>13223.95436261107</v>
      </c>
      <c r="AI510">
        <f t="shared" si="436"/>
        <v>1.5707207064491564</v>
      </c>
      <c r="AJ510" t="str">
        <f t="shared" si="418"/>
        <v>1+85.9697711477219i</v>
      </c>
      <c r="AK510">
        <f t="shared" si="437"/>
        <v>85.975586948805869</v>
      </c>
      <c r="AL510">
        <f t="shared" si="438"/>
        <v>1.559164855764974</v>
      </c>
      <c r="AM510" t="str">
        <f t="shared" si="419"/>
        <v>1-85.4028695738081i</v>
      </c>
      <c r="AN510">
        <f t="shared" si="439"/>
        <v>85.408723977360054</v>
      </c>
      <c r="AO510">
        <f t="shared" si="440"/>
        <v>-1.5590876534576261</v>
      </c>
      <c r="AP510" s="41" t="str">
        <f t="shared" si="441"/>
        <v>0.0209676395730158-137.202430307964i</v>
      </c>
      <c r="AQ510">
        <f t="shared" si="442"/>
        <v>42.747236185984519</v>
      </c>
      <c r="AR510" s="43">
        <f t="shared" si="443"/>
        <v>-89.991243906964058</v>
      </c>
      <c r="AS510" t="str">
        <f t="shared" si="420"/>
        <v>-0.0000166666666666667</v>
      </c>
      <c r="AT510" t="str">
        <f t="shared" si="421"/>
        <v>0.0177688280791644i</v>
      </c>
      <c r="AU510">
        <f t="shared" si="444"/>
        <v>1.7768828079164401E-2</v>
      </c>
      <c r="AV510">
        <f t="shared" si="445"/>
        <v>1.5707963267948966</v>
      </c>
      <c r="AW510" t="str">
        <f t="shared" si="422"/>
        <v>1+18.057802099829i</v>
      </c>
      <c r="AX510">
        <f t="shared" si="446"/>
        <v>18.085469766544321</v>
      </c>
      <c r="AY510">
        <f t="shared" si="447"/>
        <v>1.5154751066111616</v>
      </c>
      <c r="AZ510" t="str">
        <f t="shared" si="423"/>
        <v>1+613.965271394186i</v>
      </c>
      <c r="BA510">
        <f t="shared" si="448"/>
        <v>613.9660857719557</v>
      </c>
      <c r="BB510">
        <f t="shared" si="449"/>
        <v>1.5691675716155558</v>
      </c>
      <c r="BC510" s="41" t="str">
        <f t="shared" si="450"/>
        <v>-0.00170887070723707+0.0317964212399569i</v>
      </c>
      <c r="BD510">
        <f t="shared" si="451"/>
        <v>-29.939908949514539</v>
      </c>
      <c r="BE510" s="43">
        <f t="shared" si="452"/>
        <v>93.076351636405676</v>
      </c>
      <c r="BF510" s="41" t="str">
        <f t="shared" si="453"/>
        <v>-0.106777031527233-0.16100936420328i</v>
      </c>
      <c r="BG510" s="20">
        <f t="shared" si="454"/>
        <v>-14.279961132627239</v>
      </c>
      <c r="BH510" s="43">
        <f t="shared" si="455"/>
        <v>-123.55125531904133</v>
      </c>
      <c r="BI510" s="41" t="str">
        <f t="shared" si="460"/>
        <v>4.36251043823279+0.235127910015286i</v>
      </c>
      <c r="BJ510" s="20">
        <f t="shared" si="456"/>
        <v>12.807327236469987</v>
      </c>
      <c r="BK510" s="43">
        <f t="shared" si="461"/>
        <v>3.0851077294415936</v>
      </c>
      <c r="BL510">
        <f t="shared" si="457"/>
        <v>-14.279961132627239</v>
      </c>
      <c r="BM510" s="43">
        <f t="shared" si="458"/>
        <v>-123.55125531904133</v>
      </c>
    </row>
    <row r="511" spans="14:65" x14ac:dyDescent="0.25">
      <c r="N511" s="9">
        <v>93</v>
      </c>
      <c r="O511" s="34">
        <f t="shared" si="459"/>
        <v>851138.03820237669</v>
      </c>
      <c r="P511" s="33" t="str">
        <f t="shared" si="411"/>
        <v>16.5157725627975</v>
      </c>
      <c r="Q511" s="4" t="str">
        <f t="shared" si="412"/>
        <v>1+13837.427714866i</v>
      </c>
      <c r="R511" s="4">
        <f t="shared" si="424"/>
        <v>13837.427750999883</v>
      </c>
      <c r="S511" s="4">
        <f t="shared" si="425"/>
        <v>1.5707240590281653</v>
      </c>
      <c r="T511" s="4" t="str">
        <f t="shared" si="413"/>
        <v>1+87.972264363444i</v>
      </c>
      <c r="U511" s="4">
        <f t="shared" si="426"/>
        <v>87.977947789384572</v>
      </c>
      <c r="V511" s="4">
        <f t="shared" si="427"/>
        <v>1.5594295972995103</v>
      </c>
      <c r="W511" t="str">
        <f t="shared" si="414"/>
        <v>1-1336.96450400371i</v>
      </c>
      <c r="X511" s="4">
        <f t="shared" si="428"/>
        <v>1336.9648779851648</v>
      </c>
      <c r="Y511" s="4">
        <f t="shared" si="429"/>
        <v>-1.5700483639203981</v>
      </c>
      <c r="Z511" t="str">
        <f t="shared" si="415"/>
        <v>-13.9676851255163+18.7175030560519i</v>
      </c>
      <c r="AA511" s="4">
        <f t="shared" si="430"/>
        <v>23.354681509686266</v>
      </c>
      <c r="AB511" s="4">
        <f t="shared" si="431"/>
        <v>2.2118844809144056</v>
      </c>
      <c r="AC511" s="47" t="str">
        <f t="shared" si="432"/>
        <v>-4.77949033987615+3.64573284530778i</v>
      </c>
      <c r="AD511" s="20">
        <f t="shared" si="433"/>
        <v>15.579268077688187</v>
      </c>
      <c r="AE511" s="43">
        <f t="shared" si="434"/>
        <v>142.66408460013693</v>
      </c>
      <c r="AF511" t="str">
        <f t="shared" si="416"/>
        <v>247.084651286898</v>
      </c>
      <c r="AG511" t="str">
        <f t="shared" si="417"/>
        <v>1+13531.9797908096i</v>
      </c>
      <c r="AH511">
        <f t="shared" si="435"/>
        <v>13531.979827759107</v>
      </c>
      <c r="AI511">
        <f t="shared" si="436"/>
        <v>1.5707224277783713</v>
      </c>
      <c r="AJ511" t="str">
        <f t="shared" si="418"/>
        <v>1+87.972264363444i</v>
      </c>
      <c r="AK511">
        <f t="shared" si="437"/>
        <v>87.977947789384572</v>
      </c>
      <c r="AL511">
        <f t="shared" si="438"/>
        <v>1.5594295972995103</v>
      </c>
      <c r="AM511" t="str">
        <f t="shared" si="419"/>
        <v>1-87.3921579555451i</v>
      </c>
      <c r="AN511">
        <f t="shared" si="439"/>
        <v>87.397879105427634</v>
      </c>
      <c r="AO511">
        <f t="shared" si="440"/>
        <v>-1.5593541518687963</v>
      </c>
      <c r="AP511" s="41" t="str">
        <f t="shared" si="441"/>
        <v>0.0209675759857294-140.397424996159i</v>
      </c>
      <c r="AQ511">
        <f t="shared" si="442"/>
        <v>42.947182947865912</v>
      </c>
      <c r="AR511" s="43">
        <f t="shared" si="443"/>
        <v>-89.991443193479483</v>
      </c>
      <c r="AS511" t="str">
        <f t="shared" si="420"/>
        <v>-0.0000166666666666667</v>
      </c>
      <c r="AT511" t="str">
        <f t="shared" si="421"/>
        <v>0.0181827172544504i</v>
      </c>
      <c r="AU511">
        <f t="shared" si="444"/>
        <v>1.8182717254450399E-2</v>
      </c>
      <c r="AV511">
        <f t="shared" si="445"/>
        <v>1.5707963267948966</v>
      </c>
      <c r="AW511" t="str">
        <f t="shared" si="422"/>
        <v>1+18.4784223447477i</v>
      </c>
      <c r="AX511">
        <f t="shared" si="446"/>
        <v>18.505461149370774</v>
      </c>
      <c r="AY511">
        <f t="shared" si="447"/>
        <v>1.5167318904293321</v>
      </c>
      <c r="AZ511" t="str">
        <f t="shared" si="423"/>
        <v>1+628.266359721422i</v>
      </c>
      <c r="BA511">
        <f t="shared" si="448"/>
        <v>628.26715556171428</v>
      </c>
      <c r="BB511">
        <f t="shared" si="449"/>
        <v>1.5692046465464726</v>
      </c>
      <c r="BC511" s="41" t="str">
        <f t="shared" si="450"/>
        <v>-0.00163218344744559+0.0310767964266687i</v>
      </c>
      <c r="BD511">
        <f t="shared" si="451"/>
        <v>-30.139311829416542</v>
      </c>
      <c r="BE511" s="43">
        <f t="shared" si="452"/>
        <v>93.006467464931418</v>
      </c>
      <c r="BF511" s="41" t="str">
        <f t="shared" si="453"/>
        <v>-0.105496692439678-0.154481753119481i</v>
      </c>
      <c r="BG511" s="20">
        <f t="shared" si="454"/>
        <v>-14.560043751728335</v>
      </c>
      <c r="BH511" s="43">
        <f t="shared" si="455"/>
        <v>-124.32944793493171</v>
      </c>
      <c r="BI511" s="41" t="str">
        <f t="shared" si="460"/>
        <v>4.36306797250366+0.229805958233184i</v>
      </c>
      <c r="BJ511" s="20">
        <f t="shared" si="456"/>
        <v>12.807871118449361</v>
      </c>
      <c r="BK511" s="43">
        <f t="shared" si="461"/>
        <v>3.0150242714519462</v>
      </c>
      <c r="BL511">
        <f t="shared" si="457"/>
        <v>-14.560043751728335</v>
      </c>
      <c r="BM511" s="43">
        <f t="shared" si="458"/>
        <v>-124.32944793493171</v>
      </c>
    </row>
    <row r="512" spans="14:65" x14ac:dyDescent="0.25">
      <c r="N512" s="9">
        <v>94</v>
      </c>
      <c r="O512" s="34">
        <f t="shared" si="459"/>
        <v>870963.58995608077</v>
      </c>
      <c r="P512" s="33" t="str">
        <f t="shared" si="411"/>
        <v>16.5157725627975</v>
      </c>
      <c r="Q512" s="4" t="str">
        <f t="shared" si="412"/>
        <v>1+14159.7428118139i</v>
      </c>
      <c r="R512" s="4">
        <f t="shared" si="424"/>
        <v>14159.742847125275</v>
      </c>
      <c r="S512" s="4">
        <f t="shared" si="425"/>
        <v>1.570725704043366</v>
      </c>
      <c r="T512" s="4" t="str">
        <f t="shared" si="413"/>
        <v>1+90.0214016381821i</v>
      </c>
      <c r="U512" s="4">
        <f t="shared" si="426"/>
        <v>90.026955701628026</v>
      </c>
      <c r="V512" s="4">
        <f t="shared" si="427"/>
        <v>1.5596883141206932</v>
      </c>
      <c r="W512" t="str">
        <f t="shared" si="414"/>
        <v>1-1368.10640787511i</v>
      </c>
      <c r="X512" s="4">
        <f t="shared" si="428"/>
        <v>1368.1067733437098</v>
      </c>
      <c r="Y512" s="4">
        <f t="shared" si="429"/>
        <v>-1.5700653896279086</v>
      </c>
      <c r="Z512" t="str">
        <f t="shared" si="415"/>
        <v>-14.673090393165+19.1534897102515i</v>
      </c>
      <c r="AA512" s="4">
        <f t="shared" si="430"/>
        <v>24.127903965464984</v>
      </c>
      <c r="AB512" s="4">
        <f t="shared" si="431"/>
        <v>2.2245089637280171</v>
      </c>
      <c r="AC512" s="47" t="str">
        <f t="shared" si="432"/>
        <v>-4.68898681127429+3.66943715988002i</v>
      </c>
      <c r="AD512" s="20">
        <f t="shared" si="433"/>
        <v>15.496329786652064</v>
      </c>
      <c r="AE512" s="43">
        <f t="shared" si="434"/>
        <v>141.9545086447126</v>
      </c>
      <c r="AF512" t="str">
        <f t="shared" si="416"/>
        <v>247.084651286898</v>
      </c>
      <c r="AG512" t="str">
        <f t="shared" si="417"/>
        <v>1+13847.1800916202i</v>
      </c>
      <c r="AH512">
        <f t="shared" si="435"/>
        <v>13847.180127728634</v>
      </c>
      <c r="AI512">
        <f t="shared" si="436"/>
        <v>1.5707241099253502</v>
      </c>
      <c r="AJ512" t="str">
        <f t="shared" si="418"/>
        <v>1+90.0214016381821i</v>
      </c>
      <c r="AK512">
        <f t="shared" si="437"/>
        <v>90.026955701628026</v>
      </c>
      <c r="AL512">
        <f t="shared" si="438"/>
        <v>1.5596883141206932</v>
      </c>
      <c r="AM512" t="str">
        <f t="shared" si="419"/>
        <v>1-89.427782816202i</v>
      </c>
      <c r="AN512">
        <f t="shared" si="439"/>
        <v>89.433373745049977</v>
      </c>
      <c r="AO512">
        <f t="shared" si="440"/>
        <v>-1.5596145856060786</v>
      </c>
      <c r="AP512" s="41" t="str">
        <f t="shared" si="441"/>
        <v>0.0209675152603426-143.666860257467i</v>
      </c>
      <c r="AQ512">
        <f t="shared" si="442"/>
        <v>43.147132105552757</v>
      </c>
      <c r="AR512" s="43">
        <f t="shared" si="443"/>
        <v>-89.991637945448176</v>
      </c>
      <c r="AS512" t="str">
        <f t="shared" si="420"/>
        <v>-0.0000166666666666667</v>
      </c>
      <c r="AT512" t="str">
        <f t="shared" si="421"/>
        <v>0.0186062471471015i</v>
      </c>
      <c r="AU512">
        <f t="shared" si="444"/>
        <v>1.86062471471015E-2</v>
      </c>
      <c r="AV512">
        <f t="shared" si="445"/>
        <v>1.5707963267948966</v>
      </c>
      <c r="AW512" t="str">
        <f t="shared" si="422"/>
        <v>1+18.9088400937844i</v>
      </c>
      <c r="AX512">
        <f t="shared" si="446"/>
        <v>18.935264288947973</v>
      </c>
      <c r="AY512">
        <f t="shared" si="447"/>
        <v>1.5179602315702547</v>
      </c>
      <c r="AZ512" t="str">
        <f t="shared" si="423"/>
        <v>1+642.90056318867i</v>
      </c>
      <c r="BA512">
        <f t="shared" si="448"/>
        <v>642.90134091344771</v>
      </c>
      <c r="BB512">
        <f t="shared" si="449"/>
        <v>1.569240877553157</v>
      </c>
      <c r="BC512" s="41" t="str">
        <f t="shared" si="450"/>
        <v>-0.00155892797639543+0.0303732763150062i</v>
      </c>
      <c r="BD512">
        <f t="shared" si="451"/>
        <v>-30.338741507366809</v>
      </c>
      <c r="BE512" s="43">
        <f t="shared" si="452"/>
        <v>92.938164585524802</v>
      </c>
      <c r="BF512" s="41" t="str">
        <f t="shared" si="453"/>
        <v>-0.104143036056543-0.148140280302416i</v>
      </c>
      <c r="BG512" s="20">
        <f t="shared" si="454"/>
        <v>-14.842411720714727</v>
      </c>
      <c r="BH512" s="43">
        <f t="shared" si="455"/>
        <v>-125.10732676976262</v>
      </c>
      <c r="BI512" s="41" t="str">
        <f t="shared" si="460"/>
        <v>4.36360055706329+0.2246031398709i</v>
      </c>
      <c r="BJ512" s="20">
        <f t="shared" si="456"/>
        <v>12.808390598185941</v>
      </c>
      <c r="BK512" s="43">
        <f t="shared" si="461"/>
        <v>2.946526640076645</v>
      </c>
      <c r="BL512">
        <f t="shared" si="457"/>
        <v>-14.842411720714727</v>
      </c>
      <c r="BM512" s="43">
        <f t="shared" si="458"/>
        <v>-125.10732676976262</v>
      </c>
    </row>
    <row r="513" spans="14:65" x14ac:dyDescent="0.25">
      <c r="N513" s="9">
        <v>95</v>
      </c>
      <c r="O513" s="34">
        <f t="shared" si="459"/>
        <v>891250.93813374708</v>
      </c>
      <c r="P513" s="33" t="str">
        <f t="shared" si="411"/>
        <v>16.5157725627975</v>
      </c>
      <c r="Q513" s="4" t="str">
        <f t="shared" si="412"/>
        <v>1+14489.565591827i</v>
      </c>
      <c r="R513" s="4">
        <f t="shared" si="424"/>
        <v>14489.565626334592</v>
      </c>
      <c r="S513" s="4">
        <f t="shared" si="425"/>
        <v>1.5707273116134493</v>
      </c>
      <c r="T513" s="4" t="str">
        <f t="shared" si="413"/>
        <v>1+92.1182694516431i</v>
      </c>
      <c r="U513" s="4">
        <f t="shared" si="426"/>
        <v>92.123697096705371</v>
      </c>
      <c r="V513" s="4">
        <f t="shared" si="427"/>
        <v>1.5599411432649903</v>
      </c>
      <c r="W513" t="str">
        <f t="shared" si="414"/>
        <v>1-1399.97369987299i</v>
      </c>
      <c r="X513" s="4">
        <f t="shared" si="428"/>
        <v>1399.974057022511</v>
      </c>
      <c r="Y513" s="4">
        <f t="shared" si="429"/>
        <v>-1.5700820277834107</v>
      </c>
      <c r="Z513" t="str">
        <f t="shared" si="415"/>
        <v>-15.4117403868654+19.5996317982219i</v>
      </c>
      <c r="AA513" s="4">
        <f t="shared" si="430"/>
        <v>24.933257075199965</v>
      </c>
      <c r="AB513" s="4">
        <f t="shared" si="431"/>
        <v>2.2371449435984228</v>
      </c>
      <c r="AC513" s="47" t="str">
        <f t="shared" si="432"/>
        <v>-4.59779280399882+3.69091569406016i</v>
      </c>
      <c r="AD513" s="20">
        <f t="shared" si="433"/>
        <v>15.411117180956918</v>
      </c>
      <c r="AE513" s="43">
        <f t="shared" si="434"/>
        <v>141.24396096796201</v>
      </c>
      <c r="AF513" t="str">
        <f t="shared" si="416"/>
        <v>247.084651286898</v>
      </c>
      <c r="AG513" t="str">
        <f t="shared" si="417"/>
        <v>1+14169.7223506046i</v>
      </c>
      <c r="AH513">
        <f t="shared" si="435"/>
        <v>14169.722385891106</v>
      </c>
      <c r="AI513">
        <f t="shared" si="436"/>
        <v>1.5707257537819894</v>
      </c>
      <c r="AJ513" t="str">
        <f t="shared" si="418"/>
        <v>1+92.1182694516431i</v>
      </c>
      <c r="AK513">
        <f t="shared" si="437"/>
        <v>92.123697096705371</v>
      </c>
      <c r="AL513">
        <f t="shared" si="438"/>
        <v>1.5599411432649903</v>
      </c>
      <c r="AM513" t="str">
        <f t="shared" si="419"/>
        <v>1-91.5108234710249i</v>
      </c>
      <c r="AN513">
        <f t="shared" si="439"/>
        <v>91.516287142481261</v>
      </c>
      <c r="AO513">
        <f t="shared" si="440"/>
        <v>-1.5598690926134942</v>
      </c>
      <c r="AP513" s="41" t="str">
        <f t="shared" si="441"/>
        <v>0.0209674572680486-147.012469589738i</v>
      </c>
      <c r="AQ513">
        <f t="shared" si="442"/>
        <v>43.347083551242747</v>
      </c>
      <c r="AR513" s="43">
        <f t="shared" si="443"/>
        <v>-89.991828265970994</v>
      </c>
      <c r="AS513" t="str">
        <f t="shared" si="420"/>
        <v>-0.0000166666666666667</v>
      </c>
      <c r="AT513" t="str">
        <f t="shared" si="421"/>
        <v>0.0190396423182727i</v>
      </c>
      <c r="AU513">
        <f t="shared" si="444"/>
        <v>1.9039642318272699E-2</v>
      </c>
      <c r="AV513">
        <f t="shared" si="445"/>
        <v>1.5707963267948966</v>
      </c>
      <c r="AW513" t="str">
        <f t="shared" si="422"/>
        <v>1+19.349283560127i</v>
      </c>
      <c r="AX513">
        <f t="shared" si="446"/>
        <v>19.375107078160909</v>
      </c>
      <c r="AY513">
        <f t="shared" si="447"/>
        <v>1.519160766481471</v>
      </c>
      <c r="AZ513" t="str">
        <f t="shared" si="423"/>
        <v>1+657.875641044318i</v>
      </c>
      <c r="BA513">
        <f t="shared" si="448"/>
        <v>657.87640106593904</v>
      </c>
      <c r="BB513">
        <f t="shared" si="449"/>
        <v>1.5692762838453878</v>
      </c>
      <c r="BC513" s="41" t="str">
        <f t="shared" si="450"/>
        <v>-0.00148895156501595+0.0296855126233104i</v>
      </c>
      <c r="BD513">
        <f t="shared" si="451"/>
        <v>-30.538196783992223</v>
      </c>
      <c r="BE513" s="43">
        <f t="shared" si="452"/>
        <v>92.871407633067022</v>
      </c>
      <c r="BF513" s="41" t="str">
        <f t="shared" si="453"/>
        <v>-0.102720833636464-0.141983431021486i</v>
      </c>
      <c r="BG513" s="20">
        <f t="shared" si="454"/>
        <v>-15.127079603035295</v>
      </c>
      <c r="BH513" s="43">
        <f t="shared" si="455"/>
        <v>-125.88463139897078</v>
      </c>
      <c r="BI513" s="41" t="str">
        <f t="shared" si="460"/>
        <v>4.36410930226189+0.21951687638991i</v>
      </c>
      <c r="BJ513" s="20">
        <f t="shared" si="456"/>
        <v>12.808886767250522</v>
      </c>
      <c r="BK513" s="43">
        <f t="shared" si="461"/>
        <v>2.8795793670960355</v>
      </c>
      <c r="BL513">
        <f t="shared" si="457"/>
        <v>-15.127079603035295</v>
      </c>
      <c r="BM513" s="43">
        <f t="shared" si="458"/>
        <v>-125.88463139897078</v>
      </c>
    </row>
    <row r="514" spans="14:65" x14ac:dyDescent="0.25">
      <c r="N514" s="9">
        <v>96</v>
      </c>
      <c r="O514" s="34">
        <f t="shared" si="459"/>
        <v>912010.83935591124</v>
      </c>
      <c r="P514" s="33" t="str">
        <f t="shared" si="411"/>
        <v>16.5157725627975</v>
      </c>
      <c r="Q514" s="4" t="str">
        <f t="shared" si="412"/>
        <v>1+14827.0709313089i</v>
      </c>
      <c r="R514" s="4">
        <f t="shared" si="424"/>
        <v>14827.070965031</v>
      </c>
      <c r="S514" s="4">
        <f t="shared" si="425"/>
        <v>1.5707288825907706</v>
      </c>
      <c r="T514" s="4" t="str">
        <f t="shared" si="413"/>
        <v>1+94.2639795908966i</v>
      </c>
      <c r="U514" s="4">
        <f t="shared" si="426"/>
        <v>94.269283694706033</v>
      </c>
      <c r="V514" s="4">
        <f t="shared" si="427"/>
        <v>1.560188218656394</v>
      </c>
      <c r="W514" t="str">
        <f t="shared" si="414"/>
        <v>1-1432.58327645739i</v>
      </c>
      <c r="X514" s="4">
        <f t="shared" si="428"/>
        <v>1432.5836254771973</v>
      </c>
      <c r="Y514" s="4">
        <f t="shared" si="429"/>
        <v>-1.5700982872086373</v>
      </c>
      <c r="Z514" t="str">
        <f t="shared" si="415"/>
        <v>-16.1852018822866+20.0561658704035i</v>
      </c>
      <c r="AA514" s="4">
        <f t="shared" si="430"/>
        <v>25.772282580157931</v>
      </c>
      <c r="AB514" s="4">
        <f t="shared" si="431"/>
        <v>2.2497872675058295</v>
      </c>
      <c r="AC514" s="47" t="str">
        <f t="shared" si="432"/>
        <v>-4.50600184510838+3.71013829780547i</v>
      </c>
      <c r="AD514" s="20">
        <f t="shared" si="433"/>
        <v>15.323616657205152</v>
      </c>
      <c r="AE514" s="43">
        <f t="shared" si="434"/>
        <v>140.53274393516625</v>
      </c>
      <c r="AF514" t="str">
        <f t="shared" si="416"/>
        <v>247.084651286898</v>
      </c>
      <c r="AG514" t="str">
        <f t="shared" si="417"/>
        <v>1+14499.7775839376i</v>
      </c>
      <c r="AH514">
        <f t="shared" si="435"/>
        <v>14499.777618420887</v>
      </c>
      <c r="AI514">
        <f t="shared" si="436"/>
        <v>1.5707273602198837</v>
      </c>
      <c r="AJ514" t="str">
        <f t="shared" si="418"/>
        <v>1+94.2639795908966i</v>
      </c>
      <c r="AK514">
        <f t="shared" si="437"/>
        <v>94.269283694706033</v>
      </c>
      <c r="AL514">
        <f t="shared" si="438"/>
        <v>1.560188218656394</v>
      </c>
      <c r="AM514" t="str">
        <f t="shared" si="419"/>
        <v>1-93.6423843757409i</v>
      </c>
      <c r="AN514">
        <f t="shared" si="439"/>
        <v>93.647723686024548</v>
      </c>
      <c r="AO514">
        <f t="shared" si="440"/>
        <v>-1.5601178077020676</v>
      </c>
      <c r="AP514" s="41" t="str">
        <f t="shared" si="441"/>
        <v>0.0209674018858374-150.436026879326i</v>
      </c>
      <c r="AQ514">
        <f t="shared" si="442"/>
        <v>43.547037181983328</v>
      </c>
      <c r="AR514" s="43">
        <f t="shared" si="443"/>
        <v>-89.992014255809906</v>
      </c>
      <c r="AS514" t="str">
        <f t="shared" si="420"/>
        <v>-0.0000166666666666667</v>
      </c>
      <c r="AT514" t="str">
        <f t="shared" si="421"/>
        <v>0.0194831325598206i</v>
      </c>
      <c r="AU514">
        <f t="shared" si="444"/>
        <v>1.94831325598206E-2</v>
      </c>
      <c r="AV514">
        <f t="shared" si="445"/>
        <v>1.5707963267948966</v>
      </c>
      <c r="AW514" t="str">
        <f t="shared" si="422"/>
        <v>1+19.7999862727311i</v>
      </c>
      <c r="AX514">
        <f t="shared" si="446"/>
        <v>19.825222732679194</v>
      </c>
      <c r="AY514">
        <f t="shared" si="447"/>
        <v>1.5203341178521339</v>
      </c>
      <c r="AZ514" t="str">
        <f t="shared" si="423"/>
        <v>1+673.199533272859i</v>
      </c>
      <c r="BA514">
        <f t="shared" si="448"/>
        <v>673.20027599429523</v>
      </c>
      <c r="BB514">
        <f t="shared" si="449"/>
        <v>1.5693108841956942</v>
      </c>
      <c r="BC514" s="41" t="str">
        <f t="shared" si="450"/>
        <v>-0.00142210820714365+0.0290131637881582i</v>
      </c>
      <c r="BD514">
        <f t="shared" si="451"/>
        <v>-30.737676513309815</v>
      </c>
      <c r="BE514" s="43">
        <f t="shared" si="452"/>
        <v>92.806162005684399</v>
      </c>
      <c r="BF514" s="41" t="str">
        <f t="shared" si="453"/>
        <v>-0.101234827905616-0.13600958768482i</v>
      </c>
      <c r="BG514" s="20">
        <f t="shared" si="454"/>
        <v>-15.414059856104629</v>
      </c>
      <c r="BH514" s="43">
        <f t="shared" si="455"/>
        <v>-126.66109405914939</v>
      </c>
      <c r="BI514" s="41" t="str">
        <f t="shared" si="460"/>
        <v>4.36459526957535+0.214544639140298i</v>
      </c>
      <c r="BJ514" s="20">
        <f t="shared" si="456"/>
        <v>12.809360668673513</v>
      </c>
      <c r="BK514" s="43">
        <f t="shared" si="461"/>
        <v>2.814147749874496</v>
      </c>
      <c r="BL514">
        <f t="shared" si="457"/>
        <v>-15.414059856104629</v>
      </c>
      <c r="BM514" s="43">
        <f t="shared" si="458"/>
        <v>-126.66109405914939</v>
      </c>
    </row>
    <row r="515" spans="14:65" x14ac:dyDescent="0.25">
      <c r="N515" s="9">
        <v>97</v>
      </c>
      <c r="O515" s="34">
        <f t="shared" si="459"/>
        <v>933254.30079699249</v>
      </c>
      <c r="P515" s="33" t="str">
        <f t="shared" si="411"/>
        <v>16.5157725627975</v>
      </c>
      <c r="Q515" s="4" t="str">
        <f t="shared" si="412"/>
        <v>1+15172.437780058i</v>
      </c>
      <c r="R515" s="4">
        <f t="shared" si="424"/>
        <v>15172.437813012493</v>
      </c>
      <c r="S515" s="4">
        <f t="shared" si="425"/>
        <v>1.5707304178082824</v>
      </c>
      <c r="T515" s="4" t="str">
        <f t="shared" si="413"/>
        <v>1+96.4596697398605i</v>
      </c>
      <c r="U515" s="4">
        <f t="shared" si="426"/>
        <v>96.464853114090005</v>
      </c>
      <c r="V515" s="4">
        <f t="shared" si="427"/>
        <v>1.560429671176814</v>
      </c>
      <c r="W515" t="str">
        <f t="shared" si="414"/>
        <v>1-1465.95242765746i</v>
      </c>
      <c r="X515" s="4">
        <f t="shared" si="428"/>
        <v>1465.9527687326083</v>
      </c>
      <c r="Y515" s="4">
        <f t="shared" si="429"/>
        <v>-1.570114176524517</v>
      </c>
      <c r="Z515" t="str">
        <f t="shared" si="415"/>
        <v>-16.9951154949604+20.5233339872043i</v>
      </c>
      <c r="AA515" s="4">
        <f t="shared" si="430"/>
        <v>26.646598068747505</v>
      </c>
      <c r="AB515" s="4">
        <f t="shared" si="431"/>
        <v>2.2624306792613473</v>
      </c>
      <c r="AC515" s="47" t="str">
        <f t="shared" si="432"/>
        <v>-4.41370967969108+3.72707988754837i</v>
      </c>
      <c r="AD515" s="20">
        <f t="shared" si="433"/>
        <v>15.233816834512233</v>
      </c>
      <c r="AE515" s="43">
        <f t="shared" si="434"/>
        <v>139.82116566107851</v>
      </c>
      <c r="AF515" t="str">
        <f t="shared" si="416"/>
        <v>247.084651286898</v>
      </c>
      <c r="AG515" t="str">
        <f t="shared" si="417"/>
        <v>1+14837.5207912729i</v>
      </c>
      <c r="AH515">
        <f t="shared" si="435"/>
        <v>14837.52082497125</v>
      </c>
      <c r="AI515">
        <f t="shared" si="436"/>
        <v>1.5707289300907872</v>
      </c>
      <c r="AJ515" t="str">
        <f t="shared" si="418"/>
        <v>1+96.4596697398605i</v>
      </c>
      <c r="AK515">
        <f t="shared" si="437"/>
        <v>96.464853114090005</v>
      </c>
      <c r="AL515">
        <f t="shared" si="438"/>
        <v>1.560429671176814</v>
      </c>
      <c r="AM515" t="str">
        <f t="shared" si="419"/>
        <v>1-95.8235957121565i</v>
      </c>
      <c r="AN515">
        <f t="shared" si="439"/>
        <v>95.828813491594573</v>
      </c>
      <c r="AO515">
        <f t="shared" si="440"/>
        <v>-1.5603608626206786</v>
      </c>
      <c r="AP515" s="41" t="str">
        <f t="shared" si="441"/>
        <v>0.020967348996235-153.93934734162i</v>
      </c>
      <c r="AQ515">
        <f t="shared" si="442"/>
        <v>43.746992899453183</v>
      </c>
      <c r="AR515" s="43">
        <f t="shared" si="443"/>
        <v>-89.992196013440491</v>
      </c>
      <c r="AS515" t="str">
        <f t="shared" si="420"/>
        <v>-0.0000166666666666667</v>
      </c>
      <c r="AT515" t="str">
        <f t="shared" si="421"/>
        <v>0.0199369530161414i</v>
      </c>
      <c r="AU515">
        <f t="shared" si="444"/>
        <v>1.9936953016141401E-2</v>
      </c>
      <c r="AV515">
        <f t="shared" si="445"/>
        <v>1.5707963267948966</v>
      </c>
      <c r="AW515" t="str">
        <f t="shared" si="422"/>
        <v>1+20.2611872001409i</v>
      </c>
      <c r="AX515">
        <f t="shared" si="446"/>
        <v>20.285849914636394</v>
      </c>
      <c r="AY515">
        <f t="shared" si="447"/>
        <v>1.5214808948780121</v>
      </c>
      <c r="AZ515" t="str">
        <f t="shared" si="423"/>
        <v>1+688.880364804791i</v>
      </c>
      <c r="BA515">
        <f t="shared" si="448"/>
        <v>688.88109061984142</v>
      </c>
      <c r="BB515">
        <f t="shared" si="449"/>
        <v>1.5693446969493086</v>
      </c>
      <c r="BC515" s="41" t="str">
        <f t="shared" si="450"/>
        <v>-0.00135825833011359+0.0283558948908516i</v>
      </c>
      <c r="BD515">
        <f t="shared" si="451"/>
        <v>-30.93717960037544</v>
      </c>
      <c r="BE515" s="43">
        <f t="shared" si="452"/>
        <v>92.742393850134818</v>
      </c>
      <c r="BF515" s="41" t="str">
        <f t="shared" si="453"/>
        <v>-0.0996897276019852-0.130217025060316i</v>
      </c>
      <c r="BG515" s="20">
        <f t="shared" si="454"/>
        <v>-15.703362765863208</v>
      </c>
      <c r="BH515" s="43">
        <f t="shared" si="455"/>
        <v>-127.43644048878669</v>
      </c>
      <c r="BI515" s="41" t="str">
        <f t="shared" si="460"/>
        <v>4.36505947370884+0.209683948803282i</v>
      </c>
      <c r="BJ515" s="20">
        <f t="shared" si="456"/>
        <v>12.809813299077746</v>
      </c>
      <c r="BK515" s="43">
        <f t="shared" si="461"/>
        <v>2.7501978366943258</v>
      </c>
      <c r="BL515">
        <f t="shared" si="457"/>
        <v>-15.703362765863208</v>
      </c>
      <c r="BM515" s="43">
        <f t="shared" si="458"/>
        <v>-127.43644048878669</v>
      </c>
    </row>
    <row r="516" spans="14:65" x14ac:dyDescent="0.25">
      <c r="N516" s="9">
        <v>98</v>
      </c>
      <c r="O516" s="34">
        <f t="shared" si="459"/>
        <v>954992.58602143743</v>
      </c>
      <c r="P516" s="33" t="str">
        <f t="shared" si="411"/>
        <v>16.5157725627975</v>
      </c>
      <c r="Q516" s="4" t="str">
        <f t="shared" si="412"/>
        <v>1+15525.8492561491i</v>
      </c>
      <c r="R516" s="4">
        <f t="shared" si="424"/>
        <v>15525.849288353456</v>
      </c>
      <c r="S516" s="4">
        <f t="shared" si="425"/>
        <v>1.5707319180799775</v>
      </c>
      <c r="T516" s="4" t="str">
        <f t="shared" si="413"/>
        <v>1+98.7065040825152i</v>
      </c>
      <c r="U516" s="4">
        <f t="shared" si="426"/>
        <v>98.711569474867474</v>
      </c>
      <c r="V516" s="4">
        <f t="shared" si="427"/>
        <v>1.5606656287348959</v>
      </c>
      <c r="W516" t="str">
        <f t="shared" si="414"/>
        <v>1-1500.09884623883i</v>
      </c>
      <c r="X516" s="4">
        <f t="shared" si="428"/>
        <v>1500.099179550162</v>
      </c>
      <c r="Y516" s="4">
        <f t="shared" si="429"/>
        <v>-1.5701297041557427</v>
      </c>
      <c r="Z516" t="str">
        <f t="shared" si="415"/>
        <v>-17.8431991602461+21.0013838473436i</v>
      </c>
      <c r="AA516" s="4">
        <f t="shared" si="430"/>
        <v>27.557900496512282</v>
      </c>
      <c r="AB516" s="4">
        <f t="shared" si="431"/>
        <v>2.2750698345474039</v>
      </c>
      <c r="AC516" s="47" t="str">
        <f t="shared" si="432"/>
        <v>-4.32101390244079+3.74172063001809i</v>
      </c>
      <c r="AD516" s="20">
        <f t="shared" si="433"/>
        <v>15.14170860861908</v>
      </c>
      <c r="AE516" s="43">
        <f t="shared" si="434"/>
        <v>139.1095391518279</v>
      </c>
      <c r="AF516" t="str">
        <f t="shared" si="416"/>
        <v>247.084651286898</v>
      </c>
      <c r="AG516" t="str">
        <f t="shared" si="417"/>
        <v>1+15183.1310485296i</v>
      </c>
      <c r="AH516">
        <f t="shared" si="435"/>
        <v>15183.131081460882</v>
      </c>
      <c r="AI516">
        <f t="shared" si="436"/>
        <v>1.5707304642270667</v>
      </c>
      <c r="AJ516" t="str">
        <f t="shared" si="418"/>
        <v>1+98.7065040825152i</v>
      </c>
      <c r="AK516">
        <f t="shared" si="437"/>
        <v>98.711569474867474</v>
      </c>
      <c r="AL516">
        <f t="shared" si="438"/>
        <v>1.5606656287348959</v>
      </c>
      <c r="AM516" t="str">
        <f t="shared" si="419"/>
        <v>1-98.0556139873938i</v>
      </c>
      <c r="AN516">
        <f t="shared" si="439"/>
        <v>98.060713001919254</v>
      </c>
      <c r="AO516">
        <f t="shared" si="440"/>
        <v>-1.5605983861253268</v>
      </c>
      <c r="AP516" s="41" t="str">
        <f t="shared" si="441"/>
        <v>0.02096729848706-157.524288483502i</v>
      </c>
      <c r="AQ516">
        <f t="shared" si="442"/>
        <v>43.946950609754424</v>
      </c>
      <c r="AR516" s="43">
        <f t="shared" si="443"/>
        <v>-89.992373635103704</v>
      </c>
      <c r="AS516" t="str">
        <f t="shared" si="420"/>
        <v>-0.0000166666666666667</v>
      </c>
      <c r="AT516" t="str">
        <f t="shared" si="421"/>
        <v>0.0204013443088481i</v>
      </c>
      <c r="AU516">
        <f t="shared" si="444"/>
        <v>2.0401344308848102E-2</v>
      </c>
      <c r="AV516">
        <f t="shared" si="445"/>
        <v>1.5707963267948966</v>
      </c>
      <c r="AW516" t="str">
        <f t="shared" si="422"/>
        <v>1+20.7331308771927i</v>
      </c>
      <c r="AX516">
        <f t="shared" si="446"/>
        <v>20.757232859193955</v>
      </c>
      <c r="AY516">
        <f t="shared" si="447"/>
        <v>1.5226016935236226</v>
      </c>
      <c r="AZ516" t="str">
        <f t="shared" si="423"/>
        <v>1+704.926449824552i</v>
      </c>
      <c r="BA516">
        <f t="shared" si="448"/>
        <v>704.92715911805146</v>
      </c>
      <c r="BB516">
        <f t="shared" si="449"/>
        <v>1.5693777400338911</v>
      </c>
      <c r="BC516" s="41" t="str">
        <f t="shared" si="450"/>
        <v>-0.00129726851723248+0.0277133775804219i</v>
      </c>
      <c r="BD516">
        <f t="shared" si="451"/>
        <v>-31.136704999034002</v>
      </c>
      <c r="BE516" s="43">
        <f t="shared" si="452"/>
        <v>92.680070047346007</v>
      </c>
      <c r="BF516" s="41" t="str">
        <f t="shared" si="453"/>
        <v>-0.0980902013219851-0.124603906182196i</v>
      </c>
      <c r="BG516" s="20">
        <f t="shared" si="454"/>
        <v>-15.994996390414913</v>
      </c>
      <c r="BH516" s="43">
        <f t="shared" si="455"/>
        <v>-128.21039080082599</v>
      </c>
      <c r="BI516" s="41" t="str">
        <f t="shared" si="460"/>
        <v>4.36550288461438+0.204932374808907i</v>
      </c>
      <c r="BJ516" s="20">
        <f t="shared" si="456"/>
        <v>12.810245610720422</v>
      </c>
      <c r="BK516" s="43">
        <f t="shared" si="461"/>
        <v>2.6876964122423095</v>
      </c>
      <c r="BL516">
        <f t="shared" si="457"/>
        <v>-15.994996390414913</v>
      </c>
      <c r="BM516" s="43">
        <f t="shared" si="458"/>
        <v>-128.21039080082599</v>
      </c>
    </row>
    <row r="517" spans="14:65" x14ac:dyDescent="0.25">
      <c r="N517" s="9">
        <v>99</v>
      </c>
      <c r="O517" s="34">
        <f t="shared" si="459"/>
        <v>977237.22095581202</v>
      </c>
      <c r="P517" s="33" t="str">
        <f t="shared" si="411"/>
        <v>16.5157725627975</v>
      </c>
      <c r="Q517" s="4" t="str">
        <f t="shared" si="412"/>
        <v>1+15887.4927430248i</v>
      </c>
      <c r="R517" s="4">
        <f t="shared" si="424"/>
        <v>15887.492774496097</v>
      </c>
      <c r="S517" s="4">
        <f t="shared" si="425"/>
        <v>1.5707333842013198</v>
      </c>
      <c r="T517" s="4" t="str">
        <f t="shared" si="413"/>
        <v>1+101.005673920169i</v>
      </c>
      <c r="U517" s="4">
        <f t="shared" si="426"/>
        <v>101.01062401583067</v>
      </c>
      <c r="V517" s="4">
        <f t="shared" si="427"/>
        <v>1.560896216333302</v>
      </c>
      <c r="W517" t="str">
        <f t="shared" si="414"/>
        <v>1-1535.04063708464i</v>
      </c>
      <c r="X517" s="4">
        <f t="shared" si="428"/>
        <v>1535.0409628088812</v>
      </c>
      <c r="Y517" s="4">
        <f t="shared" si="429"/>
        <v>-1.5701448783352405</v>
      </c>
      <c r="Z517" t="str">
        <f t="shared" si="415"/>
        <v>-18.7312517773025+21.490568919185i</v>
      </c>
      <c r="AA517" s="4">
        <f t="shared" si="430"/>
        <v>28.507969861337696</v>
      </c>
      <c r="AB517" s="4">
        <f t="shared" si="431"/>
        <v>2.2876993164266519</v>
      </c>
      <c r="AC517" s="47" t="str">
        <f t="shared" si="432"/>
        <v>-4.22801357216826+3.75404609389217i</v>
      </c>
      <c r="AD517" s="20">
        <f t="shared" si="433"/>
        <v>15.047285196581603</v>
      </c>
      <c r="AE517" s="43">
        <f t="shared" si="434"/>
        <v>138.39818141989886</v>
      </c>
      <c r="AF517" t="str">
        <f t="shared" si="416"/>
        <v>247.084651286898</v>
      </c>
      <c r="AG517" t="str">
        <f t="shared" si="417"/>
        <v>1+15536.7916028407i</v>
      </c>
      <c r="AH517">
        <f t="shared" si="435"/>
        <v>15536.791635022373</v>
      </c>
      <c r="AI517">
        <f t="shared" si="436"/>
        <v>1.5707319634421413</v>
      </c>
      <c r="AJ517" t="str">
        <f t="shared" si="418"/>
        <v>1+101.005673920169i</v>
      </c>
      <c r="AK517">
        <f t="shared" si="437"/>
        <v>101.01062401583067</v>
      </c>
      <c r="AL517">
        <f t="shared" si="438"/>
        <v>1.560896216333302</v>
      </c>
      <c r="AM517" t="str">
        <f t="shared" si="419"/>
        <v>1-100.339622647087i</v>
      </c>
      <c r="AN517">
        <f t="shared" si="439"/>
        <v>100.34460559970233</v>
      </c>
      <c r="AO517">
        <f t="shared" si="440"/>
        <v>-1.5608305040468531</v>
      </c>
      <c r="AP517" s="41" t="str">
        <f t="shared" si="441"/>
        <v>0.02096725025116-161.192751088219i</v>
      </c>
      <c r="AQ517">
        <f t="shared" si="442"/>
        <v>44.14691022321346</v>
      </c>
      <c r="AR517" s="43">
        <f t="shared" si="443"/>
        <v>-89.992547214856131</v>
      </c>
      <c r="AS517" t="str">
        <f t="shared" si="420"/>
        <v>-0.0000166666666666667</v>
      </c>
      <c r="AT517" t="str">
        <f t="shared" si="421"/>
        <v>0.0208765526643511i</v>
      </c>
      <c r="AU517">
        <f t="shared" si="444"/>
        <v>2.0876552664351102E-2</v>
      </c>
      <c r="AV517">
        <f t="shared" si="445"/>
        <v>1.5707963267948966</v>
      </c>
      <c r="AW517" t="str">
        <f t="shared" si="422"/>
        <v>1+21.216067534671i</v>
      </c>
      <c r="AX517">
        <f t="shared" si="446"/>
        <v>21.239621504059834</v>
      </c>
      <c r="AY517">
        <f t="shared" si="447"/>
        <v>1.5236970967813577</v>
      </c>
      <c r="AZ517" t="str">
        <f t="shared" si="423"/>
        <v>1+721.346296178815i</v>
      </c>
      <c r="BA517">
        <f t="shared" si="448"/>
        <v>721.34698932683898</v>
      </c>
      <c r="BB517">
        <f t="shared" si="449"/>
        <v>1.5694100309690335</v>
      </c>
      <c r="BC517" s="41" t="str">
        <f t="shared" si="450"/>
        <v>-0.00123901124169719+0.0270852899935582i</v>
      </c>
      <c r="BD517">
        <f t="shared" si="451"/>
        <v>-31.336251709766472</v>
      </c>
      <c r="BE517" s="43">
        <f t="shared" si="452"/>
        <v>92.619158198113112</v>
      </c>
      <c r="BF517" s="41" t="str">
        <f t="shared" si="453"/>
        <v>-0.0964408707562891-0.119168279011059i</v>
      </c>
      <c r="BG517" s="20">
        <f t="shared" si="454"/>
        <v>-16.288966513184874</v>
      </c>
      <c r="BH517" s="43">
        <f t="shared" si="455"/>
        <v>-128.98266038198804</v>
      </c>
      <c r="BI517" s="41" t="str">
        <f t="shared" si="460"/>
        <v>4.36592642942509+0.20028753473182i</v>
      </c>
      <c r="BJ517" s="20">
        <f t="shared" si="456"/>
        <v>12.810658513446992</v>
      </c>
      <c r="BK517" s="43">
        <f t="shared" si="461"/>
        <v>2.6266109832569731</v>
      </c>
      <c r="BL517">
        <f t="shared" si="457"/>
        <v>-16.288966513184874</v>
      </c>
      <c r="BM517" s="43">
        <f t="shared" si="458"/>
        <v>-128.98266038198804</v>
      </c>
    </row>
    <row r="518" spans="14:65" x14ac:dyDescent="0.25">
      <c r="N518" s="9">
        <v>100</v>
      </c>
      <c r="O518" s="34">
        <f t="shared" si="459"/>
        <v>1000000</v>
      </c>
      <c r="P518" s="33" t="str">
        <f t="shared" si="411"/>
        <v>16.5157725627975</v>
      </c>
      <c r="Q518" s="4" t="str">
        <f t="shared" si="412"/>
        <v>1+16257.5599888486i</v>
      </c>
      <c r="R518" s="4">
        <f t="shared" si="424"/>
        <v>16257.560019603523</v>
      </c>
      <c r="S518" s="4">
        <f t="shared" si="425"/>
        <v>1.5707348169496662</v>
      </c>
      <c r="T518" s="4" t="str">
        <f t="shared" si="413"/>
        <v>1+103.358398303104i</v>
      </c>
      <c r="U518" s="4">
        <f t="shared" si="426"/>
        <v>103.36323572616664</v>
      </c>
      <c r="V518" s="4">
        <f t="shared" si="427"/>
        <v>1.5611215561344896</v>
      </c>
      <c r="W518" t="str">
        <f t="shared" si="414"/>
        <v>1-1570.7963267949i</v>
      </c>
      <c r="X518" s="4">
        <f t="shared" si="428"/>
        <v>1570.7966451047544</v>
      </c>
      <c r="Y518" s="4">
        <f t="shared" si="429"/>
        <v>-1.5701597071085331</v>
      </c>
      <c r="Z518" t="str">
        <f t="shared" si="415"/>
        <v>-19.6611570247934+21.9911485751285i</v>
      </c>
      <c r="AA518" s="4">
        <f t="shared" si="430"/>
        <v>29.498673041460002</v>
      </c>
      <c r="AB518" s="4">
        <f t="shared" si="431"/>
        <v>2.3003136512256663</v>
      </c>
      <c r="AC518" s="47" t="str">
        <f t="shared" si="432"/>
        <v>-4.134808812541+3.76404736750066i</v>
      </c>
      <c r="AD518" s="20">
        <f t="shared" si="433"/>
        <v>14.95054217166482</v>
      </c>
      <c r="AE518" s="43">
        <f t="shared" si="434"/>
        <v>137.68741257755627</v>
      </c>
      <c r="AF518" t="str">
        <f t="shared" si="416"/>
        <v>247.084651286898</v>
      </c>
      <c r="AG518" t="str">
        <f t="shared" si="417"/>
        <v>1+15898.6899697133i</v>
      </c>
      <c r="AH518">
        <f t="shared" si="435"/>
        <v>15898.690001162429</v>
      </c>
      <c r="AI518">
        <f t="shared" si="436"/>
        <v>1.5707334285309147</v>
      </c>
      <c r="AJ518" t="str">
        <f t="shared" si="418"/>
        <v>1+103.358398303104i</v>
      </c>
      <c r="AK518">
        <f t="shared" si="437"/>
        <v>103.36323572616664</v>
      </c>
      <c r="AL518">
        <f t="shared" si="438"/>
        <v>1.5611215561344896</v>
      </c>
      <c r="AM518" t="str">
        <f t="shared" si="419"/>
        <v>1-102.676832702859i</v>
      </c>
      <c r="AN518">
        <f t="shared" si="439"/>
        <v>102.68170223506668</v>
      </c>
      <c r="AO518">
        <f t="shared" si="440"/>
        <v>-1.5610573393571445</v>
      </c>
      <c r="AP518" s="41" t="str">
        <f t="shared" si="441"/>
        <v>0.0209672041862511-164.946680223201i</v>
      </c>
      <c r="AQ518">
        <f t="shared" si="442"/>
        <v>44.346871654190956</v>
      </c>
      <c r="AR518" s="43">
        <f t="shared" si="443"/>
        <v>-89.992716844619338</v>
      </c>
      <c r="AS518" t="str">
        <f t="shared" si="420"/>
        <v>-0.0000166666666666667</v>
      </c>
      <c r="AT518" t="str">
        <f t="shared" si="421"/>
        <v>0.0213628300444106i</v>
      </c>
      <c r="AU518">
        <f t="shared" si="444"/>
        <v>2.13628300444106E-2</v>
      </c>
      <c r="AV518">
        <f t="shared" si="445"/>
        <v>1.5707963267948966</v>
      </c>
      <c r="AW518" t="str">
        <f t="shared" si="422"/>
        <v>1+21.7102532319841i</v>
      </c>
      <c r="AX518">
        <f t="shared" si="446"/>
        <v>21.733271622028656</v>
      </c>
      <c r="AY518">
        <f t="shared" si="447"/>
        <v>1.524767674927479</v>
      </c>
      <c r="AZ518" t="str">
        <f t="shared" si="423"/>
        <v>1+738.148609887458i</v>
      </c>
      <c r="BA518">
        <f t="shared" si="448"/>
        <v>738.14928725752122</v>
      </c>
      <c r="BB518">
        <f t="shared" si="449"/>
        <v>1.5694415868755476</v>
      </c>
      <c r="BC518" s="41" t="str">
        <f t="shared" si="450"/>
        <v>-0.00118336461153401+0.0264713166718379i</v>
      </c>
      <c r="BD518">
        <f t="shared" si="451"/>
        <v>-31.535818777630173</v>
      </c>
      <c r="BE518" s="43">
        <f t="shared" si="452"/>
        <v>92.559626608963384</v>
      </c>
      <c r="BF518" s="41" t="str">
        <f t="shared" si="453"/>
        <v>-0.0947463034086878-0.113908073905117i</v>
      </c>
      <c r="BG518" s="20">
        <f t="shared" si="454"/>
        <v>-16.585276605965351</v>
      </c>
      <c r="BH518" s="43">
        <f t="shared" si="455"/>
        <v>-129.75296081348031</v>
      </c>
      <c r="BI518" s="41" t="str">
        <f t="shared" si="460"/>
        <v>4.3663309943093+0.19574709366789i</v>
      </c>
      <c r="BJ518" s="20">
        <f t="shared" si="456"/>
        <v>12.811052876560783</v>
      </c>
      <c r="BK518" s="43">
        <f t="shared" si="461"/>
        <v>2.5669097643440639</v>
      </c>
      <c r="BL518">
        <f t="shared" si="457"/>
        <v>-16.585276605965351</v>
      </c>
      <c r="BM518" s="43">
        <f t="shared" si="458"/>
        <v>-129.75296081348031</v>
      </c>
    </row>
    <row r="519" spans="14:65" x14ac:dyDescent="0.25">
      <c r="N519" s="9">
        <v>1</v>
      </c>
      <c r="O519" s="34">
        <f>10^(6+(N519/100))</f>
        <v>1023292.9922807553</v>
      </c>
      <c r="P519" s="33" t="str">
        <f t="shared" si="411"/>
        <v>16.5157725627975</v>
      </c>
      <c r="Q519" s="4" t="str">
        <f t="shared" si="412"/>
        <v>1+16636.2472081728i</v>
      </c>
      <c r="R519" s="4">
        <f t="shared" si="424"/>
        <v>16636.247238227657</v>
      </c>
      <c r="S519" s="4">
        <f t="shared" si="425"/>
        <v>1.5707362170846788</v>
      </c>
      <c r="T519" s="4" t="str">
        <f t="shared" si="413"/>
        <v>1+105.76592467693i</v>
      </c>
      <c r="U519" s="4">
        <f t="shared" si="426"/>
        <v>105.77065199177902</v>
      </c>
      <c r="V519" s="4">
        <f t="shared" si="427"/>
        <v>1.5613417675250127</v>
      </c>
      <c r="W519" t="str">
        <f t="shared" si="414"/>
        <v>1-1607.38487350957i</v>
      </c>
      <c r="X519" s="4">
        <f t="shared" si="428"/>
        <v>1607.3851845738084</v>
      </c>
      <c r="Y519" s="4">
        <f t="shared" si="429"/>
        <v>-1.5701741983380062</v>
      </c>
      <c r="Z519" t="str">
        <f t="shared" si="415"/>
        <v>-20.6348873564236+22.503388229134i</v>
      </c>
      <c r="AA519" s="4">
        <f t="shared" si="430"/>
        <v>30.531967804309915</v>
      </c>
      <c r="AB519" s="4">
        <f t="shared" si="431"/>
        <v>2.3129073246954861</v>
      </c>
      <c r="AC519" s="47" t="str">
        <f t="shared" si="432"/>
        <v>-4.04150040255219+3.77172114119437i</v>
      </c>
      <c r="AD519" s="20">
        <f t="shared" si="433"/>
        <v>14.851477488154007</v>
      </c>
      <c r="AE519" s="43">
        <f t="shared" si="434"/>
        <v>136.97755491433185</v>
      </c>
      <c r="AF519" t="str">
        <f t="shared" si="416"/>
        <v>247.084651286898</v>
      </c>
      <c r="AG519" t="str">
        <f t="shared" si="417"/>
        <v>1+16269.0180324519i</v>
      </c>
      <c r="AH519">
        <f t="shared" si="435"/>
        <v>16269.01806318516</v>
      </c>
      <c r="AI519">
        <f t="shared" si="436"/>
        <v>1.5707348602701963</v>
      </c>
      <c r="AJ519" t="str">
        <f t="shared" si="418"/>
        <v>1+105.76592467693i</v>
      </c>
      <c r="AK519">
        <f t="shared" si="437"/>
        <v>105.77065199177902</v>
      </c>
      <c r="AL519">
        <f t="shared" si="438"/>
        <v>1.5613417675250127</v>
      </c>
      <c r="AM519" t="str">
        <f t="shared" si="419"/>
        <v>1-105.068483374419i</v>
      </c>
      <c r="AN519">
        <f t="shared" si="439"/>
        <v>105.07324206761949</v>
      </c>
      <c r="AO519">
        <f t="shared" si="440"/>
        <v>-1.5612790122338587</v>
      </c>
      <c r="AP519" s="41" t="str">
        <f t="shared" si="441"/>
        <v>0.0209671601946075-168.788066271366i</v>
      </c>
      <c r="AQ519">
        <f t="shared" si="442"/>
        <v>44.546834820900607</v>
      </c>
      <c r="AR519" s="43">
        <f t="shared" si="443"/>
        <v>-89.992882614228108</v>
      </c>
      <c r="AS519" t="str">
        <f t="shared" si="420"/>
        <v>-0.0000166666666666667</v>
      </c>
      <c r="AT519" t="str">
        <f t="shared" si="421"/>
        <v>0.0218604342797301i</v>
      </c>
      <c r="AU519">
        <f t="shared" si="444"/>
        <v>2.1860434279730102E-2</v>
      </c>
      <c r="AV519">
        <f t="shared" si="445"/>
        <v>1.5707963267948966</v>
      </c>
      <c r="AW519" t="str">
        <f t="shared" si="422"/>
        <v>1+22.2159499929299i</v>
      </c>
      <c r="AX519">
        <f t="shared" si="446"/>
        <v>22.238444956614256</v>
      </c>
      <c r="AY519">
        <f t="shared" si="447"/>
        <v>1.5258139857748683</v>
      </c>
      <c r="AZ519" t="str">
        <f t="shared" si="423"/>
        <v>1+755.342299759617i</v>
      </c>
      <c r="BA519">
        <f t="shared" si="448"/>
        <v>755.34296171086896</v>
      </c>
      <c r="BB519">
        <f t="shared" si="449"/>
        <v>1.5694724244845413</v>
      </c>
      <c r="BC519" s="41" t="str">
        <f t="shared" si="450"/>
        <v>-0.00113021212514513+0.0258711484766101i</v>
      </c>
      <c r="BD519">
        <f t="shared" si="451"/>
        <v>-31.735405290288373</v>
      </c>
      <c r="BE519" s="43">
        <f t="shared" si="452"/>
        <v>92.501444278194839</v>
      </c>
      <c r="BF519" s="41" t="str">
        <f t="shared" si="453"/>
        <v>-0.0930110048974654-0.108821101949151i</v>
      </c>
      <c r="BG519" s="20">
        <f t="shared" si="454"/>
        <v>-16.88392780213438</v>
      </c>
      <c r="BH519" s="43">
        <f t="shared" si="455"/>
        <v>-130.52100080747337</v>
      </c>
      <c r="BI519" s="41" t="str">
        <f t="shared" si="460"/>
        <v>4.36671742624773+0.191308763594225i</v>
      </c>
      <c r="BJ519" s="20">
        <f t="shared" si="456"/>
        <v>12.811429530612219</v>
      </c>
      <c r="BK519" s="43">
        <f t="shared" si="461"/>
        <v>2.5085616639667494</v>
      </c>
      <c r="BL519">
        <f t="shared" si="457"/>
        <v>-16.88392780213438</v>
      </c>
      <c r="BM519" s="43">
        <f t="shared" si="458"/>
        <v>-130.52100080747337</v>
      </c>
    </row>
    <row r="520" spans="14:65" x14ac:dyDescent="0.25">
      <c r="N520" s="9">
        <v>2</v>
      </c>
      <c r="O520" s="34">
        <f t="shared" ref="O520:O560" si="462">10^(6+(N520/100))</f>
        <v>1047128.5480509007</v>
      </c>
      <c r="P520" s="33" t="str">
        <f t="shared" si="411"/>
        <v>16.5157725627975</v>
      </c>
      <c r="Q520" s="4" t="str">
        <f t="shared" si="412"/>
        <v>1+17023.7551859734i</v>
      </c>
      <c r="R520" s="4">
        <f t="shared" si="424"/>
        <v>17023.755215344121</v>
      </c>
      <c r="S520" s="4">
        <f t="shared" si="425"/>
        <v>1.5707375853487278</v>
      </c>
      <c r="T520" s="4" t="str">
        <f t="shared" si="413"/>
        <v>1+108.229529543996i</v>
      </c>
      <c r="U520" s="4">
        <f t="shared" si="426"/>
        <v>108.23414925666809</v>
      </c>
      <c r="V520" s="4">
        <f t="shared" si="427"/>
        <v>1.5615569671783864</v>
      </c>
      <c r="W520" t="str">
        <f t="shared" si="414"/>
        <v>1-1644.82567696043i</v>
      </c>
      <c r="X520" s="4">
        <f t="shared" si="428"/>
        <v>1644.8259809439833</v>
      </c>
      <c r="Y520" s="4">
        <f t="shared" si="429"/>
        <v>-1.5701883597070774</v>
      </c>
      <c r="Z520" t="str">
        <f t="shared" si="415"/>
        <v>-21.6545081847766+23.027559477446i</v>
      </c>
      <c r="AA520" s="4">
        <f t="shared" si="430"/>
        <v>31.609906994672887</v>
      </c>
      <c r="AB520" s="4">
        <f t="shared" si="431"/>
        <v>2.3254747983476038</v>
      </c>
      <c r="AC520" s="47" t="str">
        <f t="shared" si="432"/>
        <v>-3.94818936037476+3.77706975340232i</v>
      </c>
      <c r="AD520" s="20">
        <f t="shared" si="433"/>
        <v>14.750091495885357</v>
      </c>
      <c r="AE520" s="43">
        <f t="shared" si="434"/>
        <v>136.26893196437931</v>
      </c>
      <c r="AF520" t="str">
        <f t="shared" si="416"/>
        <v>247.084651286898</v>
      </c>
      <c r="AG520" t="str">
        <f t="shared" si="417"/>
        <v>1+16647.9721438973i</v>
      </c>
      <c r="AH520">
        <f t="shared" si="435"/>
        <v>16647.972173930986</v>
      </c>
      <c r="AI520">
        <f t="shared" si="436"/>
        <v>1.5707362594191134</v>
      </c>
      <c r="AJ520" t="str">
        <f t="shared" si="418"/>
        <v>1+108.229529543996i</v>
      </c>
      <c r="AK520">
        <f t="shared" si="437"/>
        <v>108.23414925666809</v>
      </c>
      <c r="AL520">
        <f t="shared" si="438"/>
        <v>1.5615569671783864</v>
      </c>
      <c r="AM520" t="str">
        <f t="shared" si="419"/>
        <v>1-107.51584274661i</v>
      </c>
      <c r="AN520">
        <f t="shared" si="439"/>
        <v>107.5204931234682</v>
      </c>
      <c r="AO520">
        <f t="shared" si="440"/>
        <v>-1.561495640123697</v>
      </c>
      <c r="AP520" s="41" t="str">
        <f t="shared" si="441"/>
        <v>0.0209671181828938-172.718945986439i</v>
      </c>
      <c r="AQ520">
        <f t="shared" si="442"/>
        <v>44.74679964523542</v>
      </c>
      <c r="AR520" s="43">
        <f t="shared" si="443"/>
        <v>-89.993044611477515</v>
      </c>
      <c r="AS520" t="str">
        <f t="shared" si="420"/>
        <v>-0.0000166666666666667</v>
      </c>
      <c r="AT520" t="str">
        <f t="shared" si="421"/>
        <v>0.0223696292066618i</v>
      </c>
      <c r="AU520">
        <f t="shared" si="444"/>
        <v>2.2369629206661801E-2</v>
      </c>
      <c r="AV520">
        <f t="shared" si="445"/>
        <v>1.5707963267948966</v>
      </c>
      <c r="AW520" t="str">
        <f t="shared" si="422"/>
        <v>1+22.7334259446248i</v>
      </c>
      <c r="AX520">
        <f t="shared" si="446"/>
        <v>22.755409360847363</v>
      </c>
      <c r="AY520">
        <f t="shared" si="447"/>
        <v>1.5268365749224442</v>
      </c>
      <c r="AZ520" t="str">
        <f t="shared" si="423"/>
        <v>1+772.936482117244i</v>
      </c>
      <c r="BA520">
        <f t="shared" si="448"/>
        <v>772.93712900065862</v>
      </c>
      <c r="BB520">
        <f t="shared" si="449"/>
        <v>1.5695025601462884</v>
      </c>
      <c r="BC520" s="41" t="str">
        <f t="shared" si="450"/>
        <v>-0.00107944243706043+0.0252844825018566i</v>
      </c>
      <c r="BD520">
        <f t="shared" si="451"/>
        <v>-31.935010376125582</v>
      </c>
      <c r="BE520" s="43">
        <f t="shared" si="452"/>
        <v>92.444580882093788</v>
      </c>
      <c r="BF520" s="41" t="str">
        <f t="shared" si="453"/>
        <v>-0.0912394109430538-0.103905054175972i</v>
      </c>
      <c r="BG520" s="20">
        <f t="shared" si="454"/>
        <v>-17.184918880240222</v>
      </c>
      <c r="BH520" s="43">
        <f t="shared" si="455"/>
        <v>-131.28648715352685</v>
      </c>
      <c r="BI520" s="41" t="str">
        <f t="shared" si="460"/>
        <v>4.36708653473608+0.18697030271492i</v>
      </c>
      <c r="BJ520" s="20">
        <f t="shared" si="456"/>
        <v>12.811789269109832</v>
      </c>
      <c r="BK520" s="43">
        <f t="shared" si="461"/>
        <v>2.4515362706162827</v>
      </c>
      <c r="BL520">
        <f t="shared" si="457"/>
        <v>-17.184918880240222</v>
      </c>
      <c r="BM520" s="43">
        <f t="shared" si="458"/>
        <v>-131.28648715352685</v>
      </c>
    </row>
    <row r="521" spans="14:65" x14ac:dyDescent="0.25">
      <c r="N521" s="9">
        <v>3</v>
      </c>
      <c r="O521" s="34">
        <f t="shared" si="462"/>
        <v>1071519.3052376076</v>
      </c>
      <c r="P521" s="33" t="str">
        <f t="shared" si="411"/>
        <v>16.5157725627975</v>
      </c>
      <c r="Q521" s="4" t="str">
        <f t="shared" si="412"/>
        <v>1+17420.2893841097i</v>
      </c>
      <c r="R521" s="4">
        <f t="shared" si="424"/>
        <v>17420.289412811861</v>
      </c>
      <c r="S521" s="4">
        <f t="shared" si="425"/>
        <v>1.5707389224672845</v>
      </c>
      <c r="T521" s="4" t="str">
        <f t="shared" si="413"/>
        <v>1+110.750519140214i</v>
      </c>
      <c r="U521" s="4">
        <f t="shared" si="426"/>
        <v>110.7550336997236</v>
      </c>
      <c r="V521" s="4">
        <f t="shared" si="427"/>
        <v>1.5617672691165414</v>
      </c>
      <c r="W521" t="str">
        <f t="shared" si="414"/>
        <v>1-1683.13858875705i</v>
      </c>
      <c r="X521" s="4">
        <f t="shared" si="428"/>
        <v>1683.1388858210939</v>
      </c>
      <c r="Y521" s="4">
        <f t="shared" si="429"/>
        <v>-1.5702021987242689</v>
      </c>
      <c r="Z521" t="str">
        <f t="shared" si="415"/>
        <v>-22.7221822623323+23.5639402425987i</v>
      </c>
      <c r="AA521" s="4">
        <f t="shared" si="430"/>
        <v>32.734642911133321</v>
      </c>
      <c r="AB521" s="4">
        <f t="shared" si="431"/>
        <v>2.3380105258619457</v>
      </c>
      <c r="AC521" s="47" t="str">
        <f t="shared" si="432"/>
        <v>-3.85497652435356+3.78010119983212i</v>
      </c>
      <c r="AD521" s="20">
        <f t="shared" si="433"/>
        <v>14.646386944382952</v>
      </c>
      <c r="AE521" s="43">
        <f t="shared" si="434"/>
        <v>135.56186756963351</v>
      </c>
      <c r="AF521" t="str">
        <f t="shared" si="416"/>
        <v>247.084651286898</v>
      </c>
      <c r="AG521" t="str">
        <f t="shared" si="417"/>
        <v>1+17035.7532305353i</v>
      </c>
      <c r="AH521">
        <f t="shared" si="435"/>
        <v>17035.75325988534</v>
      </c>
      <c r="AI521">
        <f t="shared" si="436"/>
        <v>1.5707376267195128</v>
      </c>
      <c r="AJ521" t="str">
        <f t="shared" si="418"/>
        <v>1+110.750519140214i</v>
      </c>
      <c r="AK521">
        <f t="shared" si="437"/>
        <v>110.7550336997236</v>
      </c>
      <c r="AL521">
        <f t="shared" si="438"/>
        <v>1.5617672691165414</v>
      </c>
      <c r="AM521" t="str">
        <f t="shared" si="419"/>
        <v>1-110.020208441766i</v>
      </c>
      <c r="AN521">
        <f t="shared" si="439"/>
        <v>110.02475296754653</v>
      </c>
      <c r="AO521">
        <f t="shared" si="440"/>
        <v>-1.5617073378042603</v>
      </c>
      <c r="AP521" s="41" t="str">
        <f t="shared" si="441"/>
        <v>0.020967078062023-176.741403572882i</v>
      </c>
      <c r="AQ521">
        <f t="shared" si="442"/>
        <v>44.946766052603103</v>
      </c>
      <c r="AR521" s="43">
        <f t="shared" si="443"/>
        <v>-89.993202922169033</v>
      </c>
      <c r="AS521" t="str">
        <f t="shared" si="420"/>
        <v>-0.0000166666666666667</v>
      </c>
      <c r="AT521" t="str">
        <f t="shared" si="421"/>
        <v>0.0228906848070959i</v>
      </c>
      <c r="AU521">
        <f t="shared" si="444"/>
        <v>2.2890684807095898E-2</v>
      </c>
      <c r="AV521">
        <f t="shared" si="445"/>
        <v>1.5707963267948966</v>
      </c>
      <c r="AW521" t="str">
        <f t="shared" si="422"/>
        <v>1+23.2629554596681i</v>
      </c>
      <c r="AX521">
        <f t="shared" si="446"/>
        <v>23.284438939310991</v>
      </c>
      <c r="AY521">
        <f t="shared" si="447"/>
        <v>1.5278359760011611</v>
      </c>
      <c r="AZ521" t="str">
        <f t="shared" si="423"/>
        <v>1+790.940485628714i</v>
      </c>
      <c r="BA521">
        <f t="shared" si="448"/>
        <v>790.94111778727631</v>
      </c>
      <c r="BB521">
        <f t="shared" si="449"/>
        <v>1.5695320098388963</v>
      </c>
      <c r="BC521" s="41" t="str">
        <f t="shared" si="450"/>
        <v>-0.00103094913350428+0.0247110219853327i</v>
      </c>
      <c r="BD521">
        <f t="shared" si="451"/>
        <v>-32.134633202444427</v>
      </c>
      <c r="BE521" s="43">
        <f t="shared" si="452"/>
        <v>92.389006761336915</v>
      </c>
      <c r="BF521" s="41" t="str">
        <f t="shared" si="453"/>
        <v>-0.0894358791483724-0.0991575017027677i</v>
      </c>
      <c r="BG521" s="20">
        <f t="shared" si="454"/>
        <v>-17.48824625806148</v>
      </c>
      <c r="BH521" s="43">
        <f t="shared" si="455"/>
        <v>-132.04912566902956</v>
      </c>
      <c r="BI521" s="41" t="str">
        <f t="shared" si="460"/>
        <v>4.36743909341709+0.182729514794752i</v>
      </c>
      <c r="BJ521" s="20">
        <f t="shared" si="456"/>
        <v>12.812132850158687</v>
      </c>
      <c r="BK521" s="43">
        <f t="shared" si="461"/>
        <v>2.3958038391678795</v>
      </c>
      <c r="BL521">
        <f t="shared" si="457"/>
        <v>-17.48824625806148</v>
      </c>
      <c r="BM521" s="43">
        <f t="shared" si="458"/>
        <v>-132.04912566902956</v>
      </c>
    </row>
    <row r="522" spans="14:65" x14ac:dyDescent="0.25">
      <c r="N522" s="9">
        <v>4</v>
      </c>
      <c r="O522" s="34">
        <f t="shared" si="462"/>
        <v>1096478.196143186</v>
      </c>
      <c r="P522" s="33" t="str">
        <f t="shared" si="411"/>
        <v>16.5157725627975</v>
      </c>
      <c r="Q522" s="4" t="str">
        <f t="shared" si="412"/>
        <v>1+17826.0600502623i</v>
      </c>
      <c r="R522" s="4">
        <f t="shared" si="424"/>
        <v>17826.060078311122</v>
      </c>
      <c r="S522" s="4">
        <f t="shared" si="425"/>
        <v>1.5707402291493073</v>
      </c>
      <c r="T522" s="4" t="str">
        <f t="shared" si="413"/>
        <v>1+113.330230127637i</v>
      </c>
      <c r="U522" s="4">
        <f t="shared" si="426"/>
        <v>113.33464192727287</v>
      </c>
      <c r="V522" s="4">
        <f t="shared" si="427"/>
        <v>1.5619727847698976</v>
      </c>
      <c r="W522" t="str">
        <f t="shared" si="414"/>
        <v>1-1722.34392291241i</v>
      </c>
      <c r="X522" s="4">
        <f t="shared" si="428"/>
        <v>1722.3442132144523</v>
      </c>
      <c r="Y522" s="4">
        <f t="shared" si="429"/>
        <v>-1.5702157227271898</v>
      </c>
      <c r="Z522" t="str">
        <f t="shared" si="415"/>
        <v>-23.8401742689549+24.1128149207737i</v>
      </c>
      <c r="AA522" s="4">
        <f t="shared" si="430"/>
        <v>33.908431880251058</v>
      </c>
      <c r="AB522" s="4">
        <f t="shared" si="431"/>
        <v>2.350508969462501</v>
      </c>
      <c r="AC522" s="47" t="str">
        <f t="shared" si="432"/>
        <v>-3.76196213493266+3.78082910571247i</v>
      </c>
      <c r="AD522" s="20">
        <f t="shared" si="433"/>
        <v>14.540368976587432</v>
      </c>
      <c r="AE522" s="43">
        <f t="shared" si="434"/>
        <v>134.85668494474606</v>
      </c>
      <c r="AF522" t="str">
        <f t="shared" si="416"/>
        <v>247.084651286898</v>
      </c>
      <c r="AG522" t="str">
        <f t="shared" si="417"/>
        <v>1+17432.566899031i</v>
      </c>
      <c r="AH522">
        <f t="shared" si="435"/>
        <v>17432.566927712949</v>
      </c>
      <c r="AI522">
        <f t="shared" si="436"/>
        <v>1.5707389628963557</v>
      </c>
      <c r="AJ522" t="str">
        <f t="shared" si="418"/>
        <v>1+113.330230127637i</v>
      </c>
      <c r="AK522">
        <f t="shared" si="437"/>
        <v>113.33464192727287</v>
      </c>
      <c r="AL522">
        <f t="shared" si="438"/>
        <v>1.5619727847698976</v>
      </c>
      <c r="AM522" t="str">
        <f t="shared" si="419"/>
        <v>1-112.582908307727i</v>
      </c>
      <c r="AN522">
        <f t="shared" si="439"/>
        <v>112.58734939159933</v>
      </c>
      <c r="AO522">
        <f t="shared" si="440"/>
        <v>-1.5619142174445182</v>
      </c>
      <c r="AP522" s="41" t="str">
        <f t="shared" si="441"/>
        <v>0.0209670397469013-180.857571790947i</v>
      </c>
      <c r="AQ522">
        <f t="shared" si="442"/>
        <v>45.146733971766949</v>
      </c>
      <c r="AR522" s="43">
        <f t="shared" si="443"/>
        <v>-89.993357630155586</v>
      </c>
      <c r="AS522" t="str">
        <f t="shared" si="420"/>
        <v>-0.0000166666666666667</v>
      </c>
      <c r="AT522" t="str">
        <f t="shared" si="421"/>
        <v>0.0234238773516088i</v>
      </c>
      <c r="AU522">
        <f t="shared" si="444"/>
        <v>2.34238773516088E-2</v>
      </c>
      <c r="AV522">
        <f t="shared" si="445"/>
        <v>1.5707963267948966</v>
      </c>
      <c r="AW522" t="str">
        <f t="shared" si="422"/>
        <v>1+23.8048193016176i</v>
      </c>
      <c r="AX522">
        <f t="shared" si="446"/>
        <v>23.825814193489084</v>
      </c>
      <c r="AY522">
        <f t="shared" si="447"/>
        <v>1.5288127109165162</v>
      </c>
      <c r="AZ522" t="str">
        <f t="shared" si="423"/>
        <v>1+809.363856255i</v>
      </c>
      <c r="BA522">
        <f t="shared" si="448"/>
        <v>809.36447402388762</v>
      </c>
      <c r="BB522">
        <f t="shared" si="449"/>
        <v>1.5695607891767775</v>
      </c>
      <c r="BC522" s="41" t="str">
        <f t="shared" si="450"/>
        <v>-0.00098463051739868+0.0241504762182637i</v>
      </c>
      <c r="BD522">
        <f t="shared" si="451"/>
        <v>-32.334272973741264</v>
      </c>
      <c r="BE522" s="43">
        <f t="shared" si="452"/>
        <v>92.334692907581754</v>
      </c>
      <c r="BF522" s="41" t="str">
        <f t="shared" si="453"/>
        <v>-0.0876046806794752-0.0945758967922534i</v>
      </c>
      <c r="BG522" s="20">
        <f t="shared" si="454"/>
        <v>-17.793903997153826</v>
      </c>
      <c r="BH522" s="43">
        <f t="shared" si="455"/>
        <v>-132.80862214767217</v>
      </c>
      <c r="BI522" s="41" t="str">
        <f t="shared" si="460"/>
        <v>4.36777584164299+0.178584248482764i</v>
      </c>
      <c r="BJ522" s="20">
        <f t="shared" si="456"/>
        <v>12.812460998025694</v>
      </c>
      <c r="BK522" s="43">
        <f t="shared" si="461"/>
        <v>2.3413352774261753</v>
      </c>
      <c r="BL522">
        <f t="shared" si="457"/>
        <v>-17.793903997153826</v>
      </c>
      <c r="BM522" s="43">
        <f t="shared" si="458"/>
        <v>-132.80862214767217</v>
      </c>
    </row>
    <row r="523" spans="14:65" x14ac:dyDescent="0.25">
      <c r="N523" s="9">
        <v>5</v>
      </c>
      <c r="O523" s="34">
        <f t="shared" si="462"/>
        <v>1122018.4543019643</v>
      </c>
      <c r="P523" s="33" t="str">
        <f t="shared" si="411"/>
        <v>16.5157725627975</v>
      </c>
      <c r="Q523" s="4" t="str">
        <f t="shared" si="412"/>
        <v>1+18241.2823294093i</v>
      </c>
      <c r="R523" s="4">
        <f t="shared" si="424"/>
        <v>18241.282356819651</v>
      </c>
      <c r="S523" s="4">
        <f t="shared" si="425"/>
        <v>1.5707415060876162</v>
      </c>
      <c r="T523" s="4" t="str">
        <f t="shared" si="413"/>
        <v>1+115.970030303176i</v>
      </c>
      <c r="U523" s="4">
        <f t="shared" si="426"/>
        <v>115.97434168176839</v>
      </c>
      <c r="V523" s="4">
        <f t="shared" si="427"/>
        <v>1.5621736230360928</v>
      </c>
      <c r="W523" t="str">
        <f t="shared" si="414"/>
        <v>1-1762.46246661361i</v>
      </c>
      <c r="X523" s="4">
        <f t="shared" si="428"/>
        <v>1762.4627503075722</v>
      </c>
      <c r="Y523" s="4">
        <f t="shared" si="429"/>
        <v>-1.5702289388864257</v>
      </c>
      <c r="Z523" t="str">
        <f t="shared" si="415"/>
        <v>-25.010855615582+24.6744745325906i</v>
      </c>
      <c r="AA523" s="4">
        <f t="shared" si="430"/>
        <v>35.133639038433685</v>
      </c>
      <c r="AB523" s="4">
        <f t="shared" si="431"/>
        <v>2.3629646161565772</v>
      </c>
      <c r="AC523" s="47" t="str">
        <f t="shared" si="432"/>
        <v>-3.66924542129775+3.77927266141812i</v>
      </c>
      <c r="AD523" s="20">
        <f t="shared" si="433"/>
        <v>14.432045112250764</v>
      </c>
      <c r="AE523" s="43">
        <f t="shared" si="434"/>
        <v>134.15370574976569</v>
      </c>
      <c r="AF523" t="str">
        <f t="shared" si="416"/>
        <v>247.084651286898</v>
      </c>
      <c r="AG523" t="str">
        <f t="shared" si="417"/>
        <v>1+17838.6235452438i</v>
      </c>
      <c r="AH523">
        <f t="shared" si="435"/>
        <v>17838.623573272871</v>
      </c>
      <c r="AI523">
        <f t="shared" si="436"/>
        <v>1.5707402686581007</v>
      </c>
      <c r="AJ523" t="str">
        <f t="shared" si="418"/>
        <v>1+115.970030303176i</v>
      </c>
      <c r="AK523">
        <f t="shared" si="437"/>
        <v>115.97434168176839</v>
      </c>
      <c r="AL523">
        <f t="shared" si="438"/>
        <v>1.5621736230360928</v>
      </c>
      <c r="AM523" t="str">
        <f t="shared" si="419"/>
        <v>1-115.205301121883i</v>
      </c>
      <c r="AN523">
        <f t="shared" si="439"/>
        <v>115.20964111819694</v>
      </c>
      <c r="AO523">
        <f t="shared" si="440"/>
        <v>-1.5621163886639196</v>
      </c>
      <c r="AP523" s="41" t="str">
        <f t="shared" si="441"/>
        <v>0.0209670031562458-185.069633087508i</v>
      </c>
      <c r="AQ523">
        <f t="shared" si="442"/>
        <v>45.34670333469564</v>
      </c>
      <c r="AR523" s="43">
        <f t="shared" si="443"/>
        <v>-89.993508817385617</v>
      </c>
      <c r="AS523" t="str">
        <f t="shared" si="420"/>
        <v>-0.0000166666666666667</v>
      </c>
      <c r="AT523" t="str">
        <f t="shared" si="421"/>
        <v>0.0239694895459451i</v>
      </c>
      <c r="AU523">
        <f t="shared" si="444"/>
        <v>2.3969489545945102E-2</v>
      </c>
      <c r="AV523">
        <f t="shared" si="445"/>
        <v>1.5707963267948966</v>
      </c>
      <c r="AW523" t="str">
        <f t="shared" si="422"/>
        <v>1+24.359304773855i</v>
      </c>
      <c r="AX523">
        <f t="shared" si="446"/>
        <v>24.379822170507211</v>
      </c>
      <c r="AY523">
        <f t="shared" si="447"/>
        <v>1.5297672900875166</v>
      </c>
      <c r="AZ523" t="str">
        <f t="shared" si="423"/>
        <v>1+828.216362311069i</v>
      </c>
      <c r="BA523">
        <f t="shared" si="448"/>
        <v>828.21696601783026</v>
      </c>
      <c r="BB523">
        <f t="shared" si="449"/>
        <v>1.5695889134189274</v>
      </c>
      <c r="BC523" s="41" t="str">
        <f t="shared" si="450"/>
        <v>-0.000940389402435635+0.0236025604538531i</v>
      </c>
      <c r="BD523">
        <f t="shared" si="451"/>
        <v>-32.533928930057371</v>
      </c>
      <c r="BE523" s="43">
        <f t="shared" si="452"/>
        <v>92.281610950249529</v>
      </c>
      <c r="BF523" s="41" t="str">
        <f t="shared" si="453"/>
        <v>-0.0857499919535916-0.0901575748359161i</v>
      </c>
      <c r="BG523" s="20">
        <f t="shared" si="454"/>
        <v>-18.101883817806609</v>
      </c>
      <c r="BH523" s="43">
        <f t="shared" si="455"/>
        <v>-133.56468329998478</v>
      </c>
      <c r="BI523" s="41" t="str">
        <f t="shared" si="460"/>
        <v>4.36809748597275+0.174532396627675i</v>
      </c>
      <c r="BJ523" s="20">
        <f t="shared" si="456"/>
        <v>12.812774404638272</v>
      </c>
      <c r="BK523" s="43">
        <f t="shared" si="461"/>
        <v>2.2881021328639224</v>
      </c>
      <c r="BL523">
        <f t="shared" si="457"/>
        <v>-18.101883817806609</v>
      </c>
      <c r="BM523" s="43">
        <f t="shared" si="458"/>
        <v>-133.56468329998478</v>
      </c>
    </row>
    <row r="524" spans="14:65" x14ac:dyDescent="0.25">
      <c r="N524" s="9">
        <v>6</v>
      </c>
      <c r="O524" s="34">
        <f t="shared" si="462"/>
        <v>1148153.6214968837</v>
      </c>
      <c r="P524" s="33" t="str">
        <f t="shared" si="411"/>
        <v>16.5157725627975</v>
      </c>
      <c r="Q524" s="4" t="str">
        <f t="shared" si="412"/>
        <v>1+18666.1763778993i</v>
      </c>
      <c r="R524" s="4">
        <f t="shared" si="424"/>
        <v>18666.176404685717</v>
      </c>
      <c r="S524" s="4">
        <f t="shared" si="425"/>
        <v>1.5707427539592607</v>
      </c>
      <c r="T524" s="4" t="str">
        <f t="shared" si="413"/>
        <v>1+118.671319323826i</v>
      </c>
      <c r="U524" s="4">
        <f t="shared" si="426"/>
        <v>118.67553256698483</v>
      </c>
      <c r="V524" s="4">
        <f t="shared" si="427"/>
        <v>1.5623698903373888</v>
      </c>
      <c r="W524" t="str">
        <f t="shared" si="414"/>
        <v>1-1803.51549124356i</v>
      </c>
      <c r="X524" s="4">
        <f t="shared" si="428"/>
        <v>1803.5157684798598</v>
      </c>
      <c r="Y524" s="4">
        <f t="shared" si="429"/>
        <v>-1.5702418542093406</v>
      </c>
      <c r="Z524" t="str">
        <f t="shared" si="415"/>
        <v>-26.2367094743059+25.2492168774099i</v>
      </c>
      <c r="AA524" s="4">
        <f t="shared" si="430"/>
        <v>36.412743331993184</v>
      </c>
      <c r="AB524" s="4">
        <f t="shared" si="431"/>
        <v>2.3753719937353299</v>
      </c>
      <c r="AC524" s="47" t="str">
        <f t="shared" si="432"/>
        <v>-3.57692419643908+3.77545652225647i</v>
      </c>
      <c r="AD524" s="20">
        <f t="shared" si="433"/>
        <v>14.321425221164665</v>
      </c>
      <c r="AE524" s="43">
        <f t="shared" si="434"/>
        <v>133.45324917642591</v>
      </c>
      <c r="AF524" t="str">
        <f t="shared" si="416"/>
        <v>247.084651286898</v>
      </c>
      <c r="AG524" t="str">
        <f t="shared" si="417"/>
        <v>1+18254.1384657825i</v>
      </c>
      <c r="AH524">
        <f t="shared" si="435"/>
        <v>18254.138493173548</v>
      </c>
      <c r="AI524">
        <f t="shared" si="436"/>
        <v>1.5707415446970796</v>
      </c>
      <c r="AJ524" t="str">
        <f t="shared" si="418"/>
        <v>1+118.671319323826i</v>
      </c>
      <c r="AK524">
        <f t="shared" si="437"/>
        <v>118.67553256698483</v>
      </c>
      <c r="AL524">
        <f t="shared" si="438"/>
        <v>1.5623698903373888</v>
      </c>
      <c r="AM524" t="str">
        <f t="shared" si="419"/>
        <v>1-117.888777311617i</v>
      </c>
      <c r="AN524">
        <f t="shared" si="439"/>
        <v>117.89301852114919</v>
      </c>
      <c r="AO524">
        <f t="shared" si="440"/>
        <v>-1.5623139585901755</v>
      </c>
      <c r="AP524" s="41" t="str">
        <f t="shared" si="441"/>
        <v>0.0209669682124227-189.379820753216i</v>
      </c>
      <c r="AQ524">
        <f t="shared" si="442"/>
        <v>45.546674076418697</v>
      </c>
      <c r="AR524" s="43">
        <f t="shared" si="443"/>
        <v>-89.993656563946104</v>
      </c>
      <c r="AS524" t="str">
        <f t="shared" si="420"/>
        <v>-0.0000166666666666667</v>
      </c>
      <c r="AT524" t="str">
        <f t="shared" si="421"/>
        <v>0.0245278106809125i</v>
      </c>
      <c r="AU524">
        <f t="shared" si="444"/>
        <v>2.4527810680912501E-2</v>
      </c>
      <c r="AV524">
        <f t="shared" si="445"/>
        <v>1.5707963267948966</v>
      </c>
      <c r="AW524" t="str">
        <f t="shared" si="422"/>
        <v>1+24.9267058719169i</v>
      </c>
      <c r="AX524">
        <f t="shared" si="446"/>
        <v>24.946756615340934</v>
      </c>
      <c r="AY524">
        <f t="shared" si="447"/>
        <v>1.5307002126820435</v>
      </c>
      <c r="AZ524" t="str">
        <f t="shared" si="423"/>
        <v>1+847.507999645175i</v>
      </c>
      <c r="BA524">
        <f t="shared" si="448"/>
        <v>847.5085896099024</v>
      </c>
      <c r="BB524">
        <f t="shared" si="449"/>
        <v>1.569616397477013</v>
      </c>
      <c r="BC524" s="41" t="str">
        <f t="shared" si="450"/>
        <v>-0.000898132915863399+0.0230669958148424i</v>
      </c>
      <c r="BD524">
        <f t="shared" si="451"/>
        <v>-32.733600345401527</v>
      </c>
      <c r="BE524" s="43">
        <f t="shared" si="452"/>
        <v>92.229733143502941</v>
      </c>
      <c r="BF524" s="41" t="str">
        <f t="shared" si="453"/>
        <v>-0.0838758864396393-0.0858997572443185i</v>
      </c>
      <c r="BG524" s="20">
        <f t="shared" si="454"/>
        <v>-18.412175124236853</v>
      </c>
      <c r="BH524" s="43">
        <f t="shared" si="455"/>
        <v>-134.3170176800711</v>
      </c>
      <c r="BI524" s="41" t="str">
        <f t="shared" si="460"/>
        <v>4.36840470160574+0.17057189558678i</v>
      </c>
      <c r="BJ524" s="20">
        <f t="shared" si="456"/>
        <v>12.81307373101718</v>
      </c>
      <c r="BK524" s="43">
        <f t="shared" si="461"/>
        <v>2.2360765795568516</v>
      </c>
      <c r="BL524">
        <f t="shared" si="457"/>
        <v>-18.412175124236853</v>
      </c>
      <c r="BM524" s="43">
        <f t="shared" si="458"/>
        <v>-134.3170176800711</v>
      </c>
    </row>
    <row r="525" spans="14:65" x14ac:dyDescent="0.25">
      <c r="N525" s="9">
        <v>7</v>
      </c>
      <c r="O525" s="34">
        <f t="shared" si="462"/>
        <v>1174897.5549395324</v>
      </c>
      <c r="P525" s="33" t="str">
        <f t="shared" si="411"/>
        <v>16.5157725627975</v>
      </c>
      <c r="Q525" s="4" t="str">
        <f t="shared" si="412"/>
        <v>1+19100.967480181i</v>
      </c>
      <c r="R525" s="4">
        <f t="shared" si="424"/>
        <v>19100.967506357683</v>
      </c>
      <c r="S525" s="4">
        <f t="shared" si="425"/>
        <v>1.5707439734258788</v>
      </c>
      <c r="T525" s="4" t="str">
        <f t="shared" si="413"/>
        <v>1+121.435529448783i</v>
      </c>
      <c r="U525" s="4">
        <f t="shared" si="426"/>
        <v>121.43964679010823</v>
      </c>
      <c r="V525" s="4">
        <f t="shared" si="427"/>
        <v>1.562561690676789</v>
      </c>
      <c r="W525" t="str">
        <f t="shared" si="414"/>
        <v>1-1845.52476365932i</v>
      </c>
      <c r="X525" s="4">
        <f t="shared" si="428"/>
        <v>1845.525034584952</v>
      </c>
      <c r="Y525" s="4">
        <f t="shared" si="429"/>
        <v>-1.5702544755437926</v>
      </c>
      <c r="Z525" t="str">
        <f t="shared" si="415"/>
        <v>-27.5203360455143+25.8373466912305i</v>
      </c>
      <c r="AA525" s="4">
        <f t="shared" si="430"/>
        <v>37.74834274641568</v>
      </c>
      <c r="AB525" s="4">
        <f t="shared" si="431"/>
        <v>2.3877256864359278</v>
      </c>
      <c r="AC525" s="47" t="str">
        <f t="shared" si="432"/>
        <v>-3.48509446420993+3.76941067361602i</v>
      </c>
      <c r="AD525" s="20">
        <f t="shared" si="433"/>
        <v>14.208521486478354</v>
      </c>
      <c r="AE525" s="43">
        <f t="shared" si="434"/>
        <v>132.75563105375048</v>
      </c>
      <c r="AF525" t="str">
        <f t="shared" si="416"/>
        <v>247.084651286898</v>
      </c>
      <c r="AG525" t="str">
        <f t="shared" si="417"/>
        <v>1+18679.3319721578i</v>
      </c>
      <c r="AH525">
        <f t="shared" si="435"/>
        <v>18679.331998925354</v>
      </c>
      <c r="AI525">
        <f t="shared" si="436"/>
        <v>1.5707427916898653</v>
      </c>
      <c r="AJ525" t="str">
        <f t="shared" si="418"/>
        <v>1+121.435529448783i</v>
      </c>
      <c r="AK525">
        <f t="shared" si="437"/>
        <v>121.43964679010823</v>
      </c>
      <c r="AL525">
        <f t="shared" si="438"/>
        <v>1.562561690676789</v>
      </c>
      <c r="AM525" t="str">
        <f t="shared" si="419"/>
        <v>1-120.634759691524i</v>
      </c>
      <c r="AN525">
        <f t="shared" si="439"/>
        <v>120.63890436269612</v>
      </c>
      <c r="AO525">
        <f t="shared" si="440"/>
        <v>-1.5625070319157457</v>
      </c>
      <c r="AP525" s="41" t="str">
        <f t="shared" si="441"/>
        <v>0.0209669348413438-193.790420106628i</v>
      </c>
      <c r="AQ525">
        <f t="shared" si="442"/>
        <v>45.746646134889247</v>
      </c>
      <c r="AR525" s="43">
        <f t="shared" si="443"/>
        <v>-89.993800948104735</v>
      </c>
      <c r="AS525" t="str">
        <f t="shared" si="420"/>
        <v>-0.0000166666666666667</v>
      </c>
      <c r="AT525" t="str">
        <f t="shared" si="421"/>
        <v>0.0250991367857668i</v>
      </c>
      <c r="AU525">
        <f t="shared" si="444"/>
        <v>2.50991367857668E-2</v>
      </c>
      <c r="AV525">
        <f t="shared" si="445"/>
        <v>1.5707963267948966</v>
      </c>
      <c r="AW525" t="str">
        <f t="shared" si="422"/>
        <v>1+25.5073234393761i</v>
      </c>
      <c r="AX525">
        <f t="shared" si="446"/>
        <v>25.526918126576611</v>
      </c>
      <c r="AY525">
        <f t="shared" si="447"/>
        <v>1.5316119668485892</v>
      </c>
      <c r="AZ525" t="str">
        <f t="shared" si="423"/>
        <v>1+867.248996938789i</v>
      </c>
      <c r="BA525">
        <f t="shared" si="448"/>
        <v>867.2495734742887</v>
      </c>
      <c r="BB525">
        <f t="shared" si="449"/>
        <v>1.5696432559232796</v>
      </c>
      <c r="BC525" s="41" t="str">
        <f t="shared" si="450"/>
        <v>-0.000857772309642358+0.0225435092003365i</v>
      </c>
      <c r="BD525">
        <f t="shared" si="451"/>
        <v>-32.933286526242014</v>
      </c>
      <c r="BE525" s="43">
        <f t="shared" si="452"/>
        <v>92.179032353421761</v>
      </c>
      <c r="BF525" s="41" t="str">
        <f t="shared" si="453"/>
        <v>-0.0819863266726222-0.0817995552174565i</v>
      </c>
      <c r="BG525" s="20">
        <f t="shared" si="454"/>
        <v>-18.72476503976366</v>
      </c>
      <c r="BH525" s="43">
        <f t="shared" si="455"/>
        <v>-135.06533659282778</v>
      </c>
      <c r="BI525" s="41" t="str">
        <f t="shared" si="460"/>
        <v>4.36869813375472+0.166700724529924i</v>
      </c>
      <c r="BJ525" s="20">
        <f t="shared" si="456"/>
        <v>12.813359608647239</v>
      </c>
      <c r="BK525" s="43">
        <f t="shared" si="461"/>
        <v>2.1852314053170363</v>
      </c>
      <c r="BL525">
        <f t="shared" si="457"/>
        <v>-18.72476503976366</v>
      </c>
      <c r="BM525" s="43">
        <f t="shared" si="458"/>
        <v>-135.06533659282778</v>
      </c>
    </row>
    <row r="526" spans="14:65" x14ac:dyDescent="0.25">
      <c r="N526" s="9">
        <v>8</v>
      </c>
      <c r="O526" s="34">
        <f t="shared" si="462"/>
        <v>1202264.4346174158</v>
      </c>
      <c r="P526" s="33" t="str">
        <f t="shared" si="411"/>
        <v>16.5157725627975</v>
      </c>
      <c r="Q526" s="4" t="str">
        <f t="shared" si="412"/>
        <v>1+19545.8861682518i</v>
      </c>
      <c r="R526" s="4">
        <f t="shared" si="424"/>
        <v>19545.88619383263</v>
      </c>
      <c r="S526" s="4">
        <f t="shared" si="425"/>
        <v>1.5707451651340478</v>
      </c>
      <c r="T526" s="4" t="str">
        <f t="shared" si="413"/>
        <v>1+124.264126298843i</v>
      </c>
      <c r="U526" s="4">
        <f t="shared" si="426"/>
        <v>124.26814992110732</v>
      </c>
      <c r="V526" s="4">
        <f t="shared" si="427"/>
        <v>1.5627491256928925</v>
      </c>
      <c r="W526" t="str">
        <f t="shared" si="414"/>
        <v>1-1888.51255773318i</v>
      </c>
      <c r="X526" s="4">
        <f t="shared" si="428"/>
        <v>1888.512822491793</v>
      </c>
      <c r="Y526" s="4">
        <f t="shared" si="429"/>
        <v>-1.5702668095817638</v>
      </c>
      <c r="Z526" t="str">
        <f t="shared" si="415"/>
        <v>-28.8644580732631+26.4391758082645i</v>
      </c>
      <c r="AA526" s="4">
        <f t="shared" si="430"/>
        <v>39.14315977643453</v>
      </c>
      <c r="AB526" s="4">
        <f t="shared" si="431"/>
        <v>2.4000203501697834</v>
      </c>
      <c r="AC526" s="47" t="str">
        <f t="shared" si="432"/>
        <v>-3.39385004177171+3.76117026307682i</v>
      </c>
      <c r="AD526" s="20">
        <f t="shared" si="433"/>
        <v>14.093348358447145</v>
      </c>
      <c r="AE526" s="43">
        <f t="shared" si="434"/>
        <v>132.06116297845514</v>
      </c>
      <c r="AF526" t="str">
        <f t="shared" si="416"/>
        <v>247.084651286898</v>
      </c>
      <c r="AG526" t="str">
        <f t="shared" si="417"/>
        <v>1+19114.4295075949i</v>
      </c>
      <c r="AH526">
        <f t="shared" si="435"/>
        <v>19114.429533753151</v>
      </c>
      <c r="AI526">
        <f t="shared" si="436"/>
        <v>1.57074401029763</v>
      </c>
      <c r="AJ526" t="str">
        <f t="shared" si="418"/>
        <v>1+124.264126298843i</v>
      </c>
      <c r="AK526">
        <f t="shared" si="437"/>
        <v>124.26814992110732</v>
      </c>
      <c r="AL526">
        <f t="shared" si="438"/>
        <v>1.5627491256928925</v>
      </c>
      <c r="AM526" t="str">
        <f t="shared" si="419"/>
        <v>1-123.44470421781i</v>
      </c>
      <c r="AN526">
        <f t="shared" si="439"/>
        <v>123.4487545478795</v>
      </c>
      <c r="AO526">
        <f t="shared" si="440"/>
        <v>-1.5626957109530517</v>
      </c>
      <c r="AP526" s="41" t="str">
        <f t="shared" si="441"/>
        <v>0.0209669029722012-198.303769705901i</v>
      </c>
      <c r="AQ526">
        <f t="shared" si="442"/>
        <v>45.946619450851919</v>
      </c>
      <c r="AR526" s="43">
        <f t="shared" si="443"/>
        <v>-89.993942046351052</v>
      </c>
      <c r="AS526" t="str">
        <f t="shared" si="420"/>
        <v>-0.0000166666666666667</v>
      </c>
      <c r="AT526" t="str">
        <f t="shared" si="421"/>
        <v>0.0256837707851712i</v>
      </c>
      <c r="AU526">
        <f t="shared" si="444"/>
        <v>2.56837707851712E-2</v>
      </c>
      <c r="AV526">
        <f t="shared" si="445"/>
        <v>1.5707963267948966</v>
      </c>
      <c r="AW526" t="str">
        <f t="shared" si="422"/>
        <v>1+26.1014653273522i</v>
      </c>
      <c r="AX526">
        <f t="shared" si="446"/>
        <v>26.120614315803703</v>
      </c>
      <c r="AY526">
        <f t="shared" si="447"/>
        <v>1.532503029944325</v>
      </c>
      <c r="AZ526" t="str">
        <f t="shared" si="423"/>
        <v>1+887.449821129976i</v>
      </c>
      <c r="BA526">
        <f t="shared" si="448"/>
        <v>887.450384541934</v>
      </c>
      <c r="BB526">
        <f t="shared" si="449"/>
        <v>1.5696695029982759</v>
      </c>
      <c r="BC526" s="41" t="str">
        <f t="shared" si="450"/>
        <v>-0.000819222779638017+0.0220318331920975i</v>
      </c>
      <c r="BD526">
        <f t="shared" si="451"/>
        <v>-33.132986810064594</v>
      </c>
      <c r="BE526" s="43">
        <f t="shared" si="452"/>
        <v>92.129482045378083</v>
      </c>
      <c r="BF526" s="41" t="str">
        <f t="shared" si="453"/>
        <v>-0.0800851565782911-0.0778539743569171i</v>
      </c>
      <c r="BG526" s="20">
        <f t="shared" si="454"/>
        <v>-19.039638451617453</v>
      </c>
      <c r="BH526" s="43">
        <f t="shared" si="455"/>
        <v>-135.80935497616673</v>
      </c>
      <c r="BI526" s="41" t="str">
        <f t="shared" si="460"/>
        <v>4.36897839896+0.162916904740004i</v>
      </c>
      <c r="BJ526" s="20">
        <f t="shared" si="456"/>
        <v>12.813632640787333</v>
      </c>
      <c r="BK526" s="43">
        <f t="shared" si="461"/>
        <v>2.1355399990270501</v>
      </c>
      <c r="BL526">
        <f t="shared" si="457"/>
        <v>-19.039638451617453</v>
      </c>
      <c r="BM526" s="43">
        <f t="shared" si="458"/>
        <v>-135.80935497616673</v>
      </c>
    </row>
    <row r="527" spans="14:65" x14ac:dyDescent="0.25">
      <c r="N527" s="9">
        <v>9</v>
      </c>
      <c r="O527" s="34">
        <f t="shared" si="462"/>
        <v>1230268.770812382</v>
      </c>
      <c r="P527" s="33" t="str">
        <f t="shared" si="411"/>
        <v>16.5157725627975</v>
      </c>
      <c r="Q527" s="4" t="str">
        <f t="shared" si="412"/>
        <v>1+20001.1683438893i</v>
      </c>
      <c r="R527" s="4">
        <f t="shared" si="424"/>
        <v>20001.16836888784</v>
      </c>
      <c r="S527" s="4">
        <f t="shared" si="425"/>
        <v>1.5707463297156274</v>
      </c>
      <c r="T527" s="4" t="str">
        <f t="shared" si="413"/>
        <v>1+127.158609633497i</v>
      </c>
      <c r="U527" s="4">
        <f t="shared" si="426"/>
        <v>127.16254166980177</v>
      </c>
      <c r="V527" s="4">
        <f t="shared" si="427"/>
        <v>1.5629322947135167</v>
      </c>
      <c r="W527" t="str">
        <f t="shared" si="414"/>
        <v>1-1932.50166616256i</v>
      </c>
      <c r="X527" s="4">
        <f t="shared" si="428"/>
        <v>1932.5019248945321</v>
      </c>
      <c r="Y527" s="4">
        <f t="shared" si="429"/>
        <v>-1.5702788628629096</v>
      </c>
      <c r="Z527" t="str">
        <f t="shared" si="415"/>
        <v>-30.2719266205829+27.0550233262759i</v>
      </c>
      <c r="AA527" s="4">
        <f t="shared" si="430"/>
        <v>40.600047149077163</v>
      </c>
      <c r="AB527" s="4">
        <f t="shared" si="431"/>
        <v>2.4122507272263327</v>
      </c>
      <c r="AC527" s="47" t="str">
        <f t="shared" si="432"/>
        <v>-3.30328220058378+3.75077540145225i</v>
      </c>
      <c r="AD527" s="20">
        <f t="shared" si="433"/>
        <v>13.975922499033528</v>
      </c>
      <c r="AE527" s="43">
        <f t="shared" si="434"/>
        <v>131.37015147533225</v>
      </c>
      <c r="AF527" t="str">
        <f t="shared" si="416"/>
        <v>247.084651286898</v>
      </c>
      <c r="AG527" t="str">
        <f t="shared" si="417"/>
        <v>1+19559.6617665663i</v>
      </c>
      <c r="AH527">
        <f t="shared" si="435"/>
        <v>19559.661792129111</v>
      </c>
      <c r="AI527">
        <f t="shared" si="436"/>
        <v>1.5707452011664955</v>
      </c>
      <c r="AJ527" t="str">
        <f t="shared" si="418"/>
        <v>1+127.158609633497i</v>
      </c>
      <c r="AK527">
        <f t="shared" si="437"/>
        <v>127.16254166980177</v>
      </c>
      <c r="AL527">
        <f t="shared" si="438"/>
        <v>1.5629322947135167</v>
      </c>
      <c r="AM527" t="str">
        <f t="shared" si="419"/>
        <v>1-126.320100760255i</v>
      </c>
      <c r="AN527">
        <f t="shared" si="439"/>
        <v>126.32405889647855</v>
      </c>
      <c r="AO527">
        <f t="shared" si="440"/>
        <v>-1.5628800956884503</v>
      </c>
      <c r="AP527" s="41" t="str">
        <f t="shared" si="441"/>
        <v>0.020966872537423-202.922262588732i</v>
      </c>
      <c r="AQ527">
        <f t="shared" si="442"/>
        <v>46.146593967717536</v>
      </c>
      <c r="AR527" s="43">
        <f t="shared" si="443"/>
        <v>-89.994079933436666</v>
      </c>
      <c r="AS527" t="str">
        <f t="shared" si="420"/>
        <v>-0.0000166666666666667</v>
      </c>
      <c r="AT527" t="str">
        <f t="shared" si="421"/>
        <v>0.0262820226598108i</v>
      </c>
      <c r="AU527">
        <f t="shared" si="444"/>
        <v>2.6282022659810798E-2</v>
      </c>
      <c r="AV527">
        <f t="shared" si="445"/>
        <v>1.5707963267948966</v>
      </c>
      <c r="AW527" t="str">
        <f t="shared" si="422"/>
        <v>1+26.7094465577386i</v>
      </c>
      <c r="AX527">
        <f t="shared" si="446"/>
        <v>26.728159970725528</v>
      </c>
      <c r="AY527">
        <f t="shared" si="447"/>
        <v>1.5333738687594833</v>
      </c>
      <c r="AZ527" t="str">
        <f t="shared" si="423"/>
        <v>1+908.121182963111i</v>
      </c>
      <c r="BA527">
        <f t="shared" si="448"/>
        <v>908.12173355025493</v>
      </c>
      <c r="BB527">
        <f t="shared" si="449"/>
        <v>1.5696951526184038</v>
      </c>
      <c r="BC527" s="41" t="str">
        <f t="shared" si="450"/>
        <v>-0.000782403292529455+0.02153170596049i</v>
      </c>
      <c r="BD527">
        <f t="shared" si="451"/>
        <v>-33.332700563993868</v>
      </c>
      <c r="BE527" s="43">
        <f t="shared" si="452"/>
        <v>92.081056271612781</v>
      </c>
      <c r="BF527" s="41" t="str">
        <f t="shared" si="453"/>
        <v>-0.078176094198018-0.074059920071125i</v>
      </c>
      <c r="BG527" s="20">
        <f t="shared" si="454"/>
        <v>-19.356778064960341</v>
      </c>
      <c r="BH527" s="43">
        <f t="shared" si="455"/>
        <v>-136.54879225305498</v>
      </c>
      <c r="BI527" s="41" t="str">
        <f t="shared" si="460"/>
        <v>4.36924608634781+0.159218498911337i</v>
      </c>
      <c r="BJ527" s="20">
        <f t="shared" si="456"/>
        <v>12.813893403723666</v>
      </c>
      <c r="BK527" s="43">
        <f t="shared" si="461"/>
        <v>2.0869763381761111</v>
      </c>
      <c r="BL527">
        <f t="shared" si="457"/>
        <v>-19.356778064960341</v>
      </c>
      <c r="BM527" s="43">
        <f t="shared" si="458"/>
        <v>-136.54879225305498</v>
      </c>
    </row>
    <row r="528" spans="14:65" x14ac:dyDescent="0.25">
      <c r="N528" s="9">
        <v>10</v>
      </c>
      <c r="O528" s="34">
        <f t="shared" si="462"/>
        <v>1258925.4117941677</v>
      </c>
      <c r="P528" s="33" t="str">
        <f t="shared" si="411"/>
        <v>16.5157725627975</v>
      </c>
      <c r="Q528" s="4" t="str">
        <f t="shared" si="412"/>
        <v>1+20467.0554037296i</v>
      </c>
      <c r="R528" s="4">
        <f t="shared" si="424"/>
        <v>20467.055428159099</v>
      </c>
      <c r="S528" s="4">
        <f t="shared" si="425"/>
        <v>1.5707474677880937</v>
      </c>
      <c r="T528" s="4" t="str">
        <f t="shared" si="413"/>
        <v>1+130.120514146121i</v>
      </c>
      <c r="U528" s="4">
        <f t="shared" si="426"/>
        <v>130.124356681026</v>
      </c>
      <c r="V528" s="4">
        <f t="shared" si="427"/>
        <v>1.5631112948081083</v>
      </c>
      <c r="W528" t="str">
        <f t="shared" si="414"/>
        <v>1-1977.51541255503i</v>
      </c>
      <c r="X528" s="4">
        <f t="shared" si="428"/>
        <v>1977.5156653975441</v>
      </c>
      <c r="Y528" s="4">
        <f t="shared" si="429"/>
        <v>-1.5702906417780254</v>
      </c>
      <c r="Z528" t="str">
        <f t="shared" si="415"/>
        <v>-31.7457271169652+27.6852157757704i</v>
      </c>
      <c r="AA528" s="4">
        <f t="shared" si="430"/>
        <v>42.121993812446554</v>
      </c>
      <c r="AB528" s="4">
        <f t="shared" si="431"/>
        <v>2.4244116603677872</v>
      </c>
      <c r="AC528" s="47" t="str">
        <f t="shared" si="432"/>
        <v>-3.21347932881985+3.73827093506303i</v>
      </c>
      <c r="AD528" s="20">
        <f t="shared" si="433"/>
        <v>13.856262717855589</v>
      </c>
      <c r="AE528" s="43">
        <f t="shared" si="434"/>
        <v>130.68289719246616</v>
      </c>
      <c r="AF528" t="str">
        <f t="shared" si="416"/>
        <v>247.084651286898</v>
      </c>
      <c r="AG528" t="str">
        <f t="shared" si="417"/>
        <v>1+20015.2648171091i</v>
      </c>
      <c r="AH528">
        <f t="shared" si="435"/>
        <v>20015.264842090033</v>
      </c>
      <c r="AI528">
        <f t="shared" si="436"/>
        <v>1.5707463649278763</v>
      </c>
      <c r="AJ528" t="str">
        <f t="shared" si="418"/>
        <v>1+130.120514146121i</v>
      </c>
      <c r="AK528">
        <f t="shared" si="437"/>
        <v>130.124356681026</v>
      </c>
      <c r="AL528">
        <f t="shared" si="438"/>
        <v>1.5631112948081083</v>
      </c>
      <c r="AM528" t="str">
        <f t="shared" si="419"/>
        <v>1-129.262473892168i</v>
      </c>
      <c r="AN528">
        <f t="shared" si="439"/>
        <v>129.26634193293867</v>
      </c>
      <c r="AO528">
        <f t="shared" si="440"/>
        <v>-1.5630602838349907</v>
      </c>
      <c r="AP528" s="41" t="str">
        <f t="shared" si="441"/>
        <v>0.0209668434724158-207.64834754118i</v>
      </c>
      <c r="AQ528">
        <f t="shared" si="442"/>
        <v>46.346569631443295</v>
      </c>
      <c r="AR528" s="43">
        <f t="shared" si="443"/>
        <v>-89.99421468241465</v>
      </c>
      <c r="AS528" t="str">
        <f t="shared" si="420"/>
        <v>-0.0000166666666666667</v>
      </c>
      <c r="AT528" t="str">
        <f t="shared" si="421"/>
        <v>0.0268942096107484i</v>
      </c>
      <c r="AU528">
        <f t="shared" si="444"/>
        <v>2.6894209610748399E-2</v>
      </c>
      <c r="AV528">
        <f t="shared" si="445"/>
        <v>1.5707963267948966</v>
      </c>
      <c r="AW528" t="str">
        <f t="shared" si="422"/>
        <v>1+27.3315894902312i</v>
      </c>
      <c r="AX528">
        <f t="shared" si="446"/>
        <v>27.349877222073893</v>
      </c>
      <c r="AY528">
        <f t="shared" si="447"/>
        <v>1.5342249397380394</v>
      </c>
      <c r="AZ528" t="str">
        <f t="shared" si="423"/>
        <v>1+929.274042667859i</v>
      </c>
      <c r="BA528">
        <f t="shared" si="448"/>
        <v>929.27458072211687</v>
      </c>
      <c r="BB528">
        <f t="shared" si="449"/>
        <v>1.5697202183832961</v>
      </c>
      <c r="BC528" s="41" t="str">
        <f t="shared" si="450"/>
        <v>-0.00074723642012277+0.0210428711702485i</v>
      </c>
      <c r="BD528">
        <f t="shared" si="451"/>
        <v>-33.532427183474873</v>
      </c>
      <c r="BE528" s="43">
        <f t="shared" si="452"/>
        <v>92.033729659014043</v>
      </c>
      <c r="BF528" s="41" t="str">
        <f t="shared" si="453"/>
        <v>-0.0762627248962099-0.0704142037155782i</v>
      </c>
      <c r="BG528" s="20">
        <f t="shared" si="454"/>
        <v>-19.676164465619284</v>
      </c>
      <c r="BH528" s="43">
        <f t="shared" si="455"/>
        <v>-137.28337314851979</v>
      </c>
      <c r="BI528" s="41" t="str">
        <f t="shared" si="460"/>
        <v>4.36950175883498+0.155603610447117i</v>
      </c>
      <c r="BJ528" s="20">
        <f t="shared" si="456"/>
        <v>12.81414244796842</v>
      </c>
      <c r="BK528" s="43">
        <f t="shared" si="461"/>
        <v>2.0395149765994041</v>
      </c>
      <c r="BL528">
        <f t="shared" si="457"/>
        <v>-19.676164465619284</v>
      </c>
      <c r="BM528" s="43">
        <f t="shared" si="458"/>
        <v>-137.28337314851979</v>
      </c>
    </row>
    <row r="529" spans="14:65" x14ac:dyDescent="0.25">
      <c r="N529" s="9">
        <v>11</v>
      </c>
      <c r="O529" s="34">
        <f t="shared" si="462"/>
        <v>1288249.5516931366</v>
      </c>
      <c r="P529" s="33" t="str">
        <f t="shared" si="411"/>
        <v>16.5157725627975</v>
      </c>
      <c r="Q529" s="4" t="str">
        <f t="shared" si="412"/>
        <v>1+20943.7943672584i</v>
      </c>
      <c r="R529" s="4">
        <f t="shared" si="424"/>
        <v>20943.794391131822</v>
      </c>
      <c r="S529" s="4">
        <f t="shared" si="425"/>
        <v>1.5707485799548682</v>
      </c>
      <c r="T529" s="4" t="str">
        <f t="shared" si="413"/>
        <v>1+133.151410277695i</v>
      </c>
      <c r="U529" s="4">
        <f t="shared" si="426"/>
        <v>133.15516534832233</v>
      </c>
      <c r="V529" s="4">
        <f t="shared" si="427"/>
        <v>1.5632862208389779</v>
      </c>
      <c r="W529" t="str">
        <f t="shared" si="414"/>
        <v>1-2023.57766379475i</v>
      </c>
      <c r="X529" s="4">
        <f t="shared" si="428"/>
        <v>2023.5779108818663</v>
      </c>
      <c r="Y529" s="4">
        <f t="shared" si="429"/>
        <v>-1.5703021525724346</v>
      </c>
      <c r="Z529" t="str">
        <f t="shared" si="415"/>
        <v>-33.2889856908588+28.3300872931265i</v>
      </c>
      <c r="AA529" s="4">
        <f t="shared" si="430"/>
        <v>43.712131203618632</v>
      </c>
      <c r="AB529" s="4">
        <f t="shared" si="431"/>
        <v>2.4364981062373343</v>
      </c>
      <c r="AC529" s="47" t="str">
        <f t="shared" si="432"/>
        <v>-3.12452661777873+3.72370619183583i</v>
      </c>
      <c r="AD529" s="20">
        <f t="shared" si="433"/>
        <v>13.734389900045532</v>
      </c>
      <c r="AE529" s="43">
        <f t="shared" si="434"/>
        <v>129.99969413572282</v>
      </c>
      <c r="AF529" t="str">
        <f t="shared" si="416"/>
        <v>247.084651286898</v>
      </c>
      <c r="AG529" t="str">
        <f t="shared" si="417"/>
        <v>1+20481.4802259913i</v>
      </c>
      <c r="AH529">
        <f t="shared" si="435"/>
        <v>20481.480250403598</v>
      </c>
      <c r="AI529">
        <f t="shared" si="436"/>
        <v>1.5707475021988142</v>
      </c>
      <c r="AJ529" t="str">
        <f t="shared" si="418"/>
        <v>1+133.151410277695i</v>
      </c>
      <c r="AK529">
        <f t="shared" si="437"/>
        <v>133.15516534832233</v>
      </c>
      <c r="AL529">
        <f t="shared" si="438"/>
        <v>1.5632862208389779</v>
      </c>
      <c r="AM529" t="str">
        <f t="shared" si="419"/>
        <v>1-132.273383698729i</v>
      </c>
      <c r="AN529">
        <f t="shared" si="439"/>
        <v>132.2771636946876</v>
      </c>
      <c r="AO529">
        <f t="shared" si="440"/>
        <v>-1.563236370883984</v>
      </c>
      <c r="AP529" s="41" t="str">
        <f t="shared" si="441"/>
        <v>0.0209668157155719-212.484530396046i</v>
      </c>
      <c r="AQ529">
        <f t="shared" si="442"/>
        <v>46.5465463904182</v>
      </c>
      <c r="AR529" s="43">
        <f t="shared" si="443"/>
        <v>-89.994346364677966</v>
      </c>
      <c r="AS529" t="str">
        <f t="shared" si="420"/>
        <v>-0.0000166666666666667</v>
      </c>
      <c r="AT529" t="str">
        <f t="shared" si="421"/>
        <v>0.0275206562276086i</v>
      </c>
      <c r="AU529">
        <f t="shared" si="444"/>
        <v>2.75206562276086E-2</v>
      </c>
      <c r="AV529">
        <f t="shared" si="445"/>
        <v>1.5707963267948966</v>
      </c>
      <c r="AW529" t="str">
        <f t="shared" si="422"/>
        <v>1+27.9682239932479i</v>
      </c>
      <c r="AX529">
        <f t="shared" si="446"/>
        <v>27.986095714416603</v>
      </c>
      <c r="AY529">
        <f t="shared" si="447"/>
        <v>1.535056689194682</v>
      </c>
      <c r="AZ529" t="str">
        <f t="shared" si="423"/>
        <v>1+950.919615770429i</v>
      </c>
      <c r="BA529">
        <f t="shared" si="448"/>
        <v>950.92014157708343</v>
      </c>
      <c r="BB529">
        <f t="shared" si="449"/>
        <v>1.5697447135830274</v>
      </c>
      <c r="BC529" s="41" t="str">
        <f t="shared" si="450"/>
        <v>-0.000713648180769698+0.0205650778862207i</v>
      </c>
      <c r="BD529">
        <f t="shared" si="451"/>
        <v>-33.732166091012694</v>
      </c>
      <c r="BE529" s="43">
        <f t="shared" si="452"/>
        <v>91.987477397099042</v>
      </c>
      <c r="BF529" s="41" t="str">
        <f t="shared" si="453"/>
        <v>-0.0743484951239618-0.0669135494017138i</v>
      </c>
      <c r="BG529" s="20">
        <f t="shared" si="454"/>
        <v>-19.997776190967159</v>
      </c>
      <c r="BH529" s="43">
        <f t="shared" si="455"/>
        <v>-138.01282846717814</v>
      </c>
      <c r="BI529" s="41" t="str">
        <f t="shared" si="460"/>
        <v>4.36974595428182+0.152070382757059i</v>
      </c>
      <c r="BJ529" s="20">
        <f t="shared" si="456"/>
        <v>12.814380299405506</v>
      </c>
      <c r="BK529" s="43">
        <f t="shared" si="461"/>
        <v>1.9931310324210862</v>
      </c>
      <c r="BL529">
        <f t="shared" si="457"/>
        <v>-19.997776190967159</v>
      </c>
      <c r="BM529" s="43">
        <f t="shared" si="458"/>
        <v>-138.01282846717814</v>
      </c>
    </row>
    <row r="530" spans="14:65" x14ac:dyDescent="0.25">
      <c r="N530" s="9">
        <v>12</v>
      </c>
      <c r="O530" s="34">
        <f t="shared" si="462"/>
        <v>1318256.7385564097</v>
      </c>
      <c r="P530" s="33" t="str">
        <f t="shared" si="411"/>
        <v>16.5157725627975</v>
      </c>
      <c r="Q530" s="4" t="str">
        <f t="shared" si="412"/>
        <v>1+21431.6380077847i</v>
      </c>
      <c r="R530" s="4">
        <f t="shared" si="424"/>
        <v>21431.638031114693</v>
      </c>
      <c r="S530" s="4">
        <f t="shared" si="425"/>
        <v>1.5707496668056362</v>
      </c>
      <c r="T530" s="4" t="str">
        <f t="shared" si="413"/>
        <v>1+136.252905049465i</v>
      </c>
      <c r="U530" s="4">
        <f t="shared" si="426"/>
        <v>136.25657464657814</v>
      </c>
      <c r="V530" s="4">
        <f t="shared" si="427"/>
        <v>1.5634571655113771</v>
      </c>
      <c r="W530" t="str">
        <f t="shared" si="414"/>
        <v>1-2070.71284269703i</v>
      </c>
      <c r="X530" s="4">
        <f t="shared" si="428"/>
        <v>2070.7130841597573</v>
      </c>
      <c r="Y530" s="4">
        <f t="shared" si="429"/>
        <v>-1.5703134013493005</v>
      </c>
      <c r="Z530" t="str">
        <f t="shared" si="415"/>
        <v>-34.9049758006071+28.9899797977584i</v>
      </c>
      <c r="AA530" s="4">
        <f t="shared" si="430"/>
        <v>45.373739809667526</v>
      </c>
      <c r="AB530" s="4">
        <f t="shared" si="431"/>
        <v>2.448505148010883</v>
      </c>
      <c r="AC530" s="47" t="str">
        <f t="shared" si="432"/>
        <v>-3.03650577451177+3.70713470406125i</v>
      </c>
      <c r="AD530" s="20">
        <f t="shared" si="433"/>
        <v>13.610326926637002</v>
      </c>
      <c r="AE530" s="43">
        <f t="shared" si="434"/>
        <v>129.32082894651884</v>
      </c>
      <c r="AF530" t="str">
        <f t="shared" si="416"/>
        <v>247.084651286898</v>
      </c>
      <c r="AG530" t="str">
        <f t="shared" si="417"/>
        <v>1+20958.5551867938i</v>
      </c>
      <c r="AH530">
        <f t="shared" si="435"/>
        <v>20958.555210650407</v>
      </c>
      <c r="AI530">
        <f t="shared" si="436"/>
        <v>1.570748613582305</v>
      </c>
      <c r="AJ530" t="str">
        <f t="shared" si="418"/>
        <v>1+136.252905049465i</v>
      </c>
      <c r="AK530">
        <f t="shared" si="437"/>
        <v>136.25657464657814</v>
      </c>
      <c r="AL530">
        <f t="shared" si="438"/>
        <v>1.5634571655113771</v>
      </c>
      <c r="AM530" t="str">
        <f t="shared" si="419"/>
        <v>1-135.354426604173i</v>
      </c>
      <c r="AN530">
        <f t="shared" si="439"/>
        <v>135.35812055929432</v>
      </c>
      <c r="AO530">
        <f t="shared" si="440"/>
        <v>-1.5634084501554102</v>
      </c>
      <c r="AP530" s="41" t="str">
        <f t="shared" si="441"/>
        <v>0.020966789207977-217.433375361492i</v>
      </c>
      <c r="AQ530">
        <f t="shared" si="442"/>
        <v>46.746524195353452</v>
      </c>
      <c r="AR530" s="43">
        <f t="shared" si="443"/>
        <v>-89.994475049997106</v>
      </c>
      <c r="AS530" t="str">
        <f t="shared" si="420"/>
        <v>-0.0000166666666666667</v>
      </c>
      <c r="AT530" t="str">
        <f t="shared" si="421"/>
        <v>0.0281616946606796i</v>
      </c>
      <c r="AU530">
        <f t="shared" si="444"/>
        <v>2.8161694660679599E-2</v>
      </c>
      <c r="AV530">
        <f t="shared" si="445"/>
        <v>1.5707963267948966</v>
      </c>
      <c r="AW530" t="str">
        <f t="shared" si="422"/>
        <v>1+28.6196876188291i</v>
      </c>
      <c r="AX530">
        <f t="shared" si="446"/>
        <v>28.637152780948032</v>
      </c>
      <c r="AY530">
        <f t="shared" si="447"/>
        <v>1.535869553528072</v>
      </c>
      <c r="AZ530" t="str">
        <f t="shared" si="423"/>
        <v>1+973.069379040188i</v>
      </c>
      <c r="BA530">
        <f t="shared" si="448"/>
        <v>973.06989287802821</v>
      </c>
      <c r="BB530">
        <f t="shared" si="449"/>
        <v>1.5697686512051587</v>
      </c>
      <c r="BC530" s="41" t="str">
        <f t="shared" si="450"/>
        <v>-0.00068156788760237+0.0200980804792274i</v>
      </c>
      <c r="BD530">
        <f t="shared" si="451"/>
        <v>-33.931916734968112</v>
      </c>
      <c r="BE530" s="43">
        <f t="shared" si="452"/>
        <v>91.942275226198802</v>
      </c>
      <c r="BF530" s="41" t="str">
        <f t="shared" si="453"/>
        <v>-0.0724367068031335-0.0635546014010808i</v>
      </c>
      <c r="BG530" s="20">
        <f t="shared" si="454"/>
        <v>-20.321589808331101</v>
      </c>
      <c r="BH530" s="43">
        <f t="shared" si="455"/>
        <v>-138.73689582728232</v>
      </c>
      <c r="BI530" s="41" t="str">
        <f t="shared" si="460"/>
        <v>4.3699791865951+0.148616998556278i</v>
      </c>
      <c r="BJ530" s="20">
        <f t="shared" si="456"/>
        <v>12.814607460385348</v>
      </c>
      <c r="BK530" s="43">
        <f t="shared" si="461"/>
        <v>1.9478001762017016</v>
      </c>
      <c r="BL530">
        <f t="shared" si="457"/>
        <v>-20.321589808331101</v>
      </c>
      <c r="BM530" s="43">
        <f t="shared" si="458"/>
        <v>-138.73689582728232</v>
      </c>
    </row>
    <row r="531" spans="14:65" x14ac:dyDescent="0.25">
      <c r="N531" s="9">
        <v>13</v>
      </c>
      <c r="O531" s="34">
        <f t="shared" si="462"/>
        <v>1348962.8825916562</v>
      </c>
      <c r="P531" s="33" t="str">
        <f t="shared" ref="P531:P560" si="463">COMPLEX(Adc,0)</f>
        <v>16.5157725627975</v>
      </c>
      <c r="Q531" s="4" t="str">
        <f t="shared" ref="Q531:Q560" si="464">IMSUM(COMPLEX(1,0),IMDIV(COMPLEX(0,2*PI()*O531),COMPLEX(wp_lf,0)))</f>
        <v>1+21930.8449864639i</v>
      </c>
      <c r="R531" s="4">
        <f t="shared" si="424"/>
        <v>21930.845009262837</v>
      </c>
      <c r="S531" s="4">
        <f t="shared" si="425"/>
        <v>1.5707507289166605</v>
      </c>
      <c r="T531" s="4" t="str">
        <f t="shared" ref="T531:T560" si="465">IMSUM(COMPLEX(1,0),IMDIV(COMPLEX(0,2*PI()*O531),COMPLEX(wz_esr,0)))</f>
        <v>1+139.426642915012i</v>
      </c>
      <c r="U531" s="4">
        <f t="shared" si="426"/>
        <v>139.43022898407025</v>
      </c>
      <c r="V531" s="4">
        <f t="shared" si="427"/>
        <v>1.5636242194224483</v>
      </c>
      <c r="W531" t="str">
        <f t="shared" ref="W531:W560" si="466">IMSUB(COMPLEX(1,0),IMDIV(COMPLEX(0,2*PI()*O531),COMPLEX(wz_rhp,0)))</f>
        <v>1-2118.94594095763i</v>
      </c>
      <c r="X531" s="4">
        <f t="shared" si="428"/>
        <v>2118.9461769239952</v>
      </c>
      <c r="Y531" s="4">
        <f t="shared" si="429"/>
        <v>-1.5703243940728622</v>
      </c>
      <c r="Z531" t="str">
        <f t="shared" ref="Z531:Z560" si="467">IMSUM(COMPLEX(1,0),IMDIV(COMPLEX(0,2*PI()*O531),COMPLEX(Q*(wsl/2),0)),IMDIV(IMPOWER(COMPLEX(0,2*PI()*O531),2),IMPOWER(COMPLEX(wsl/2,0),2)))</f>
        <v>-36.5971251778923+29.6652431734068i</v>
      </c>
      <c r="AA531" s="4">
        <f t="shared" si="430"/>
        <v>47.110256036490362</v>
      </c>
      <c r="AB531" s="4">
        <f t="shared" si="431"/>
        <v>2.4604280072307274</v>
      </c>
      <c r="AC531" s="47" t="str">
        <f t="shared" si="432"/>
        <v>-2.94949476252333+3.68861391084187i</v>
      </c>
      <c r="AD531" s="20">
        <f t="shared" si="433"/>
        <v>13.484098588154016</v>
      </c>
      <c r="AE531" s="43">
        <f t="shared" si="434"/>
        <v>128.64658022640415</v>
      </c>
      <c r="AF531" t="str">
        <f t="shared" ref="AF531:AF560" si="468">COMPLEX($B$72,0)</f>
        <v>247.084651286898</v>
      </c>
      <c r="AG531" t="str">
        <f t="shared" ref="AG531:AG560" si="469">IMSUM(COMPLEX(1,0),IMDIV(COMPLEX(0,2*PI()*O531),COMPLEX(wp_lf_DCM,0)))</f>
        <v>1+21446.7426509755i</v>
      </c>
      <c r="AH531">
        <f t="shared" si="435"/>
        <v>21446.74267428906</v>
      </c>
      <c r="AI531">
        <f t="shared" si="436"/>
        <v>1.5707496996676191</v>
      </c>
      <c r="AJ531" t="str">
        <f t="shared" ref="AJ531:AJ560" si="470">IMSUM(COMPLEX(1,0),IMDIV(COMPLEX(0,2*PI()*O531),COMPLEX(wz1_dcm,0)))</f>
        <v>1+139.426642915012i</v>
      </c>
      <c r="AK531">
        <f t="shared" si="437"/>
        <v>139.43022898407025</v>
      </c>
      <c r="AL531">
        <f t="shared" si="438"/>
        <v>1.5636242194224483</v>
      </c>
      <c r="AM531" t="str">
        <f t="shared" ref="AM531:AM560" si="471">IMSUB(COMPLEX(1,0),IMDIV(COMPLEX(0,2*PI()*O531),COMPLEX(wz2_dcm,0)))</f>
        <v>1-138.50723621823i</v>
      </c>
      <c r="AN531">
        <f t="shared" si="439"/>
        <v>138.51084609088403</v>
      </c>
      <c r="AO531">
        <f t="shared" si="440"/>
        <v>-1.5635766128471895</v>
      </c>
      <c r="AP531" s="41" t="str">
        <f t="shared" si="441"/>
        <v>0.0209667638934153-222.497506380626i</v>
      </c>
      <c r="AQ531">
        <f t="shared" si="442"/>
        <v>46.946502999178236</v>
      </c>
      <c r="AR531" s="43">
        <f t="shared" si="443"/>
        <v>-89.994600806556775</v>
      </c>
      <c r="AS531" t="str">
        <f t="shared" ref="AS531:AS560" si="472">COMPLEX(Adc_ea,0)</f>
        <v>-0.0000166666666666667</v>
      </c>
      <c r="AT531" t="str">
        <f t="shared" ref="AT531:AT560" si="473">COMPLEX(0,2*PI()*O531*wp0_ea)</f>
        <v>0.0288176647970238i</v>
      </c>
      <c r="AU531">
        <f t="shared" si="444"/>
        <v>2.8817664797023801E-2</v>
      </c>
      <c r="AV531">
        <f t="shared" si="445"/>
        <v>1.5707963267948966</v>
      </c>
      <c r="AW531" t="str">
        <f t="shared" ref="AW531:AW560" si="474">IMSUM(COMPLEX(1,0),IMDIV(COMPLEX(0,2*PI()*O531),COMPLEX(wp1_ea,0)))</f>
        <v>1+29.286325781612i</v>
      </c>
      <c r="AX531">
        <f t="shared" si="446"/>
        <v>29.303393622355614</v>
      </c>
      <c r="AY531">
        <f t="shared" si="447"/>
        <v>1.5366639594303932</v>
      </c>
      <c r="AZ531" t="str">
        <f t="shared" ref="AZ531:AZ560" si="475">IMSUM(COMPLEX(1,0),IMDIV(COMPLEX(0,2*PI()*O531),COMPLEX(wz_ea,0)))</f>
        <v>1+995.735076574808i</v>
      </c>
      <c r="BA531">
        <f t="shared" si="448"/>
        <v>995.73557871627679</v>
      </c>
      <c r="BB531">
        <f t="shared" si="449"/>
        <v>1.5697920439416249</v>
      </c>
      <c r="BC531" s="41" t="str">
        <f t="shared" si="450"/>
        <v>-0.000650928003305331+0.0196416385321725i</v>
      </c>
      <c r="BD531">
        <f t="shared" si="451"/>
        <v>-34.1316785884053</v>
      </c>
      <c r="BE531" s="43">
        <f t="shared" si="452"/>
        <v>91.898099425846283</v>
      </c>
      <c r="BF531" s="41" t="str">
        <f t="shared" si="453"/>
        <v>-0.0705305123849703-0.0603339320659678i</v>
      </c>
      <c r="BG531" s="20">
        <f t="shared" si="454"/>
        <v>-20.647580000251281</v>
      </c>
      <c r="BH531" s="43">
        <f t="shared" si="455"/>
        <v>-139.45532034774953</v>
      </c>
      <c r="BI531" s="41" t="str">
        <f t="shared" si="460"/>
        <v>4.37020194678424+0.14524167916634i</v>
      </c>
      <c r="BJ531" s="20">
        <f t="shared" si="456"/>
        <v>12.814824410772928</v>
      </c>
      <c r="BK531" s="43">
        <f t="shared" si="461"/>
        <v>1.9034986192895174</v>
      </c>
      <c r="BL531">
        <f t="shared" si="457"/>
        <v>-20.647580000251281</v>
      </c>
      <c r="BM531" s="43">
        <f t="shared" si="458"/>
        <v>-139.45532034774953</v>
      </c>
    </row>
    <row r="532" spans="14:65" x14ac:dyDescent="0.25">
      <c r="N532" s="9">
        <v>14</v>
      </c>
      <c r="O532" s="34">
        <f t="shared" si="462"/>
        <v>1380384.2646028849</v>
      </c>
      <c r="P532" s="33" t="str">
        <f t="shared" si="463"/>
        <v>16.5157725627975</v>
      </c>
      <c r="Q532" s="4" t="str">
        <f t="shared" si="464"/>
        <v>1+22441.679989444i</v>
      </c>
      <c r="R532" s="4">
        <f t="shared" ref="R532:R560" si="476">IMABS(Q532)</f>
        <v>22441.680011723973</v>
      </c>
      <c r="S532" s="4">
        <f t="shared" ref="S532:S560" si="477">IMARGUMENT(Q532)</f>
        <v>1.5707517668510864</v>
      </c>
      <c r="T532" s="4" t="str">
        <f t="shared" si="465"/>
        <v>1+142.674306632162i</v>
      </c>
      <c r="U532" s="4">
        <f t="shared" ref="U532:U560" si="478">IMABS(T532)</f>
        <v>142.67781107435096</v>
      </c>
      <c r="V532" s="4">
        <f t="shared" ref="V532:V560" si="479">IMARGUMENT(T532)</f>
        <v>1.5637874711090689</v>
      </c>
      <c r="W532" t="str">
        <f t="shared" si="466"/>
        <v>1-2168.30253240369i</v>
      </c>
      <c r="X532" s="4">
        <f t="shared" ref="X532:X560" si="480">IMABS(W532)</f>
        <v>2168.3027629988055</v>
      </c>
      <c r="Y532" s="4">
        <f t="shared" ref="Y532:Y560" si="481">IMARGUMENT(W532)</f>
        <v>-1.5703351365715967</v>
      </c>
      <c r="Z532" t="str">
        <f t="shared" si="467"/>
        <v>-38.3690230984142+30.3562354536516i</v>
      </c>
      <c r="AA532" s="4">
        <f t="shared" ref="AA532:AA560" si="482">IMABS(Z532)</f>
        <v>48.925279400777853</v>
      </c>
      <c r="AB532" s="4">
        <f t="shared" ref="AB532:AB560" si="483">IMARGUMENT(Z532)</f>
        <v>2.4722620547683216</v>
      </c>
      <c r="AC532" s="47" t="str">
        <f t="shared" ref="AC532:AC560" si="484">(IMDIV(IMPRODUCT(P532,T532,W532),IMPRODUCT(Q532,Z532)))</f>
        <v>-2.86356757201494+3.66820484340167i</v>
      </c>
      <c r="AD532" s="20">
        <f t="shared" ref="AD532:AD560" si="485">20*LOG(IMABS(AC532))</f>
        <v>13.355731492109637</v>
      </c>
      <c r="AE532" s="43">
        <f t="shared" ref="AE532:AE560" si="486">(180/PI())*IMARGUMENT(AC532)</f>
        <v>127.97721791148363</v>
      </c>
      <c r="AF532" t="str">
        <f t="shared" si="468"/>
        <v>247.084651286898</v>
      </c>
      <c r="AG532" t="str">
        <f t="shared" si="469"/>
        <v>1+21946.3014619919i</v>
      </c>
      <c r="AH532">
        <f t="shared" ref="AH532:AH560" si="487">IMABS(AG532)</f>
        <v>21946.301484774784</v>
      </c>
      <c r="AI532">
        <f t="shared" ref="AI532:AI560" si="488">IMARGUMENT(AG532)</f>
        <v>1.5707507610306133</v>
      </c>
      <c r="AJ532" t="str">
        <f t="shared" si="470"/>
        <v>1+142.674306632162i</v>
      </c>
      <c r="AK532">
        <f t="shared" ref="AK532:AK560" si="489">IMABS(AJ532)</f>
        <v>142.67781107435096</v>
      </c>
      <c r="AL532">
        <f t="shared" ref="AL532:AL560" si="490">IMARGUMENT(AJ532)</f>
        <v>1.5637874711090689</v>
      </c>
      <c r="AM532" t="str">
        <f t="shared" si="471"/>
        <v>1-141.733484202289i</v>
      </c>
      <c r="AN532">
        <f t="shared" ref="AN532:AN560" si="491">IMABS(AM532)</f>
        <v>141.73701190627838</v>
      </c>
      <c r="AO532">
        <f t="shared" ref="AO532:AO560" si="492">IMARGUMENT(AM532)</f>
        <v>-1.5637409480833415</v>
      </c>
      <c r="AP532" s="41" t="str">
        <f t="shared" ref="AP532:AP560" si="493">(IMDIV(IMPRODUCT(AF532,AJ532,AM532),IMPRODUCT(AG532)))</f>
        <v>0.0209667397182032-227.679608522744i</v>
      </c>
      <c r="AQ532">
        <f t="shared" ref="AQ532:AQ560" si="494">20*LOG(IMABS(AP532))</f>
        <v>47.146482756939704</v>
      </c>
      <c r="AR532" s="43">
        <f t="shared" ref="AR532:AR560" si="495">(180/PI())*IMARGUMENT(AP532)</f>
        <v>-89.994723700991941</v>
      </c>
      <c r="AS532" t="str">
        <f t="shared" si="472"/>
        <v>-0.0000166666666666667</v>
      </c>
      <c r="AT532" t="str">
        <f t="shared" si="473"/>
        <v>0.0294889144406901i</v>
      </c>
      <c r="AU532">
        <f t="shared" ref="AU532:AU560" si="496">IMABS(AT532)</f>
        <v>2.94889144406901E-2</v>
      </c>
      <c r="AV532">
        <f t="shared" ref="AV532:AV560" si="497">IMARGUMENT(AT532)</f>
        <v>1.5707963267948966</v>
      </c>
      <c r="AW532" t="str">
        <f t="shared" si="474"/>
        <v>1+29.9684919419747i</v>
      </c>
      <c r="AX532">
        <f t="shared" ref="AX532:AX560" si="498">IMABS(AW532)</f>
        <v>29.985171489858157</v>
      </c>
      <c r="AY532">
        <f t="shared" ref="AY532:AY560" si="499">IMARGUMENT(AW532)</f>
        <v>1.5374403240932053</v>
      </c>
      <c r="AZ532" t="str">
        <f t="shared" si="475"/>
        <v>1+1018.92872602714i</v>
      </c>
      <c r="BA532">
        <f t="shared" ref="BA532:BA560" si="500">IMABS(AZ532)</f>
        <v>1018.9292167384792</v>
      </c>
      <c r="BB532">
        <f t="shared" ref="BB532:BB560" si="501">IMARGUMENT(AZ532)</f>
        <v>1.5698149041954617</v>
      </c>
      <c r="BC532" s="41" t="str">
        <f t="shared" ref="BC532:BC560" si="502">IMPRODUCT(AS532,IMDIV(AZ532,IMPRODUCT(AT532,AW532)))</f>
        <v>-0.000621664001156166+0.0191955167465165i</v>
      </c>
      <c r="BD532">
        <f t="shared" ref="BD532:BD560" si="503">20*LOG(IMABS(BC532))</f>
        <v>-34.331451147991075</v>
      </c>
      <c r="BE532" s="43">
        <f t="shared" ref="BE532:BE560" si="504">(180/PI())*IMARGUMENT(BC532)</f>
        <v>91.854926803367505</v>
      </c>
      <c r="BF532" s="41" t="str">
        <f t="shared" ref="BF532:BF560" si="505">IMPRODUCT(AC532,BC532)</f>
        <v>-0.0686329106267698-0.0572480501834039i</v>
      </c>
      <c r="BG532" s="20">
        <f t="shared" ref="BG532:BG560" si="506">20*LOG(IMABS(BF532))</f>
        <v>-20.975719655881445</v>
      </c>
      <c r="BH532" s="43">
        <f t="shared" ref="BH532:BH560" si="507">(180/PI())*IMARGUMENT(BF532)</f>
        <v>-140.16785528514885</v>
      </c>
      <c r="BI532" s="41" t="str">
        <f t="shared" si="460"/>
        <v>4.37041470397135+0.141942683819299i</v>
      </c>
      <c r="BJ532" s="20">
        <f t="shared" ref="BJ532:BJ560" si="508">20*LOG(IMABS(BI532))</f>
        <v>12.815031608948624</v>
      </c>
      <c r="BK532" s="43">
        <f t="shared" si="461"/>
        <v>1.8602031023755747</v>
      </c>
      <c r="BL532">
        <f t="shared" ref="BL532:BL560" si="509">IF($B$31=0,BJ532,BG532)</f>
        <v>-20.975719655881445</v>
      </c>
      <c r="BM532" s="43">
        <f t="shared" ref="BM532:BM560" si="510">IF($B$31=0,BK532,BH532)</f>
        <v>-140.16785528514885</v>
      </c>
    </row>
    <row r="533" spans="14:65" x14ac:dyDescent="0.25">
      <c r="N533" s="9">
        <v>15</v>
      </c>
      <c r="O533" s="34">
        <f t="shared" si="462"/>
        <v>1412537.5446227565</v>
      </c>
      <c r="P533" s="33" t="str">
        <f t="shared" si="463"/>
        <v>16.5157725627975</v>
      </c>
      <c r="Q533" s="4" t="str">
        <f t="shared" si="464"/>
        <v>1+22964.4138682053i</v>
      </c>
      <c r="R533" s="4">
        <f t="shared" si="476"/>
        <v>22964.413889978117</v>
      </c>
      <c r="S533" s="4">
        <f t="shared" si="477"/>
        <v>1.5707527811592401</v>
      </c>
      <c r="T533" s="4" t="str">
        <f t="shared" si="465"/>
        <v>1+145.997618155208i</v>
      </c>
      <c r="U533" s="4">
        <f t="shared" si="478"/>
        <v>146.00104282844666</v>
      </c>
      <c r="V533" s="4">
        <f t="shared" si="479"/>
        <v>1.5639470070946173</v>
      </c>
      <c r="W533" t="str">
        <f t="shared" si="466"/>
        <v>1-2218.80878655331i</v>
      </c>
      <c r="X533" s="4">
        <f t="shared" si="480"/>
        <v>2218.8090118994405</v>
      </c>
      <c r="Y533" s="4">
        <f t="shared" si="481"/>
        <v>-1.5703456345413087</v>
      </c>
      <c r="Z533" t="str">
        <f t="shared" si="467"/>
        <v>-40.2244279952249+31.0633230117463i</v>
      </c>
      <c r="AA533" s="4">
        <f t="shared" si="482"/>
        <v>50.82258006118068</v>
      </c>
      <c r="AB533" s="4">
        <f t="shared" si="483"/>
        <v>2.4840028208723997</v>
      </c>
      <c r="AC533" s="47" t="str">
        <f t="shared" si="484"/>
        <v>-2.77879402075463+3.64597179652038i</v>
      </c>
      <c r="AD533" s="20">
        <f t="shared" si="485"/>
        <v>13.225253965158476</v>
      </c>
      <c r="AE533" s="43">
        <f t="shared" si="486"/>
        <v>127.31300269918778</v>
      </c>
      <c r="AF533" t="str">
        <f t="shared" si="468"/>
        <v>247.084651286898</v>
      </c>
      <c r="AG533" t="str">
        <f t="shared" si="469"/>
        <v>1+22457.4964925372i</v>
      </c>
      <c r="AH533">
        <f t="shared" si="487"/>
        <v>22457.496514801478</v>
      </c>
      <c r="AI533">
        <f t="shared" si="488"/>
        <v>1.5707517982340362</v>
      </c>
      <c r="AJ533" t="str">
        <f t="shared" si="470"/>
        <v>1+145.997618155208i</v>
      </c>
      <c r="AK533">
        <f t="shared" si="489"/>
        <v>146.00104282844666</v>
      </c>
      <c r="AL533">
        <f t="shared" si="490"/>
        <v>1.5639470070946173</v>
      </c>
      <c r="AM533" t="str">
        <f t="shared" si="471"/>
        <v>1-145.034881155738i</v>
      </c>
      <c r="AN533">
        <f t="shared" si="491"/>
        <v>145.03832856131183</v>
      </c>
      <c r="AO533">
        <f t="shared" si="492"/>
        <v>-1.5639015429610594</v>
      </c>
      <c r="AP533" s="41" t="str">
        <f t="shared" si="493"/>
        <v>0.0209667166310593-232.982429407i</v>
      </c>
      <c r="AQ533">
        <f t="shared" si="494"/>
        <v>47.346463425708066</v>
      </c>
      <c r="AR533" s="43">
        <f t="shared" si="495"/>
        <v>-89.994843798422821</v>
      </c>
      <c r="AS533" t="str">
        <f t="shared" si="472"/>
        <v>-0.0000166666666666667</v>
      </c>
      <c r="AT533" t="str">
        <f t="shared" si="473"/>
        <v>0.030175799497125i</v>
      </c>
      <c r="AU533">
        <f t="shared" si="496"/>
        <v>3.0175799497125001E-2</v>
      </c>
      <c r="AV533">
        <f t="shared" si="497"/>
        <v>1.5707963267948966</v>
      </c>
      <c r="AW533" t="str">
        <f t="shared" si="474"/>
        <v>1+30.666547793445i</v>
      </c>
      <c r="AX533">
        <f t="shared" si="498"/>
        <v>30.682847872510902</v>
      </c>
      <c r="AY533">
        <f t="shared" si="499"/>
        <v>1.5381990554096079</v>
      </c>
      <c r="AZ533" t="str">
        <f t="shared" si="475"/>
        <v>1+1042.66262497713i</v>
      </c>
      <c r="BA533">
        <f t="shared" si="500"/>
        <v>1042.6631045185206</v>
      </c>
      <c r="BB533">
        <f t="shared" si="501"/>
        <v>1.5698372440873827</v>
      </c>
      <c r="BC533" s="41" t="str">
        <f t="shared" si="502"/>
        <v>-0.00059371423207597+0.0187594848492229i</v>
      </c>
      <c r="BD533">
        <f t="shared" si="503"/>
        <v>-34.531233932942946</v>
      </c>
      <c r="BE533" s="43">
        <f t="shared" si="504"/>
        <v>91.812734682675085</v>
      </c>
      <c r="BF533" s="41" t="str">
        <f t="shared" si="505"/>
        <v>-0.0667467431193884-0.0542934096767994i</v>
      </c>
      <c r="BG533" s="20">
        <f t="shared" si="506"/>
        <v>-21.305979967784477</v>
      </c>
      <c r="BH533" s="43">
        <f t="shared" si="507"/>
        <v>-140.87426261813712</v>
      </c>
      <c r="BI533" s="41" t="str">
        <f t="shared" si="460"/>
        <v>4.3706179063577+0.138718308965549i</v>
      </c>
      <c r="BJ533" s="20">
        <f t="shared" si="508"/>
        <v>12.815229492765127</v>
      </c>
      <c r="BK533" s="43">
        <f t="shared" si="461"/>
        <v>1.8178908842522563</v>
      </c>
      <c r="BL533">
        <f t="shared" si="509"/>
        <v>-21.305979967784477</v>
      </c>
      <c r="BM533" s="43">
        <f t="shared" si="510"/>
        <v>-140.87426261813712</v>
      </c>
    </row>
    <row r="534" spans="14:65" x14ac:dyDescent="0.25">
      <c r="N534" s="9">
        <v>16</v>
      </c>
      <c r="O534" s="34">
        <f t="shared" si="462"/>
        <v>1445439.7707459298</v>
      </c>
      <c r="P534" s="33" t="str">
        <f t="shared" si="463"/>
        <v>16.5157725627975</v>
      </c>
      <c r="Q534" s="4" t="str">
        <f t="shared" si="464"/>
        <v>1+23499.3237831695i</v>
      </c>
      <c r="R534" s="4">
        <f t="shared" si="476"/>
        <v>23499.323804446707</v>
      </c>
      <c r="S534" s="4">
        <f t="shared" si="477"/>
        <v>1.5707537723789218</v>
      </c>
      <c r="T534" s="4" t="str">
        <f t="shared" si="465"/>
        <v>1+149.398339547906i</v>
      </c>
      <c r="U534" s="4">
        <f t="shared" si="478"/>
        <v>149.40168626783105</v>
      </c>
      <c r="V534" s="4">
        <f t="shared" si="479"/>
        <v>1.5641029119346828</v>
      </c>
      <c r="W534" t="str">
        <f t="shared" si="466"/>
        <v>1-2270.49148249097i</v>
      </c>
      <c r="X534" s="4">
        <f t="shared" si="480"/>
        <v>2270.4917027075971</v>
      </c>
      <c r="Y534" s="4">
        <f t="shared" si="481"/>
        <v>-1.5703558935481521</v>
      </c>
      <c r="Z534" t="str">
        <f t="shared" si="467"/>
        <v>-42.1672754308687+31.7868807548735i</v>
      </c>
      <c r="AA534" s="4">
        <f t="shared" si="482"/>
        <v>52.806106705449231</v>
      </c>
      <c r="AB534" s="4">
        <f t="shared" si="483"/>
        <v>2.495646004268</v>
      </c>
      <c r="AC534" s="47" t="str">
        <f t="shared" si="484"/>
        <v>-2.69523958625976+3.62198198939364i</v>
      </c>
      <c r="AD534" s="20">
        <f t="shared" si="485"/>
        <v>13.092695950664986</v>
      </c>
      <c r="AE534" s="43">
        <f t="shared" si="486"/>
        <v>126.65418552936609</v>
      </c>
      <c r="AF534" t="str">
        <f t="shared" si="468"/>
        <v>247.084651286898</v>
      </c>
      <c r="AG534" t="str">
        <f t="shared" si="469"/>
        <v>1+22980.598784983i</v>
      </c>
      <c r="AH534">
        <f t="shared" si="487"/>
        <v>22980.598806740487</v>
      </c>
      <c r="AI534">
        <f t="shared" si="488"/>
        <v>1.5707528118278269</v>
      </c>
      <c r="AJ534" t="str">
        <f t="shared" si="470"/>
        <v>1+149.398339547906i</v>
      </c>
      <c r="AK534">
        <f t="shared" si="489"/>
        <v>149.40168626783105</v>
      </c>
      <c r="AL534">
        <f t="shared" si="490"/>
        <v>1.5641029119346828</v>
      </c>
      <c r="AM534" t="str">
        <f t="shared" si="471"/>
        <v>1-148.413177522939i</v>
      </c>
      <c r="AN534">
        <f t="shared" si="491"/>
        <v>148.41654645778351</v>
      </c>
      <c r="AO534">
        <f t="shared" si="492"/>
        <v>-1.564058482596719</v>
      </c>
      <c r="AP534" s="41" t="str">
        <f t="shared" si="493"/>
        <v>0.0209666945830032-238.408780659213i</v>
      </c>
      <c r="AQ534">
        <f t="shared" si="494"/>
        <v>47.546444964484955</v>
      </c>
      <c r="AR534" s="43">
        <f t="shared" si="495"/>
        <v>-89.994961162489375</v>
      </c>
      <c r="AS534" t="str">
        <f t="shared" si="472"/>
        <v>-0.0000166666666666667</v>
      </c>
      <c r="AT534" t="str">
        <f t="shared" si="473"/>
        <v>0.0308786841618771i</v>
      </c>
      <c r="AU534">
        <f t="shared" si="496"/>
        <v>3.0878684161877099E-2</v>
      </c>
      <c r="AV534">
        <f t="shared" si="497"/>
        <v>1.5707963267948966</v>
      </c>
      <c r="AW534" t="str">
        <f t="shared" si="474"/>
        <v>1+31.3808634544751i</v>
      </c>
      <c r="AX534">
        <f t="shared" si="498"/>
        <v>31.396792688878442</v>
      </c>
      <c r="AY534">
        <f t="shared" si="499"/>
        <v>1.53894055217274</v>
      </c>
      <c r="AZ534" t="str">
        <f t="shared" si="475"/>
        <v>1+1066.94935745215i</v>
      </c>
      <c r="BA534">
        <f t="shared" si="500"/>
        <v>1066.9498260778507</v>
      </c>
      <c r="BB534">
        <f t="shared" si="501"/>
        <v>1.5698590754622048</v>
      </c>
      <c r="BC534" s="41" t="str">
        <f t="shared" si="502"/>
        <v>-0.000567019797440496+0.0183333175002772i</v>
      </c>
      <c r="BD534">
        <f t="shared" si="503"/>
        <v>-34.731026484022635</v>
      </c>
      <c r="BE534" s="43">
        <f t="shared" si="504"/>
        <v>91.771500893263266</v>
      </c>
      <c r="BF534" s="41" t="str">
        <f t="shared" si="505"/>
        <v>-0.0648746915875846-0.051466418568175i</v>
      </c>
      <c r="BG534" s="20">
        <f t="shared" si="506"/>
        <v>-21.638330533357653</v>
      </c>
      <c r="BH534" s="43">
        <f t="shared" si="507"/>
        <v>-141.57431357737065</v>
      </c>
      <c r="BI534" s="41" t="str">
        <f t="shared" si="460"/>
        <v>4.37081198214838+0.135566887586144i</v>
      </c>
      <c r="BJ534" s="20">
        <f t="shared" si="508"/>
        <v>12.815418480462313</v>
      </c>
      <c r="BK534" s="43">
        <f t="shared" si="461"/>
        <v>1.7765397307739006</v>
      </c>
      <c r="BL534">
        <f t="shared" si="509"/>
        <v>-21.638330533357653</v>
      </c>
      <c r="BM534" s="43">
        <f t="shared" si="510"/>
        <v>-141.57431357737065</v>
      </c>
    </row>
    <row r="535" spans="14:65" x14ac:dyDescent="0.25">
      <c r="N535" s="9">
        <v>17</v>
      </c>
      <c r="O535" s="34">
        <f t="shared" si="462"/>
        <v>1479108.3881682095</v>
      </c>
      <c r="P535" s="33" t="str">
        <f t="shared" si="463"/>
        <v>16.5157725627975</v>
      </c>
      <c r="Q535" s="4" t="str">
        <f t="shared" si="464"/>
        <v>1+24046.6933506538i</v>
      </c>
      <c r="R535" s="4">
        <f t="shared" si="476"/>
        <v>24046.69337144668</v>
      </c>
      <c r="S535" s="4">
        <f t="shared" si="477"/>
        <v>1.5707547410356888</v>
      </c>
      <c r="T535" s="4" t="str">
        <f t="shared" si="465"/>
        <v>1+152.878273917752i</v>
      </c>
      <c r="U535" s="4">
        <f t="shared" si="478"/>
        <v>152.88154445867954</v>
      </c>
      <c r="V535" s="4">
        <f t="shared" si="479"/>
        <v>1.5642552682617414</v>
      </c>
      <c r="W535" t="str">
        <f t="shared" si="466"/>
        <v>1-2323.37802306614i</v>
      </c>
      <c r="X535" s="4">
        <f t="shared" si="480"/>
        <v>2323.3782382700247</v>
      </c>
      <c r="Y535" s="4">
        <f t="shared" si="481"/>
        <v>-1.5703659190315788</v>
      </c>
      <c r="Z535" t="str">
        <f t="shared" si="467"/>
        <v>-44.2016864452388+32.527292322926i</v>
      </c>
      <c r="AA535" s="4">
        <f t="shared" si="482"/>
        <v>54.879994811081104</v>
      </c>
      <c r="AB535" s="4">
        <f t="shared" si="483"/>
        <v>2.5071874802812477</v>
      </c>
      <c r="AC535" s="47" t="str">
        <f t="shared" si="484"/>
        <v>-2.61296526959796+3.59630521920959i</v>
      </c>
      <c r="AD535" s="20">
        <f t="shared" si="485"/>
        <v>12.95808890246404</v>
      </c>
      <c r="AE535" s="43">
        <f t="shared" si="486"/>
        <v>126.00100712114541</v>
      </c>
      <c r="AF535" t="str">
        <f t="shared" si="468"/>
        <v>247.084651286898</v>
      </c>
      <c r="AG535" t="str">
        <f t="shared" si="469"/>
        <v>1+23515.8856950887i</v>
      </c>
      <c r="AH535">
        <f t="shared" si="487"/>
        <v>23515.885716350916</v>
      </c>
      <c r="AI535">
        <f t="shared" si="488"/>
        <v>1.5707538023494063</v>
      </c>
      <c r="AJ535" t="str">
        <f t="shared" si="470"/>
        <v>1+152.878273917752i</v>
      </c>
      <c r="AK535">
        <f t="shared" si="489"/>
        <v>152.88154445867954</v>
      </c>
      <c r="AL535">
        <f t="shared" si="490"/>
        <v>1.5642552682617414</v>
      </c>
      <c r="AM535" t="str">
        <f t="shared" si="471"/>
        <v>1-151.870164521343i</v>
      </c>
      <c r="AN535">
        <f t="shared" si="491"/>
        <v>151.87345677154977</v>
      </c>
      <c r="AO535">
        <f t="shared" si="492"/>
        <v>-1.5642118501708508</v>
      </c>
      <c r="AP535" s="41" t="str">
        <f t="shared" si="493"/>
        <v>0.0209666735272651-243.961539402643i</v>
      </c>
      <c r="AQ535">
        <f t="shared" si="494"/>
        <v>47.746427334117058</v>
      </c>
      <c r="AR535" s="43">
        <f t="shared" si="495"/>
        <v>-89.995075855384727</v>
      </c>
      <c r="AS535" t="str">
        <f t="shared" si="472"/>
        <v>-0.0000166666666666667</v>
      </c>
      <c r="AT535" t="str">
        <f t="shared" si="473"/>
        <v>0.0315979411136996i</v>
      </c>
      <c r="AU535">
        <f t="shared" si="496"/>
        <v>3.1597941113699603E-2</v>
      </c>
      <c r="AV535">
        <f t="shared" si="497"/>
        <v>1.5707963267948966</v>
      </c>
      <c r="AW535" t="str">
        <f t="shared" si="474"/>
        <v>1+32.1118176646836i</v>
      </c>
      <c r="AX535">
        <f t="shared" si="498"/>
        <v>32.127384483177053</v>
      </c>
      <c r="AY535">
        <f t="shared" si="499"/>
        <v>1.5396652042706329</v>
      </c>
      <c r="AZ535" t="str">
        <f t="shared" si="475"/>
        <v>1+1091.80180059924i</v>
      </c>
      <c r="BA535">
        <f t="shared" si="500"/>
        <v>1091.8022585577219</v>
      </c>
      <c r="BB535">
        <f t="shared" si="501"/>
        <v>1.5698804098951291</v>
      </c>
      <c r="BC535" s="41" t="str">
        <f t="shared" si="502"/>
        <v>-0.00054152442741211+0.0179167942008627i</v>
      </c>
      <c r="BD535">
        <f t="shared" si="503"/>
        <v>-34.930828362575099</v>
      </c>
      <c r="BE535" s="43">
        <f t="shared" si="504"/>
        <v>91.731203759403584</v>
      </c>
      <c r="BF535" s="41" t="str">
        <f t="shared" si="505"/>
        <v>-0.0630192759745999-0.04876344811402i</v>
      </c>
      <c r="BG535" s="20">
        <f t="shared" si="506"/>
        <v>-21.972739460111057</v>
      </c>
      <c r="BH535" s="43">
        <f t="shared" si="507"/>
        <v>-142.26778911945104</v>
      </c>
      <c r="BI535" s="41" t="str">
        <f t="shared" si="460"/>
        <v>4.37099734043693+0.132486788510258i</v>
      </c>
      <c r="BJ535" s="20">
        <f t="shared" si="508"/>
        <v>12.81559897154195</v>
      </c>
      <c r="BK535" s="43">
        <f t="shared" si="461"/>
        <v>1.7361279040188584</v>
      </c>
      <c r="BL535">
        <f t="shared" si="509"/>
        <v>-21.972739460111057</v>
      </c>
      <c r="BM535" s="43">
        <f t="shared" si="510"/>
        <v>-142.26778911945104</v>
      </c>
    </row>
    <row r="536" spans="14:65" x14ac:dyDescent="0.25">
      <c r="N536" s="9">
        <v>18</v>
      </c>
      <c r="O536" s="34">
        <f t="shared" si="462"/>
        <v>1513561.2484362102</v>
      </c>
      <c r="P536" s="33" t="str">
        <f t="shared" si="463"/>
        <v>16.5157725627975</v>
      </c>
      <c r="Q536" s="4" t="str">
        <f t="shared" si="464"/>
        <v>1+24606.8127932482i</v>
      </c>
      <c r="R536" s="4">
        <f t="shared" si="476"/>
        <v>24606.812813567776</v>
      </c>
      <c r="S536" s="4">
        <f t="shared" si="477"/>
        <v>1.5707556876431361</v>
      </c>
      <c r="T536" s="4" t="str">
        <f t="shared" si="465"/>
        <v>1+156.439266372014i</v>
      </c>
      <c r="U536" s="4">
        <f t="shared" si="478"/>
        <v>156.44246246787972</v>
      </c>
      <c r="V536" s="4">
        <f t="shared" si="479"/>
        <v>1.5644041568288263</v>
      </c>
      <c r="W536" t="str">
        <f t="shared" si="466"/>
        <v>1-2377.4964494227i</v>
      </c>
      <c r="X536" s="4">
        <f t="shared" si="480"/>
        <v>2377.4966597279467</v>
      </c>
      <c r="Y536" s="4">
        <f t="shared" si="481"/>
        <v>-1.5703757163072252</v>
      </c>
      <c r="Z536" t="str">
        <f t="shared" si="467"/>
        <v>-46.3319762968549+33.2849502919177i</v>
      </c>
      <c r="AA536" s="4">
        <f t="shared" si="482"/>
        <v>57.048575297791238</v>
      </c>
      <c r="AB536" s="4">
        <f t="shared" si="483"/>
        <v>2.5186233079739515</v>
      </c>
      <c r="AC536" s="47" t="str">
        <f t="shared" si="484"/>
        <v>-2.53202749073916+3.56901351067316i</v>
      </c>
      <c r="AD536" s="20">
        <f t="shared" si="485"/>
        <v>12.821465675591719</v>
      </c>
      <c r="AE536" s="43">
        <f t="shared" si="486"/>
        <v>125.35369756646963</v>
      </c>
      <c r="AF536" t="str">
        <f t="shared" si="468"/>
        <v>247.084651286898</v>
      </c>
      <c r="AG536" t="str">
        <f t="shared" si="469"/>
        <v>1+24063.6410390595i</v>
      </c>
      <c r="AH536">
        <f t="shared" si="487"/>
        <v>24063.641059837737</v>
      </c>
      <c r="AI536">
        <f t="shared" si="488"/>
        <v>1.5707547703239619</v>
      </c>
      <c r="AJ536" t="str">
        <f t="shared" si="470"/>
        <v>1+156.439266372014i</v>
      </c>
      <c r="AK536">
        <f t="shared" si="489"/>
        <v>156.44246246787972</v>
      </c>
      <c r="AL536">
        <f t="shared" si="490"/>
        <v>1.5644041568288263</v>
      </c>
      <c r="AM536" t="str">
        <f t="shared" si="471"/>
        <v>1-155.407675091215i</v>
      </c>
      <c r="AN536">
        <f t="shared" si="491"/>
        <v>155.4108924022272</v>
      </c>
      <c r="AO536">
        <f t="shared" si="492"/>
        <v>-1.5643617269720971</v>
      </c>
      <c r="AP536" s="41" t="str">
        <f t="shared" si="493"/>
        <v>0.0209666534192127-249.643649783479i</v>
      </c>
      <c r="AQ536">
        <f t="shared" si="494"/>
        <v>47.946410497213094</v>
      </c>
      <c r="AR536" s="43">
        <f t="shared" si="495"/>
        <v>-89.995187937888062</v>
      </c>
      <c r="AS536" t="str">
        <f t="shared" si="472"/>
        <v>-0.0000166666666666667</v>
      </c>
      <c r="AT536" t="str">
        <f t="shared" si="473"/>
        <v>0.0323339517121487i</v>
      </c>
      <c r="AU536">
        <f t="shared" si="496"/>
        <v>3.2333951712148701E-2</v>
      </c>
      <c r="AV536">
        <f t="shared" si="497"/>
        <v>1.5707963267948966</v>
      </c>
      <c r="AW536" t="str">
        <f t="shared" si="474"/>
        <v>1+32.8597979856681i</v>
      </c>
      <c r="AX536">
        <f t="shared" si="498"/>
        <v>32.875010625989425</v>
      </c>
      <c r="AY536">
        <f t="shared" si="499"/>
        <v>1.5403733928774417</v>
      </c>
      <c r="AZ536" t="str">
        <f t="shared" si="475"/>
        <v>1+1117.23313151271i</v>
      </c>
      <c r="BA536">
        <f t="shared" si="500"/>
        <v>1117.2335790467887</v>
      </c>
      <c r="BB536">
        <f t="shared" si="501"/>
        <v>1.5699012586978764</v>
      </c>
      <c r="BC536" s="41" t="str">
        <f t="shared" si="502"/>
        <v>-0.000517174364561901+0.0175096992022764i</v>
      </c>
      <c r="BD536">
        <f t="shared" si="503"/>
        <v>-35.130639149609394</v>
      </c>
      <c r="BE536" s="43">
        <f t="shared" si="504"/>
        <v>91.6918220895395</v>
      </c>
      <c r="BF536" s="41" t="str">
        <f t="shared" si="505"/>
        <v>-0.0611828533121712-0.0461808420292326i</v>
      </c>
      <c r="BG536" s="20">
        <f t="shared" si="506"/>
        <v>-22.30917347401768</v>
      </c>
      <c r="BH536" s="43">
        <f t="shared" si="507"/>
        <v>-142.95448034399084</v>
      </c>
      <c r="BI536" s="41" t="str">
        <f t="shared" si="460"/>
        <v>4.37117437205149+0.129476415738333i</v>
      </c>
      <c r="BJ536" s="20">
        <f t="shared" si="508"/>
        <v>12.815771347603697</v>
      </c>
      <c r="BK536" s="43">
        <f t="shared" si="461"/>
        <v>1.6966341516514429</v>
      </c>
      <c r="BL536">
        <f t="shared" si="509"/>
        <v>-22.30917347401768</v>
      </c>
      <c r="BM536" s="43">
        <f t="shared" si="510"/>
        <v>-142.95448034399084</v>
      </c>
    </row>
    <row r="537" spans="14:65" x14ac:dyDescent="0.25">
      <c r="N537" s="9">
        <v>19</v>
      </c>
      <c r="O537" s="34">
        <f t="shared" si="462"/>
        <v>1548816.6189124861</v>
      </c>
      <c r="P537" s="33" t="str">
        <f t="shared" si="463"/>
        <v>16.5157725627975</v>
      </c>
      <c r="Q537" s="4" t="str">
        <f t="shared" si="464"/>
        <v>1+25179.9790936954i</v>
      </c>
      <c r="R537" s="4">
        <f t="shared" si="476"/>
        <v>25179.979113552447</v>
      </c>
      <c r="S537" s="4">
        <f t="shared" si="477"/>
        <v>1.5707566127031671</v>
      </c>
      <c r="T537" s="4" t="str">
        <f t="shared" si="465"/>
        <v>1+160.083204996024i</v>
      </c>
      <c r="U537" s="4">
        <f t="shared" si="478"/>
        <v>160.08632834130165</v>
      </c>
      <c r="V537" s="4">
        <f t="shared" si="479"/>
        <v>1.5645496565522066</v>
      </c>
      <c r="W537" t="str">
        <f t="shared" si="466"/>
        <v>1-2432.87545586663i</v>
      </c>
      <c r="X537" s="4">
        <f t="shared" si="480"/>
        <v>2432.8756613847454</v>
      </c>
      <c r="Y537" s="4">
        <f t="shared" si="481"/>
        <v>-1.5703852905697286</v>
      </c>
      <c r="Z537" t="str">
        <f t="shared" si="467"/>
        <v>-48.5626636161055+34.0602563821327i</v>
      </c>
      <c r="AA537" s="4">
        <f t="shared" si="482"/>
        <v>59.316383590940774</v>
      </c>
      <c r="AB537" s="4">
        <f t="shared" si="483"/>
        <v>2.5299497362810857</v>
      </c>
      <c r="AC537" s="47" t="str">
        <f t="shared" si="484"/>
        <v>-2.45247801503899+3.54018076460665i</v>
      </c>
      <c r="AD537" s="20">
        <f t="shared" si="485"/>
        <v>12.682860414756332</v>
      </c>
      <c r="AE537" s="43">
        <f t="shared" si="486"/>
        <v>124.71247598071446</v>
      </c>
      <c r="AF537" t="str">
        <f t="shared" si="468"/>
        <v>247.084651286898</v>
      </c>
      <c r="AG537" t="str">
        <f t="shared" si="469"/>
        <v>1+24624.1552440292i</v>
      </c>
      <c r="AH537">
        <f t="shared" si="487"/>
        <v>24624.155264334462</v>
      </c>
      <c r="AI537">
        <f t="shared" si="488"/>
        <v>1.5707557162647265</v>
      </c>
      <c r="AJ537" t="str">
        <f t="shared" si="470"/>
        <v>1+160.083204996024i</v>
      </c>
      <c r="AK537">
        <f t="shared" si="489"/>
        <v>160.08632834130165</v>
      </c>
      <c r="AL537">
        <f t="shared" si="490"/>
        <v>1.5645496565522066</v>
      </c>
      <c r="AM537" t="str">
        <f t="shared" si="471"/>
        <v>1-159.027584867485i</v>
      </c>
      <c r="AN537">
        <f t="shared" si="491"/>
        <v>159.03072894502228</v>
      </c>
      <c r="AO537">
        <f t="shared" si="492"/>
        <v>-1.5645081924401725</v>
      </c>
      <c r="AP537" s="41" t="str">
        <f t="shared" si="493"/>
        <v>0.020966634216154-255.458124531854i</v>
      </c>
      <c r="AQ537">
        <f t="shared" si="494"/>
        <v>48.146394418064148</v>
      </c>
      <c r="AR537" s="43">
        <f t="shared" si="495"/>
        <v>-89.995297469396661</v>
      </c>
      <c r="AS537" t="str">
        <f t="shared" si="472"/>
        <v>-0.0000166666666666667</v>
      </c>
      <c r="AT537" t="str">
        <f t="shared" si="473"/>
        <v>0.0330871061997861i</v>
      </c>
      <c r="AU537">
        <f t="shared" si="496"/>
        <v>3.3087106199786102E-2</v>
      </c>
      <c r="AV537">
        <f t="shared" si="497"/>
        <v>1.5707963267948966</v>
      </c>
      <c r="AW537" t="str">
        <f t="shared" si="474"/>
        <v>1+33.6252010064954i</v>
      </c>
      <c r="AX537">
        <f t="shared" si="498"/>
        <v>33.640067519659041</v>
      </c>
      <c r="AY537">
        <f t="shared" si="499"/>
        <v>1.5410654906410852</v>
      </c>
      <c r="AZ537" t="str">
        <f t="shared" si="475"/>
        <v>1+1143.25683422084i</v>
      </c>
      <c r="BA537">
        <f t="shared" si="500"/>
        <v>1143.2572715678027</v>
      </c>
      <c r="BB537">
        <f t="shared" si="501"/>
        <v>1.5699216329246852</v>
      </c>
      <c r="BC537" s="41" t="str">
        <f t="shared" si="502"/>
        <v>-0.000493918252560074+0.0171118214156539i</v>
      </c>
      <c r="BD537">
        <f t="shared" si="503"/>
        <v>-35.33045844492095</v>
      </c>
      <c r="BE537" s="43">
        <f t="shared" si="504"/>
        <v>91.65333516587927</v>
      </c>
      <c r="BF537" s="41" t="str">
        <f t="shared" si="505"/>
        <v>-0.059367617367452-0.0437149257161659i</v>
      </c>
      <c r="BG537" s="20">
        <f t="shared" si="506"/>
        <v>-22.64759803016462</v>
      </c>
      <c r="BH537" s="43">
        <f t="shared" si="507"/>
        <v>-143.63418885340624</v>
      </c>
      <c r="BI537" s="41" t="str">
        <f t="shared" si="460"/>
        <v>4.37134345036363+0.126534207771441i</v>
      </c>
      <c r="BJ537" s="20">
        <f t="shared" si="508"/>
        <v>12.815935973143208</v>
      </c>
      <c r="BK537" s="43">
        <f t="shared" si="461"/>
        <v>1.6580376964826056</v>
      </c>
      <c r="BL537">
        <f t="shared" si="509"/>
        <v>-22.64759803016462</v>
      </c>
      <c r="BM537" s="43">
        <f t="shared" si="510"/>
        <v>-143.63418885340624</v>
      </c>
    </row>
    <row r="538" spans="14:65" x14ac:dyDescent="0.25">
      <c r="N538" s="9">
        <v>20</v>
      </c>
      <c r="O538" s="34">
        <f t="shared" si="462"/>
        <v>1584893.1924611153</v>
      </c>
      <c r="P538" s="33" t="str">
        <f t="shared" si="463"/>
        <v>16.5157725627975</v>
      </c>
      <c r="Q538" s="4" t="str">
        <f t="shared" si="464"/>
        <v>1+25766.4961523543i</v>
      </c>
      <c r="R538" s="4">
        <f t="shared" si="476"/>
        <v>25766.49617175934</v>
      </c>
      <c r="S538" s="4">
        <f t="shared" si="477"/>
        <v>1.5707575167062611</v>
      </c>
      <c r="T538" s="4" t="str">
        <f t="shared" si="465"/>
        <v>1+163.812021854274i</v>
      </c>
      <c r="U538" s="4">
        <f t="shared" si="478"/>
        <v>163.81507410487333</v>
      </c>
      <c r="V538" s="4">
        <f t="shared" si="479"/>
        <v>1.5646918445531055</v>
      </c>
      <c r="W538" t="str">
        <f t="shared" si="466"/>
        <v>1-2489.54440508016i</v>
      </c>
      <c r="X538" s="4">
        <f t="shared" si="480"/>
        <v>2489.5446059201122</v>
      </c>
      <c r="Y538" s="4">
        <f t="shared" si="481"/>
        <v>-1.5703946468954832</v>
      </c>
      <c r="Z538" t="str">
        <f t="shared" si="467"/>
        <v>-50.8984799898675+34.8536216711222i</v>
      </c>
      <c r="AA538" s="4">
        <f t="shared" si="482"/>
        <v>61.688169115906348</v>
      </c>
      <c r="AB538" s="4">
        <f t="shared" si="483"/>
        <v>2.5411632091528391</v>
      </c>
      <c r="AC538" s="47" t="str">
        <f t="shared" si="484"/>
        <v>-2.37436391010938+3.50988240861538i</v>
      </c>
      <c r="AD538" s="20">
        <f t="shared" si="485"/>
        <v>12.542308441311752</v>
      </c>
      <c r="AE538" s="43">
        <f t="shared" si="486"/>
        <v>124.07755021028805</v>
      </c>
      <c r="AF538" t="str">
        <f t="shared" si="468"/>
        <v>247.084651286898</v>
      </c>
      <c r="AG538" t="str">
        <f t="shared" si="469"/>
        <v>1+25197.7255020484i</v>
      </c>
      <c r="AH538">
        <f t="shared" si="487"/>
        <v>25197.725521891462</v>
      </c>
      <c r="AI538">
        <f t="shared" si="488"/>
        <v>1.5707566406732507</v>
      </c>
      <c r="AJ538" t="str">
        <f t="shared" si="470"/>
        <v>1+163.812021854274i</v>
      </c>
      <c r="AK538">
        <f t="shared" si="489"/>
        <v>163.81507410487333</v>
      </c>
      <c r="AL538">
        <f t="shared" si="490"/>
        <v>1.5646918445531055</v>
      </c>
      <c r="AM538" t="str">
        <f t="shared" si="471"/>
        <v>1-162.73181317423i</v>
      </c>
      <c r="AN538">
        <f t="shared" si="491"/>
        <v>162.73488568519198</v>
      </c>
      <c r="AO538">
        <f t="shared" si="492"/>
        <v>-1.5646513242078564</v>
      </c>
      <c r="AP538" s="41" t="str">
        <f t="shared" si="493"/>
        <v>0.0209666158773753-261.408046559242i</v>
      </c>
      <c r="AQ538">
        <f t="shared" si="494"/>
        <v>48.346379062568275</v>
      </c>
      <c r="AR538" s="43">
        <f t="shared" si="495"/>
        <v>-89.995404507957275</v>
      </c>
      <c r="AS538" t="str">
        <f t="shared" si="472"/>
        <v>-0.0000166666666666667</v>
      </c>
      <c r="AT538" t="str">
        <f t="shared" si="473"/>
        <v>0.0338578039090901i</v>
      </c>
      <c r="AU538">
        <f t="shared" si="496"/>
        <v>3.3857803909090101E-2</v>
      </c>
      <c r="AV538">
        <f t="shared" si="497"/>
        <v>1.5707963267948966</v>
      </c>
      <c r="AW538" t="str">
        <f t="shared" si="474"/>
        <v>1+34.4084325539785i</v>
      </c>
      <c r="AX538">
        <f t="shared" si="498"/>
        <v>34.422960808473285</v>
      </c>
      <c r="AY538">
        <f t="shared" si="499"/>
        <v>1.5417418618673269</v>
      </c>
      <c r="AZ538" t="str">
        <f t="shared" si="475"/>
        <v>1+1169.88670683527i</v>
      </c>
      <c r="BA538">
        <f t="shared" si="500"/>
        <v>1169.8871342270043</v>
      </c>
      <c r="BB538">
        <f t="shared" si="501"/>
        <v>1.5699415433781727</v>
      </c>
      <c r="BC538" s="41" t="str">
        <f t="shared" si="502"/>
        <v>-0.000471707029721326+0.0167229543225712i</v>
      </c>
      <c r="BD538">
        <f t="shared" si="503"/>
        <v>-35.530285866251816</v>
      </c>
      <c r="BE538" s="43">
        <f t="shared" si="504"/>
        <v>91.615722734184587</v>
      </c>
      <c r="BF538" s="41" t="str">
        <f t="shared" si="505"/>
        <v>-0.057575599049356-0.0413620154195598i</v>
      </c>
      <c r="BG538" s="20">
        <f t="shared" si="506"/>
        <v>-22.987977424940063</v>
      </c>
      <c r="BH538" s="43">
        <f t="shared" si="507"/>
        <v>-144.30672705552738</v>
      </c>
      <c r="BI538" s="41" t="str">
        <f t="shared" si="460"/>
        <v>4.37150493206267+0.12365863694733i</v>
      </c>
      <c r="BJ538" s="20">
        <f t="shared" si="508"/>
        <v>12.81609319631646</v>
      </c>
      <c r="BK538" s="43">
        <f t="shared" si="461"/>
        <v>1.6203182262273084</v>
      </c>
      <c r="BL538">
        <f t="shared" si="509"/>
        <v>-22.987977424940063</v>
      </c>
      <c r="BM538" s="43">
        <f t="shared" si="510"/>
        <v>-144.30672705552738</v>
      </c>
    </row>
    <row r="539" spans="14:65" x14ac:dyDescent="0.25">
      <c r="N539" s="9">
        <v>21</v>
      </c>
      <c r="O539" s="34">
        <f t="shared" si="462"/>
        <v>1621810.0973589318</v>
      </c>
      <c r="P539" s="33" t="str">
        <f t="shared" si="463"/>
        <v>16.5157725627975</v>
      </c>
      <c r="Q539" s="4" t="str">
        <f t="shared" si="464"/>
        <v>1+26366.6749483331i</v>
      </c>
      <c r="R539" s="4">
        <f t="shared" si="476"/>
        <v>26366.674967296429</v>
      </c>
      <c r="S539" s="4">
        <f t="shared" si="477"/>
        <v>1.5707584001317325</v>
      </c>
      <c r="T539" s="4" t="str">
        <f t="shared" si="465"/>
        <v>1+167.62769401482i</v>
      </c>
      <c r="U539" s="4">
        <f t="shared" si="478"/>
        <v>167.63067678896402</v>
      </c>
      <c r="V539" s="4">
        <f t="shared" si="479"/>
        <v>1.5648307961984724</v>
      </c>
      <c r="W539" t="str">
        <f t="shared" si="466"/>
        <v>1-2547.53334369028i</v>
      </c>
      <c r="X539" s="4">
        <f t="shared" si="480"/>
        <v>2547.5335399585579</v>
      </c>
      <c r="Y539" s="4">
        <f t="shared" si="481"/>
        <v>-1.5704037902453298</v>
      </c>
      <c r="Z539" t="str">
        <f t="shared" si="467"/>
        <v>-53.3443799978382+35.6654668116638i</v>
      </c>
      <c r="AA539" s="4">
        <f t="shared" si="482"/>
        <v>64.168905244266497</v>
      </c>
      <c r="AB539" s="4">
        <f t="shared" si="483"/>
        <v>2.5522603697111448</v>
      </c>
      <c r="AC539" s="47" t="str">
        <f t="shared" si="484"/>
        <v>-2.2977275320302+3.4781950526274i</v>
      </c>
      <c r="AD539" s="20">
        <f t="shared" si="485"/>
        <v>12.399846139462866</v>
      </c>
      <c r="AE539" s="43">
        <f t="shared" si="486"/>
        <v>123.44911659664618</v>
      </c>
      <c r="AF539" t="str">
        <f t="shared" si="468"/>
        <v>247.084651286898</v>
      </c>
      <c r="AG539" t="str">
        <f t="shared" si="469"/>
        <v>1+25784.6559276601i</v>
      </c>
      <c r="AH539">
        <f t="shared" si="487"/>
        <v>25784.65594705148</v>
      </c>
      <c r="AI539">
        <f t="shared" si="488"/>
        <v>1.5707575440396679</v>
      </c>
      <c r="AJ539" t="str">
        <f t="shared" si="470"/>
        <v>1+167.62769401482i</v>
      </c>
      <c r="AK539">
        <f t="shared" si="489"/>
        <v>167.63067678896402</v>
      </c>
      <c r="AL539">
        <f t="shared" si="490"/>
        <v>1.5648307961984724</v>
      </c>
      <c r="AM539" t="str">
        <f t="shared" si="471"/>
        <v>1-166.52232404233i</v>
      </c>
      <c r="AN539">
        <f t="shared" si="491"/>
        <v>166.52532661567957</v>
      </c>
      <c r="AO539">
        <f t="shared" si="492"/>
        <v>-1.5647911981420348</v>
      </c>
      <c r="AP539" s="41" t="str">
        <f t="shared" si="493"/>
        <v>0.0209665983639836-267.496570593061i</v>
      </c>
      <c r="AQ539">
        <f t="shared" si="494"/>
        <v>48.546364398158239</v>
      </c>
      <c r="AR539" s="43">
        <f t="shared" si="495"/>
        <v>-89.995509110296709</v>
      </c>
      <c r="AS539" t="str">
        <f t="shared" si="472"/>
        <v>-0.0000166666666666667</v>
      </c>
      <c r="AT539" t="str">
        <f t="shared" si="473"/>
        <v>0.0346464534741879i</v>
      </c>
      <c r="AU539">
        <f t="shared" si="496"/>
        <v>3.4646453474187898E-2</v>
      </c>
      <c r="AV539">
        <f t="shared" si="497"/>
        <v>1.5707963267948966</v>
      </c>
      <c r="AW539" t="str">
        <f t="shared" si="474"/>
        <v>1+35.209907907851i</v>
      </c>
      <c r="AX539">
        <f t="shared" si="498"/>
        <v>35.224105593745719</v>
      </c>
      <c r="AY539">
        <f t="shared" si="499"/>
        <v>1.5424028627003268</v>
      </c>
      <c r="AZ539" t="str">
        <f t="shared" si="475"/>
        <v>1+1197.13686886693i</v>
      </c>
      <c r="BA539">
        <f t="shared" si="500"/>
        <v>1197.1372865300441</v>
      </c>
      <c r="BB539">
        <f t="shared" si="501"/>
        <v>1.5699610006150617</v>
      </c>
      <c r="BC539" s="41" t="str">
        <f t="shared" si="502"/>
        <v>-0.000450493827200161+0.016342895886577i</v>
      </c>
      <c r="BD539">
        <f t="shared" si="503"/>
        <v>-35.73012104848911</v>
      </c>
      <c r="BE539" s="43">
        <f t="shared" si="504"/>
        <v>91.578964993753772</v>
      </c>
      <c r="BF539" s="41" t="str">
        <f t="shared" si="505"/>
        <v>-0.0558086675485293-0.0391184272326979i</v>
      </c>
      <c r="BG539" s="20">
        <f t="shared" si="506"/>
        <v>-23.330274909026244</v>
      </c>
      <c r="BH539" s="43">
        <f t="shared" si="507"/>
        <v>-144.97191840960002</v>
      </c>
      <c r="BI539" s="41" t="str">
        <f t="shared" si="460"/>
        <v>4.37165915789565+0.120848208783544i</v>
      </c>
      <c r="BJ539" s="20">
        <f t="shared" si="508"/>
        <v>12.816243349669136</v>
      </c>
      <c r="BK539" s="43">
        <f t="shared" si="461"/>
        <v>1.5834558834570513</v>
      </c>
      <c r="BL539">
        <f t="shared" si="509"/>
        <v>-23.330274909026244</v>
      </c>
      <c r="BM539" s="43">
        <f t="shared" si="510"/>
        <v>-144.97191840960002</v>
      </c>
    </row>
    <row r="540" spans="14:65" x14ac:dyDescent="0.25">
      <c r="N540" s="9">
        <v>22</v>
      </c>
      <c r="O540" s="34">
        <f t="shared" si="462"/>
        <v>1659586.9074375622</v>
      </c>
      <c r="P540" s="33" t="str">
        <f t="shared" si="463"/>
        <v>16.5157725627975</v>
      </c>
      <c r="Q540" s="4" t="str">
        <f t="shared" si="464"/>
        <v>1+26980.8337043739i</v>
      </c>
      <c r="R540" s="4">
        <f t="shared" si="476"/>
        <v>26980.833722905569</v>
      </c>
      <c r="S540" s="4">
        <f t="shared" si="477"/>
        <v>1.5707592634479852</v>
      </c>
      <c r="T540" s="4" t="str">
        <f t="shared" si="465"/>
        <v>1+171.532244597549i</v>
      </c>
      <c r="U540" s="4">
        <f t="shared" si="478"/>
        <v>171.53515947663143</v>
      </c>
      <c r="V540" s="4">
        <f t="shared" si="479"/>
        <v>1.5649665851408345</v>
      </c>
      <c r="W540" t="str">
        <f t="shared" si="466"/>
        <v>1-2606.87301819983i</v>
      </c>
      <c r="X540" s="4">
        <f t="shared" si="480"/>
        <v>2606.8732100004963</v>
      </c>
      <c r="Y540" s="4">
        <f t="shared" si="481"/>
        <v>-1.5704127254671878</v>
      </c>
      <c r="Z540" t="str">
        <f t="shared" si="467"/>
        <v>-55.9055517218629+36.4962222547975i</v>
      </c>
      <c r="AA540" s="4">
        <f t="shared" si="482"/>
        <v>66.763799713598274</v>
      </c>
      <c r="AB540" s="4">
        <f t="shared" si="483"/>
        <v>2.5632380634381828</v>
      </c>
      <c r="AC540" s="47" t="str">
        <f t="shared" si="484"/>
        <v>-2.22260653959361+3.44519615191405i</v>
      </c>
      <c r="AD540" s="20">
        <f t="shared" si="485"/>
        <v>12.255510842413651</v>
      </c>
      <c r="AE540" s="43">
        <f t="shared" si="486"/>
        <v>122.82735979572237</v>
      </c>
      <c r="AF540" t="str">
        <f t="shared" si="468"/>
        <v>247.084651286898</v>
      </c>
      <c r="AG540" t="str">
        <f t="shared" si="469"/>
        <v>1+26385.2577191451i</v>
      </c>
      <c r="AH540">
        <f t="shared" si="487"/>
        <v>26385.257738095072</v>
      </c>
      <c r="AI540">
        <f t="shared" si="488"/>
        <v>1.5707584268429551</v>
      </c>
      <c r="AJ540" t="str">
        <f t="shared" si="470"/>
        <v>1+171.532244597549i</v>
      </c>
      <c r="AK540">
        <f t="shared" si="489"/>
        <v>171.53515947663143</v>
      </c>
      <c r="AL540">
        <f t="shared" si="490"/>
        <v>1.5649665851408345</v>
      </c>
      <c r="AM540" t="str">
        <f t="shared" si="471"/>
        <v>1-170.401127250822i</v>
      </c>
      <c r="AN540">
        <f t="shared" si="491"/>
        <v>170.4040614784484</v>
      </c>
      <c r="AO540">
        <f t="shared" si="492"/>
        <v>-1.5649278883838138</v>
      </c>
      <c r="AP540" s="41" t="str">
        <f t="shared" si="493"/>
        <v>0.0209665816388272-273.726924849346i</v>
      </c>
      <c r="AQ540">
        <f t="shared" si="494"/>
        <v>48.746350393732328</v>
      </c>
      <c r="AR540" s="43">
        <f t="shared" si="495"/>
        <v>-89.995611331851876</v>
      </c>
      <c r="AS540" t="str">
        <f t="shared" si="472"/>
        <v>-0.0000166666666666667</v>
      </c>
      <c r="AT540" t="str">
        <f t="shared" si="473"/>
        <v>0.0354534730475176i</v>
      </c>
      <c r="AU540">
        <f t="shared" si="496"/>
        <v>3.54534730475176E-2</v>
      </c>
      <c r="AV540">
        <f t="shared" si="497"/>
        <v>1.5707963267948966</v>
      </c>
      <c r="AW540" t="str">
        <f t="shared" si="474"/>
        <v>1+36.0300520209548i</v>
      </c>
      <c r="AX540">
        <f t="shared" si="498"/>
        <v>36.04392665391368</v>
      </c>
      <c r="AY540">
        <f t="shared" si="499"/>
        <v>1.5430488412997077</v>
      </c>
      <c r="AZ540" t="str">
        <f t="shared" si="475"/>
        <v>1+1225.02176871246i</v>
      </c>
      <c r="BA540">
        <f t="shared" si="500"/>
        <v>1225.0221768684041</v>
      </c>
      <c r="BB540">
        <f t="shared" si="501"/>
        <v>1.5699800149517777</v>
      </c>
      <c r="BC540" s="41" t="str">
        <f t="shared" si="502"/>
        <v>-0.000430233871639329+0.0159714484657102i</v>
      </c>
      <c r="BD540">
        <f t="shared" si="503"/>
        <v>-35.929963642898329</v>
      </c>
      <c r="BE540" s="43">
        <f t="shared" si="504"/>
        <v>91.54304258759754</v>
      </c>
      <c r="BF540" s="41" t="str">
        <f t="shared" si="505"/>
        <v>-0.0540685321778981-0.0369804858856647i</v>
      </c>
      <c r="BG540" s="20">
        <f t="shared" si="506"/>
        <v>-23.674452800484676</v>
      </c>
      <c r="BH540" s="43">
        <f t="shared" si="507"/>
        <v>-145.62959761668009</v>
      </c>
      <c r="BI540" s="41" t="str">
        <f t="shared" si="460"/>
        <v>4.37180645337506+0.118101461328008i</v>
      </c>
      <c r="BJ540" s="20">
        <f t="shared" si="508"/>
        <v>12.816386750833992</v>
      </c>
      <c r="BK540" s="43">
        <f t="shared" si="461"/>
        <v>1.5474312557456649</v>
      </c>
      <c r="BL540">
        <f t="shared" si="509"/>
        <v>-23.674452800484676</v>
      </c>
      <c r="BM540" s="43">
        <f t="shared" si="510"/>
        <v>-145.62959761668009</v>
      </c>
    </row>
    <row r="541" spans="14:65" x14ac:dyDescent="0.25">
      <c r="N541" s="9">
        <v>23</v>
      </c>
      <c r="O541" s="34">
        <f t="shared" si="462"/>
        <v>1698243.6524617488</v>
      </c>
      <c r="P541" s="33" t="str">
        <f t="shared" si="463"/>
        <v>16.5157725627975</v>
      </c>
      <c r="Q541" s="4" t="str">
        <f t="shared" si="464"/>
        <v>1+27609.2980555783i</v>
      </c>
      <c r="R541" s="4">
        <f t="shared" si="476"/>
        <v>27609.29807368814</v>
      </c>
      <c r="S541" s="4">
        <f t="shared" si="477"/>
        <v>1.5707601071127608</v>
      </c>
      <c r="T541" s="4" t="str">
        <f t="shared" si="465"/>
        <v>1+175.527743846861i</v>
      </c>
      <c r="U541" s="4">
        <f t="shared" si="478"/>
        <v>175.53059237628423</v>
      </c>
      <c r="V541" s="4">
        <f t="shared" si="479"/>
        <v>1.5650992833572446</v>
      </c>
      <c r="W541" t="str">
        <f t="shared" si="466"/>
        <v>1-2667.59489128968i</v>
      </c>
      <c r="X541" s="4">
        <f t="shared" si="480"/>
        <v>2667.5950787244301</v>
      </c>
      <c r="Y541" s="4">
        <f t="shared" si="481"/>
        <v>-1.5704214572986239</v>
      </c>
      <c r="Z541" t="str">
        <f t="shared" si="467"/>
        <v>-58.5874277505503+37.3463284780554i</v>
      </c>
      <c r="AA541" s="4">
        <f t="shared" si="482"/>
        <v>69.478305543649839</v>
      </c>
      <c r="AB541" s="4">
        <f t="shared" si="483"/>
        <v>2.5740933404214639</v>
      </c>
      <c r="AC541" s="47" t="str">
        <f t="shared" si="484"/>
        <v>-2.14903393503976+3.41096367996697i</v>
      </c>
      <c r="AD541" s="20">
        <f t="shared" si="485"/>
        <v>12.10934071912753</v>
      </c>
      <c r="AE541" s="43">
        <f t="shared" si="486"/>
        <v>122.21245265136427</v>
      </c>
      <c r="AF541" t="str">
        <f t="shared" si="468"/>
        <v>247.084651286898</v>
      </c>
      <c r="AG541" t="str">
        <f t="shared" si="469"/>
        <v>1+26999.849323523i</v>
      </c>
      <c r="AH541">
        <f t="shared" si="487"/>
        <v>26999.849342041623</v>
      </c>
      <c r="AI541">
        <f t="shared" si="488"/>
        <v>1.5707592895511862</v>
      </c>
      <c r="AJ541" t="str">
        <f t="shared" si="470"/>
        <v>1+175.527743846861i</v>
      </c>
      <c r="AK541">
        <f t="shared" si="489"/>
        <v>175.53059237628423</v>
      </c>
      <c r="AL541">
        <f t="shared" si="490"/>
        <v>1.5650992833572446</v>
      </c>
      <c r="AM541" t="str">
        <f t="shared" si="471"/>
        <v>1-174.370279392508i</v>
      </c>
      <c r="AN541">
        <f t="shared" si="491"/>
        <v>174.3731468300704</v>
      </c>
      <c r="AO541">
        <f t="shared" si="492"/>
        <v>-1.5650614673877257</v>
      </c>
      <c r="AP541" s="41" t="str">
        <f t="shared" si="493"/>
        <v>0.0209665656664234-280.102412744391i</v>
      </c>
      <c r="AQ541">
        <f t="shared" si="494"/>
        <v>48.946337019588356</v>
      </c>
      <c r="AR541" s="43">
        <f t="shared" si="495"/>
        <v>-89.99571122679896</v>
      </c>
      <c r="AS541" t="str">
        <f t="shared" si="472"/>
        <v>-0.0000166666666666667</v>
      </c>
      <c r="AT541" t="str">
        <f t="shared" si="473"/>
        <v>0.0362792905215394i</v>
      </c>
      <c r="AU541">
        <f t="shared" si="496"/>
        <v>3.6279290521539401E-2</v>
      </c>
      <c r="AV541">
        <f t="shared" si="497"/>
        <v>1.5707963267948966</v>
      </c>
      <c r="AW541" t="str">
        <f t="shared" si="474"/>
        <v>1+36.8692997445542i</v>
      </c>
      <c r="AX541">
        <f t="shared" si="498"/>
        <v>36.882858669763984</v>
      </c>
      <c r="AY541">
        <f t="shared" si="499"/>
        <v>1.5436801380141636</v>
      </c>
      <c r="AZ541" t="str">
        <f t="shared" si="475"/>
        <v>1+1253.55619131484i</v>
      </c>
      <c r="BA541">
        <f t="shared" si="500"/>
        <v>1253.5565901800237</v>
      </c>
      <c r="BB541">
        <f t="shared" si="501"/>
        <v>1.5699985964699188</v>
      </c>
      <c r="BC541" s="41" t="str">
        <f t="shared" si="502"/>
        <v>-0.000410884392082139+0.0156084187260458i</v>
      </c>
      <c r="BD541">
        <f t="shared" si="503"/>
        <v>-36.129813316391115</v>
      </c>
      <c r="BE541" s="43">
        <f t="shared" si="504"/>
        <v>91.507936592805166</v>
      </c>
      <c r="BF541" s="41" t="str">
        <f t="shared" si="505"/>
        <v>-0.0523567448742958-0.03494453325264i</v>
      </c>
      <c r="BG541" s="20">
        <f t="shared" si="506"/>
        <v>-24.020472597263588</v>
      </c>
      <c r="BH541" s="43">
        <f t="shared" si="507"/>
        <v>-146.27961075583053</v>
      </c>
      <c r="BI541" s="41" t="str">
        <f t="shared" si="460"/>
        <v>4.37194712945557+0.115416964517388i</v>
      </c>
      <c r="BJ541" s="20">
        <f t="shared" si="508"/>
        <v>12.816523703197236</v>
      </c>
      <c r="BK541" s="43">
        <f t="shared" si="461"/>
        <v>1.5122253660062155</v>
      </c>
      <c r="BL541">
        <f t="shared" si="509"/>
        <v>-24.020472597263588</v>
      </c>
      <c r="BM541" s="43">
        <f t="shared" si="510"/>
        <v>-146.27961075583053</v>
      </c>
    </row>
    <row r="542" spans="14:65" x14ac:dyDescent="0.25">
      <c r="N542" s="9">
        <v>24</v>
      </c>
      <c r="O542" s="34">
        <f t="shared" si="462"/>
        <v>1737800.8287493798</v>
      </c>
      <c r="P542" s="33" t="str">
        <f t="shared" si="463"/>
        <v>16.5157725627975</v>
      </c>
      <c r="Q542" s="4" t="str">
        <f t="shared" si="464"/>
        <v>1+28252.4012220638i</v>
      </c>
      <c r="R542" s="4">
        <f t="shared" si="476"/>
        <v>28252.401239761406</v>
      </c>
      <c r="S542" s="4">
        <f t="shared" si="477"/>
        <v>1.5707609315733817</v>
      </c>
      <c r="T542" s="4" t="str">
        <f t="shared" si="465"/>
        <v>1+179.616310229343i</v>
      </c>
      <c r="U542" s="4">
        <f t="shared" si="478"/>
        <v>179.61909391933693</v>
      </c>
      <c r="V542" s="4">
        <f t="shared" si="479"/>
        <v>1.5652289611873493</v>
      </c>
      <c r="W542" t="str">
        <f t="shared" si="466"/>
        <v>1-2729.73115850065i</v>
      </c>
      <c r="X542" s="4">
        <f t="shared" si="480"/>
        <v>2729.7313416688648</v>
      </c>
      <c r="Y542" s="4">
        <f t="shared" si="481"/>
        <v>-1.5704299903693655</v>
      </c>
      <c r="Z542" t="str">
        <f t="shared" si="467"/>
        <v>-61.3956967025213+38.2162362190091i</v>
      </c>
      <c r="AA542" s="4">
        <f t="shared" si="482"/>
        <v>72.318132472673042</v>
      </c>
      <c r="AB542" s="4">
        <f t="shared" si="483"/>
        <v>2.5848234566863968</v>
      </c>
      <c r="AC542" s="47" t="str">
        <f t="shared" si="484"/>
        <v>-2.07703812954869+3.37557581336018i</v>
      </c>
      <c r="AD542" s="20">
        <f t="shared" si="485"/>
        <v>11.961374662330666</v>
      </c>
      <c r="AE542" s="43">
        <f t="shared" si="486"/>
        <v>121.60455612100664</v>
      </c>
      <c r="AF542" t="str">
        <f t="shared" si="468"/>
        <v>247.084651286898</v>
      </c>
      <c r="AG542" t="str">
        <f t="shared" si="469"/>
        <v>1+27628.7566053972i</v>
      </c>
      <c r="AH542">
        <f t="shared" si="487"/>
        <v>27628.756623494282</v>
      </c>
      <c r="AI542">
        <f t="shared" si="488"/>
        <v>1.5707601326217804</v>
      </c>
      <c r="AJ542" t="str">
        <f t="shared" si="470"/>
        <v>1+179.616310229343i</v>
      </c>
      <c r="AK542">
        <f t="shared" si="489"/>
        <v>179.61909391933693</v>
      </c>
      <c r="AL542">
        <f t="shared" si="490"/>
        <v>1.5652289611873493</v>
      </c>
      <c r="AM542" t="str">
        <f t="shared" si="471"/>
        <v>1-178.43188496439i</v>
      </c>
      <c r="AN542">
        <f t="shared" si="491"/>
        <v>178.43468713214173</v>
      </c>
      <c r="AO542">
        <f t="shared" si="492"/>
        <v>-1.565192005960047</v>
      </c>
      <c r="AP542" s="41" t="str">
        <f t="shared" si="493"/>
        <v>0.0209665504128911-286.626414646263i</v>
      </c>
      <c r="AQ542">
        <f t="shared" si="494"/>
        <v>49.146324247360681</v>
      </c>
      <c r="AR542" s="43">
        <f t="shared" si="495"/>
        <v>-89.995808848082106</v>
      </c>
      <c r="AS542" t="str">
        <f t="shared" si="472"/>
        <v>-0.0000166666666666667</v>
      </c>
      <c r="AT542" t="str">
        <f t="shared" si="473"/>
        <v>0.0371243437556089i</v>
      </c>
      <c r="AU542">
        <f t="shared" si="496"/>
        <v>3.7124343755608899E-2</v>
      </c>
      <c r="AV542">
        <f t="shared" si="497"/>
        <v>1.5707963267948966</v>
      </c>
      <c r="AW542" t="str">
        <f t="shared" si="474"/>
        <v>1+37.7280960589007i</v>
      </c>
      <c r="AX542">
        <f t="shared" si="498"/>
        <v>37.741346454911202</v>
      </c>
      <c r="AY542">
        <f t="shared" si="499"/>
        <v>1.5442970855516631</v>
      </c>
      <c r="AZ542" t="str">
        <f t="shared" si="475"/>
        <v>1+1282.75526600263i</v>
      </c>
      <c r="BA542">
        <f t="shared" si="500"/>
        <v>1282.7556557885364</v>
      </c>
      <c r="BB542">
        <f t="shared" si="501"/>
        <v>1.5700167550216004</v>
      </c>
      <c r="BC542" s="41" t="str">
        <f t="shared" si="502"/>
        <v>-0.000392404530967049+0.0152536175563104i</v>
      </c>
      <c r="BD542">
        <f t="shared" si="503"/>
        <v>-36.329669750825182</v>
      </c>
      <c r="BE542" s="43">
        <f t="shared" si="504"/>
        <v>91.473628511098894</v>
      </c>
      <c r="BF542" s="41" t="str">
        <f t="shared" si="505"/>
        <v>-0.0506747033163014-0.0330069365217953i</v>
      </c>
      <c r="BG542" s="20">
        <f t="shared" si="506"/>
        <v>-24.368295088494513</v>
      </c>
      <c r="BH542" s="43">
        <f t="shared" si="507"/>
        <v>-146.92181536789451</v>
      </c>
      <c r="BI542" s="41" t="str">
        <f t="shared" si="460"/>
        <v>4.37208148318116+0.112793319543507i</v>
      </c>
      <c r="BJ542" s="20">
        <f t="shared" si="508"/>
        <v>12.816654496535492</v>
      </c>
      <c r="BK542" s="43">
        <f t="shared" si="461"/>
        <v>1.4778196630167888</v>
      </c>
      <c r="BL542">
        <f t="shared" si="509"/>
        <v>-24.368295088494513</v>
      </c>
      <c r="BM542" s="43">
        <f t="shared" si="510"/>
        <v>-146.92181536789451</v>
      </c>
    </row>
    <row r="543" spans="14:65" x14ac:dyDescent="0.25">
      <c r="N543" s="9">
        <v>25</v>
      </c>
      <c r="O543" s="34">
        <f t="shared" si="462"/>
        <v>1778279.4100389241</v>
      </c>
      <c r="P543" s="33" t="str">
        <f t="shared" si="463"/>
        <v>16.5157725627975</v>
      </c>
      <c r="Q543" s="4" t="str">
        <f t="shared" si="464"/>
        <v>1+28910.4841856419i</v>
      </c>
      <c r="R543" s="4">
        <f t="shared" si="476"/>
        <v>28910.484202936663</v>
      </c>
      <c r="S543" s="4">
        <f t="shared" si="477"/>
        <v>1.5707617372669878</v>
      </c>
      <c r="T543" s="4" t="str">
        <f t="shared" si="465"/>
        <v>1+183.800111557011i</v>
      </c>
      <c r="U543" s="4">
        <f t="shared" si="478"/>
        <v>183.80283188343344</v>
      </c>
      <c r="V543" s="4">
        <f t="shared" si="479"/>
        <v>1.5653556873705952</v>
      </c>
      <c r="W543" t="str">
        <f t="shared" si="466"/>
        <v>1-2793.31476530413i</v>
      </c>
      <c r="X543" s="4">
        <f t="shared" si="480"/>
        <v>2793.3149443029274</v>
      </c>
      <c r="Y543" s="4">
        <f t="shared" si="481"/>
        <v>-1.5704383292037549</v>
      </c>
      <c r="Z543" t="str">
        <f t="shared" si="467"/>
        <v>-64.3363152927348+39.1064067142577i</v>
      </c>
      <c r="AA543" s="4">
        <f t="shared" si="482"/>
        <v>75.289258938756475</v>
      </c>
      <c r="AB543" s="4">
        <f t="shared" si="483"/>
        <v>2.5954258746529475</v>
      </c>
      <c r="AC543" s="47" t="str">
        <f t="shared" si="484"/>
        <v>-2.00664303159583+3.33911063046679i</v>
      </c>
      <c r="AD543" s="20">
        <f t="shared" si="485"/>
        <v>11.81165217834527</v>
      </c>
      <c r="AE543" s="43">
        <f t="shared" si="486"/>
        <v>121.00381925148368</v>
      </c>
      <c r="AF543" t="str">
        <f t="shared" si="468"/>
        <v>247.084651286898</v>
      </c>
      <c r="AG543" t="str">
        <f t="shared" si="469"/>
        <v>1+28272.3130197334i</v>
      </c>
      <c r="AH543">
        <f t="shared" si="487"/>
        <v>28272.313037418542</v>
      </c>
      <c r="AI543">
        <f t="shared" si="488"/>
        <v>1.5707609565017451</v>
      </c>
      <c r="AJ543" t="str">
        <f t="shared" si="470"/>
        <v>1+183.800111557011i</v>
      </c>
      <c r="AK543">
        <f t="shared" si="489"/>
        <v>183.80283188343344</v>
      </c>
      <c r="AL543">
        <f t="shared" si="490"/>
        <v>1.5653556873705952</v>
      </c>
      <c r="AM543" t="str">
        <f t="shared" si="471"/>
        <v>1-182.588097483505i</v>
      </c>
      <c r="AN543">
        <f t="shared" si="491"/>
        <v>182.59083586709912</v>
      </c>
      <c r="AO543">
        <f t="shared" si="492"/>
        <v>-1.5653195732962517</v>
      </c>
      <c r="AP543" s="41" t="str">
        <f t="shared" si="493"/>
        <v>0.0209665358458798-293.302389667129i</v>
      </c>
      <c r="AQ543">
        <f t="shared" si="494"/>
        <v>49.346312049960382</v>
      </c>
      <c r="AR543" s="43">
        <f t="shared" si="495"/>
        <v>-89.995904247441359</v>
      </c>
      <c r="AS543" t="str">
        <f t="shared" si="472"/>
        <v>-0.0000166666666666667</v>
      </c>
      <c r="AT543" t="str">
        <f t="shared" si="473"/>
        <v>0.0379890808081363i</v>
      </c>
      <c r="AU543">
        <f t="shared" si="496"/>
        <v>3.7989080808136302E-2</v>
      </c>
      <c r="AV543">
        <f t="shared" si="497"/>
        <v>1.5707963267948966</v>
      </c>
      <c r="AW543" t="str">
        <f t="shared" si="474"/>
        <v>1+38.6068963091681i</v>
      </c>
      <c r="AX543">
        <f t="shared" si="498"/>
        <v>38.619845191648004</v>
      </c>
      <c r="AY543">
        <f t="shared" si="499"/>
        <v>1.5449000091462797</v>
      </c>
      <c r="AZ543" t="str">
        <f t="shared" si="475"/>
        <v>1+1312.63447451171i</v>
      </c>
      <c r="BA543">
        <f t="shared" si="500"/>
        <v>1312.6348554250087</v>
      </c>
      <c r="BB543">
        <f t="shared" si="501"/>
        <v>1.5700345002346792</v>
      </c>
      <c r="BC543" s="41" t="str">
        <f t="shared" si="502"/>
        <v>-0.000374755259030187+0.0149068599836002i</v>
      </c>
      <c r="BD543">
        <f t="shared" si="503"/>
        <v>-36.529532642336207</v>
      </c>
      <c r="BE543" s="43">
        <f t="shared" si="504"/>
        <v>91.440100259574464</v>
      </c>
      <c r="BF543" s="41" t="str">
        <f t="shared" si="505"/>
        <v>-0.0490236546090326-0.0311640959783171i</v>
      </c>
      <c r="BG543" s="20">
        <f t="shared" si="506"/>
        <v>-24.717880463990937</v>
      </c>
      <c r="BH543" s="43">
        <f t="shared" si="507"/>
        <v>-147.55608048894183</v>
      </c>
      <c r="BI543" s="41" t="str">
        <f t="shared" si="460"/>
        <v>4.37220979830367+0.110229158228073i</v>
      </c>
      <c r="BJ543" s="20">
        <f t="shared" si="508"/>
        <v>12.816779407624189</v>
      </c>
      <c r="BK543" s="43">
        <f t="shared" si="461"/>
        <v>1.444196012133101</v>
      </c>
      <c r="BL543">
        <f t="shared" si="509"/>
        <v>-24.717880463990937</v>
      </c>
      <c r="BM543" s="43">
        <f t="shared" si="510"/>
        <v>-147.55608048894183</v>
      </c>
    </row>
    <row r="544" spans="14:65" x14ac:dyDescent="0.25">
      <c r="N544" s="9">
        <v>26</v>
      </c>
      <c r="O544" s="34">
        <f t="shared" si="462"/>
        <v>1819700.8586099846</v>
      </c>
      <c r="P544" s="33" t="str">
        <f t="shared" si="463"/>
        <v>16.5157725627975</v>
      </c>
      <c r="Q544" s="4" t="str">
        <f t="shared" si="464"/>
        <v>1+29583.895870611i</v>
      </c>
      <c r="R544" s="4">
        <f t="shared" si="476"/>
        <v>29583.895887512084</v>
      </c>
      <c r="S544" s="4">
        <f t="shared" si="477"/>
        <v>1.5707625246207682</v>
      </c>
      <c r="T544" s="4" t="str">
        <f t="shared" si="465"/>
        <v>1+188.081366136711i</v>
      </c>
      <c r="U544" s="4">
        <f t="shared" si="478"/>
        <v>188.08402454182956</v>
      </c>
      <c r="V544" s="4">
        <f t="shared" si="479"/>
        <v>1.5654795290825911</v>
      </c>
      <c r="W544" t="str">
        <f t="shared" si="466"/>
        <v>1-2858.37942457007i</v>
      </c>
      <c r="X544" s="4">
        <f t="shared" si="480"/>
        <v>2858.379599494358</v>
      </c>
      <c r="Y544" s="4">
        <f t="shared" si="481"/>
        <v>-1.5704464782231478</v>
      </c>
      <c r="Z544" t="str">
        <f t="shared" si="467"/>
        <v>-67.4155209674773+40.017311943981i</v>
      </c>
      <c r="AA544" s="4">
        <f t="shared" si="482"/>
        <v>78.397944632102792</v>
      </c>
      <c r="AB544" s="4">
        <f t="shared" si="483"/>
        <v>2.6058982627578202</v>
      </c>
      <c r="AC544" s="47" t="str">
        <f t="shared" si="484"/>
        <v>-1.93786815615798+3.30164582563207i</v>
      </c>
      <c r="AD544" s="20">
        <f t="shared" si="485"/>
        <v>11.660213279290268</v>
      </c>
      <c r="AE544" s="43">
        <f t="shared" si="486"/>
        <v>120.41037920260952</v>
      </c>
      <c r="AF544" t="str">
        <f t="shared" si="468"/>
        <v>247.084651286898</v>
      </c>
      <c r="AG544" t="str">
        <f t="shared" si="469"/>
        <v>1+28930.8597886611i</v>
      </c>
      <c r="AH544">
        <f t="shared" si="487"/>
        <v>28930.859805943677</v>
      </c>
      <c r="AI544">
        <f t="shared" si="488"/>
        <v>1.5707617616279121</v>
      </c>
      <c r="AJ544" t="str">
        <f t="shared" si="470"/>
        <v>1+188.081366136711i</v>
      </c>
      <c r="AK544">
        <f t="shared" si="489"/>
        <v>188.08402454182956</v>
      </c>
      <c r="AL544">
        <f t="shared" si="490"/>
        <v>1.5654795290825911</v>
      </c>
      <c r="AM544" t="str">
        <f t="shared" si="471"/>
        <v>1-186.841120628746i</v>
      </c>
      <c r="AN544">
        <f t="shared" si="491"/>
        <v>186.84379668002259</v>
      </c>
      <c r="AO544">
        <f t="shared" si="492"/>
        <v>-1.5654442370176125</v>
      </c>
      <c r="AP544" s="41" t="str">
        <f t="shared" si="493"/>
        <v>0.0209665219345031-300.133877497316i</v>
      </c>
      <c r="AQ544">
        <f t="shared" si="494"/>
        <v>49.546300401517641</v>
      </c>
      <c r="AR544" s="43">
        <f t="shared" si="495"/>
        <v>-89.995997475440035</v>
      </c>
      <c r="AS544" t="str">
        <f t="shared" si="472"/>
        <v>-0.0000166666666666667</v>
      </c>
      <c r="AT544" t="str">
        <f t="shared" si="473"/>
        <v>0.0388739601741531i</v>
      </c>
      <c r="AU544">
        <f t="shared" si="496"/>
        <v>3.8873960174153101E-2</v>
      </c>
      <c r="AV544">
        <f t="shared" si="497"/>
        <v>1.5707963267948966</v>
      </c>
      <c r="AW544" t="str">
        <f t="shared" si="474"/>
        <v>1+39.5061664468815i</v>
      </c>
      <c r="AX544">
        <f t="shared" si="498"/>
        <v>39.518820672291142</v>
      </c>
      <c r="AY544">
        <f t="shared" si="499"/>
        <v>1.5454892267216964</v>
      </c>
      <c r="AZ544" t="str">
        <f t="shared" si="475"/>
        <v>1+1343.20965919397i</v>
      </c>
      <c r="BA544">
        <f t="shared" si="500"/>
        <v>1343.210031436626</v>
      </c>
      <c r="BB544">
        <f t="shared" si="501"/>
        <v>1.570051841517857</v>
      </c>
      <c r="BC544" s="41" t="str">
        <f t="shared" si="502"/>
        <v>-0.000357899293948592+0.0145679650902362i</v>
      </c>
      <c r="BD544">
        <f t="shared" si="503"/>
        <v>-36.729401700697672</v>
      </c>
      <c r="BE544" s="43">
        <f t="shared" si="504"/>
        <v>91.407334161625599</v>
      </c>
      <c r="BF544" s="41" t="str">
        <f t="shared" si="505"/>
        <v>-0.0474046994832777-0.0294124523582519i</v>
      </c>
      <c r="BG544" s="20">
        <f t="shared" si="506"/>
        <v>-25.0691884214074</v>
      </c>
      <c r="BH544" s="43">
        <f t="shared" si="507"/>
        <v>-148.18228663576485</v>
      </c>
      <c r="BI544" s="41" t="str">
        <f t="shared" si="460"/>
        <v>4.37233234587473+0.107723142405948i</v>
      </c>
      <c r="BJ544" s="20">
        <f t="shared" si="508"/>
        <v>12.816898700819973</v>
      </c>
      <c r="BK544" s="43">
        <f t="shared" si="461"/>
        <v>1.4113366861855592</v>
      </c>
      <c r="BL544">
        <f t="shared" si="509"/>
        <v>-25.0691884214074</v>
      </c>
      <c r="BM544" s="43">
        <f t="shared" si="510"/>
        <v>-148.18228663576485</v>
      </c>
    </row>
    <row r="545" spans="14:65" x14ac:dyDescent="0.25">
      <c r="N545" s="9">
        <v>27</v>
      </c>
      <c r="O545" s="34">
        <f t="shared" si="462"/>
        <v>1862087.1366628683</v>
      </c>
      <c r="P545" s="33" t="str">
        <f t="shared" si="463"/>
        <v>16.5157725627975</v>
      </c>
      <c r="Q545" s="4" t="str">
        <f t="shared" si="464"/>
        <v>1+30272.9933287598i</v>
      </c>
      <c r="R545" s="4">
        <f t="shared" si="476"/>
        <v>30272.993345276165</v>
      </c>
      <c r="S545" s="4">
        <f t="shared" si="477"/>
        <v>1.5707632940521885</v>
      </c>
      <c r="T545" s="4" t="str">
        <f t="shared" si="465"/>
        <v>1+192.462343946287i</v>
      </c>
      <c r="U545" s="4">
        <f t="shared" si="478"/>
        <v>192.46494183954357</v>
      </c>
      <c r="V545" s="4">
        <f t="shared" si="479"/>
        <v>1.5656005519706491</v>
      </c>
      <c r="W545" t="str">
        <f t="shared" si="466"/>
        <v>1-2924.95963444205i</v>
      </c>
      <c r="X545" s="4">
        <f t="shared" si="480"/>
        <v>2924.9598053845748</v>
      </c>
      <c r="Y545" s="4">
        <f t="shared" si="481"/>
        <v>-1.5704544417482578</v>
      </c>
      <c r="Z545" t="str">
        <f t="shared" si="467"/>
        <v>-70.6398451348202+40.9494348821887i</v>
      </c>
      <c r="AA545" s="4">
        <f t="shared" si="482"/>
        <v>81.650743645370397</v>
      </c>
      <c r="AB545" s="4">
        <f t="shared" si="483"/>
        <v>2.6162384942877956</v>
      </c>
      <c r="AC545" s="47" t="str">
        <f t="shared" si="484"/>
        <v>-1.87072875267224+3.26325844013678i</v>
      </c>
      <c r="AD545" s="20">
        <f t="shared" si="485"/>
        <v>11.507098378138016</v>
      </c>
      <c r="AE545" s="43">
        <f t="shared" si="486"/>
        <v>119.82436131591228</v>
      </c>
      <c r="AF545" t="str">
        <f t="shared" si="468"/>
        <v>247.084651286898</v>
      </c>
      <c r="AG545" t="str">
        <f t="shared" si="469"/>
        <v>1+29604.746082394i</v>
      </c>
      <c r="AH545">
        <f t="shared" si="487"/>
        <v>29604.74609928318</v>
      </c>
      <c r="AI545">
        <f t="shared" si="488"/>
        <v>1.5707625484271701</v>
      </c>
      <c r="AJ545" t="str">
        <f t="shared" si="470"/>
        <v>1+192.462343946287i</v>
      </c>
      <c r="AK545">
        <f t="shared" si="489"/>
        <v>192.46494183954357</v>
      </c>
      <c r="AL545">
        <f t="shared" si="490"/>
        <v>1.5656005519706491</v>
      </c>
      <c r="AM545" t="str">
        <f t="shared" si="471"/>
        <v>1-191.193209409278i</v>
      </c>
      <c r="AN545">
        <f t="shared" si="491"/>
        <v>191.19582454703351</v>
      </c>
      <c r="AO545">
        <f t="shared" si="492"/>
        <v>-1.5655660632069763</v>
      </c>
      <c r="AP545" s="41" t="str">
        <f t="shared" si="493"/>
        <v>0.0209665086492419-307.124500282091i</v>
      </c>
      <c r="AQ545">
        <f t="shared" si="494"/>
        <v>49.746289277326532</v>
      </c>
      <c r="AR545" s="43">
        <f t="shared" si="495"/>
        <v>-89.996088581491364</v>
      </c>
      <c r="AS545" t="str">
        <f t="shared" si="472"/>
        <v>-0.0000166666666666667</v>
      </c>
      <c r="AT545" t="str">
        <f t="shared" si="473"/>
        <v>0.039779451028412i</v>
      </c>
      <c r="AU545">
        <f t="shared" si="496"/>
        <v>3.9779451028412002E-2</v>
      </c>
      <c r="AV545">
        <f t="shared" si="497"/>
        <v>1.5707963267948966</v>
      </c>
      <c r="AW545" t="str">
        <f t="shared" si="474"/>
        <v>1+40.4263832769708i</v>
      </c>
      <c r="AX545">
        <f t="shared" si="498"/>
        <v>40.43874954615368</v>
      </c>
      <c r="AY545">
        <f t="shared" si="499"/>
        <v>1.5460650490514298</v>
      </c>
      <c r="AZ545" t="str">
        <f t="shared" si="475"/>
        <v>1+1374.49703141701i</v>
      </c>
      <c r="BA545">
        <f t="shared" si="500"/>
        <v>1374.4973951863908</v>
      </c>
      <c r="BB545">
        <f t="shared" si="501"/>
        <v>1.5700687880656703</v>
      </c>
      <c r="BC545" s="41" t="str">
        <f t="shared" si="502"/>
        <v>-0.000341801022563409+0.0142367559317748i</v>
      </c>
      <c r="BD545">
        <f t="shared" si="503"/>
        <v>-36.929276648711856</v>
      </c>
      <c r="BE545" s="43">
        <f t="shared" si="504"/>
        <v>91.37531293804949</v>
      </c>
      <c r="BF545" s="41" t="str">
        <f t="shared" si="505"/>
        <v>-0.0458187969539293-0.0277484937380756i</v>
      </c>
      <c r="BG545" s="20">
        <f t="shared" si="506"/>
        <v>-25.422178270573845</v>
      </c>
      <c r="BH545" s="43">
        <f t="shared" si="507"/>
        <v>-148.80032574603823</v>
      </c>
      <c r="BI545" s="41" t="str">
        <f t="shared" si="460"/>
        <v>4.37244938481033+0.105273963317075i</v>
      </c>
      <c r="BJ545" s="20">
        <f t="shared" si="508"/>
        <v>12.817012628614677</v>
      </c>
      <c r="BK545" s="43">
        <f t="shared" si="461"/>
        <v>1.3792243565581286</v>
      </c>
      <c r="BL545">
        <f t="shared" si="509"/>
        <v>-25.422178270573845</v>
      </c>
      <c r="BM545" s="43">
        <f t="shared" si="510"/>
        <v>-148.80032574603823</v>
      </c>
    </row>
    <row r="546" spans="14:65" x14ac:dyDescent="0.25">
      <c r="N546" s="9">
        <v>28</v>
      </c>
      <c r="O546" s="34">
        <f t="shared" si="462"/>
        <v>1905460.7179632513</v>
      </c>
      <c r="P546" s="33" t="str">
        <f t="shared" si="463"/>
        <v>16.5157725627975</v>
      </c>
      <c r="Q546" s="4" t="str">
        <f t="shared" si="464"/>
        <v>1+30978.1419286821i</v>
      </c>
      <c r="R546" s="4">
        <f t="shared" si="476"/>
        <v>30978.141944822513</v>
      </c>
      <c r="S546" s="4">
        <f t="shared" si="477"/>
        <v>1.5707640459692114</v>
      </c>
      <c r="T546" s="4" t="str">
        <f t="shared" si="465"/>
        <v>1+196.945367838165i</v>
      </c>
      <c r="U546" s="4">
        <f t="shared" si="478"/>
        <v>196.94790659692251</v>
      </c>
      <c r="V546" s="4">
        <f t="shared" si="479"/>
        <v>1.565718820188517</v>
      </c>
      <c r="W546" t="str">
        <f t="shared" si="466"/>
        <v>1-2993.09069662865i</v>
      </c>
      <c r="X546" s="4">
        <f t="shared" si="480"/>
        <v>2993.0908636800482</v>
      </c>
      <c r="Y546" s="4">
        <f t="shared" si="481"/>
        <v>-1.570462224001447</v>
      </c>
      <c r="Z546" t="str">
        <f t="shared" si="467"/>
        <v>-74.0161270186169+41.9032697528011i</v>
      </c>
      <c r="AA546" s="4">
        <f t="shared" si="482"/>
        <v>85.054518250425986</v>
      </c>
      <c r="AB546" s="4">
        <f t="shared" si="483"/>
        <v>2.6264446454732528</v>
      </c>
      <c r="AC546" s="47" t="str">
        <f t="shared" si="484"/>
        <v>-1.80523594959974+3.22402461101767i</v>
      </c>
      <c r="AD546" s="20">
        <f t="shared" si="485"/>
        <v>11.352348187061637</v>
      </c>
      <c r="AE546" s="43">
        <f t="shared" si="486"/>
        <v>119.2458792257127</v>
      </c>
      <c r="AF546" t="str">
        <f t="shared" si="468"/>
        <v>247.084651286898</v>
      </c>
      <c r="AG546" t="str">
        <f t="shared" si="469"/>
        <v>1+30294.3292043651i</v>
      </c>
      <c r="AH546">
        <f t="shared" si="487"/>
        <v>30294.32922086984</v>
      </c>
      <c r="AI546">
        <f t="shared" si="488"/>
        <v>1.5707633173166906</v>
      </c>
      <c r="AJ546" t="str">
        <f t="shared" si="470"/>
        <v>1+196.945367838165i</v>
      </c>
      <c r="AK546">
        <f t="shared" si="489"/>
        <v>196.94790659692251</v>
      </c>
      <c r="AL546">
        <f t="shared" si="490"/>
        <v>1.565718820188517</v>
      </c>
      <c r="AM546" t="str">
        <f t="shared" si="471"/>
        <v>1-195.646671360183i</v>
      </c>
      <c r="AN546">
        <f t="shared" si="491"/>
        <v>195.64922697092226</v>
      </c>
      <c r="AO546">
        <f t="shared" si="492"/>
        <v>-1.5656851164437284</v>
      </c>
      <c r="AP546" s="41" t="str">
        <f t="shared" si="493"/>
        <v>0.0209664959619035-314.277964542193i</v>
      </c>
      <c r="AQ546">
        <f t="shared" si="494"/>
        <v>49.946278653793321</v>
      </c>
      <c r="AR546" s="43">
        <f t="shared" si="495"/>
        <v>-89.996177613884697</v>
      </c>
      <c r="AS546" t="str">
        <f t="shared" si="472"/>
        <v>-0.0000166666666666667</v>
      </c>
      <c r="AT546" t="str">
        <f t="shared" si="473"/>
        <v>0.0407060334741495i</v>
      </c>
      <c r="AU546">
        <f t="shared" si="496"/>
        <v>4.07060334741495E-2</v>
      </c>
      <c r="AV546">
        <f t="shared" si="497"/>
        <v>1.5707963267948966</v>
      </c>
      <c r="AW546" t="str">
        <f t="shared" si="474"/>
        <v>1+41.3680347105804i</v>
      </c>
      <c r="AX546">
        <f t="shared" si="498"/>
        <v>41.380119572275106</v>
      </c>
      <c r="AY546">
        <f t="shared" si="499"/>
        <v>1.5466277799158168</v>
      </c>
      <c r="AZ546" t="str">
        <f t="shared" si="475"/>
        <v>1+1406.51318015973i</v>
      </c>
      <c r="BA546">
        <f t="shared" si="500"/>
        <v>1406.5135356487108</v>
      </c>
      <c r="BB546">
        <f t="shared" si="501"/>
        <v>1.5700853488633639</v>
      </c>
      <c r="BC546" s="41" t="str">
        <f t="shared" si="502"/>
        <v>-0.000326426426529314+0.0139130594562048i</v>
      </c>
      <c r="BD546">
        <f t="shared" si="503"/>
        <v>-37.129157221625363</v>
      </c>
      <c r="BE546" s="43">
        <f t="shared" si="504"/>
        <v>91.344019698331593</v>
      </c>
      <c r="BF546" s="41" t="str">
        <f t="shared" si="505"/>
        <v>-0.0442667693812863-0.0261687619320766i</v>
      </c>
      <c r="BG546" s="20">
        <f t="shared" si="506"/>
        <v>-25.776809034563726</v>
      </c>
      <c r="BH546" s="43">
        <f t="shared" si="507"/>
        <v>-149.41010107595571</v>
      </c>
      <c r="BI546" s="41" t="str">
        <f t="shared" si="460"/>
        <v>4.3725611624322+0.102880341007321i</v>
      </c>
      <c r="BJ546" s="20">
        <f t="shared" si="508"/>
        <v>12.817121432167946</v>
      </c>
      <c r="BK546" s="43">
        <f t="shared" si="461"/>
        <v>1.3478420844468988</v>
      </c>
      <c r="BL546">
        <f t="shared" si="509"/>
        <v>-25.776809034563726</v>
      </c>
      <c r="BM546" s="43">
        <f t="shared" si="510"/>
        <v>-149.41010107595571</v>
      </c>
    </row>
    <row r="547" spans="14:65" x14ac:dyDescent="0.25">
      <c r="N547" s="9">
        <v>29</v>
      </c>
      <c r="O547" s="34">
        <f t="shared" si="462"/>
        <v>1949844.5997580495</v>
      </c>
      <c r="P547" s="33" t="str">
        <f t="shared" si="463"/>
        <v>16.5157725627975</v>
      </c>
      <c r="Q547" s="4" t="str">
        <f t="shared" si="464"/>
        <v>1+31699.7155494988i</v>
      </c>
      <c r="R547" s="4">
        <f t="shared" si="476"/>
        <v>31699.71556527181</v>
      </c>
      <c r="S547" s="4">
        <f t="shared" si="477"/>
        <v>1.5707647807705134</v>
      </c>
      <c r="T547" s="4" t="str">
        <f t="shared" si="465"/>
        <v>1+201.532814770949i</v>
      </c>
      <c r="U547" s="4">
        <f t="shared" si="478"/>
        <v>201.53529574122157</v>
      </c>
      <c r="V547" s="4">
        <f t="shared" si="479"/>
        <v>1.5658343964303283</v>
      </c>
      <c r="W547" t="str">
        <f t="shared" si="466"/>
        <v>1-3062.8087351208i</v>
      </c>
      <c r="X547" s="4">
        <f t="shared" si="480"/>
        <v>3062.8088983696448</v>
      </c>
      <c r="Y547" s="4">
        <f t="shared" si="481"/>
        <v>-1.5704698291089656</v>
      </c>
      <c r="Z547" t="str">
        <f t="shared" si="467"/>
        <v>-77.5515281654048+42.8793222916912i</v>
      </c>
      <c r="AA547" s="4">
        <f t="shared" si="482"/>
        <v>88.616453331107209</v>
      </c>
      <c r="AB547" s="4">
        <f t="shared" si="483"/>
        <v>2.6365149928934466</v>
      </c>
      <c r="AC547" s="47" t="str">
        <f t="shared" si="484"/>
        <v>-1.74139691342923+3.18401933855309i</v>
      </c>
      <c r="AD547" s="20">
        <f t="shared" si="485"/>
        <v>11.196003619456508</v>
      </c>
      <c r="AE547" s="43">
        <f t="shared" si="486"/>
        <v>118.67503500959592</v>
      </c>
      <c r="AF547" t="str">
        <f t="shared" si="468"/>
        <v>247.084651286898</v>
      </c>
      <c r="AG547" t="str">
        <f t="shared" si="469"/>
        <v>1+30999.9747806728i</v>
      </c>
      <c r="AH547">
        <f t="shared" si="487"/>
        <v>30999.974796801849</v>
      </c>
      <c r="AI547">
        <f t="shared" si="488"/>
        <v>1.5707640687041489</v>
      </c>
      <c r="AJ547" t="str">
        <f t="shared" si="470"/>
        <v>1+201.532814770949i</v>
      </c>
      <c r="AK547">
        <f t="shared" si="489"/>
        <v>201.53529574122157</v>
      </c>
      <c r="AL547">
        <f t="shared" si="490"/>
        <v>1.5658343964303283</v>
      </c>
      <c r="AM547" t="str">
        <f t="shared" si="471"/>
        <v>1-200.20386776593i</v>
      </c>
      <c r="AN547">
        <f t="shared" si="491"/>
        <v>200.20636520460081</v>
      </c>
      <c r="AO547">
        <f t="shared" si="492"/>
        <v>-1.5658014598379637</v>
      </c>
      <c r="AP547" s="41" t="str">
        <f t="shared" si="493"/>
        <v>0.0209664838455983-321.598063139053i</v>
      </c>
      <c r="AQ547">
        <f t="shared" si="494"/>
        <v>50.146268508385646</v>
      </c>
      <c r="AR547" s="43">
        <f t="shared" si="495"/>
        <v>-89.996264619810972</v>
      </c>
      <c r="AS547" t="str">
        <f t="shared" si="472"/>
        <v>-0.0000166666666666667</v>
      </c>
      <c r="AT547" t="str">
        <f t="shared" si="473"/>
        <v>0.041654198797643i</v>
      </c>
      <c r="AU547">
        <f t="shared" si="496"/>
        <v>4.1654198797642997E-2</v>
      </c>
      <c r="AV547">
        <f t="shared" si="497"/>
        <v>1.5707963267948966</v>
      </c>
      <c r="AW547" t="str">
        <f t="shared" si="474"/>
        <v>1+42.3316200237637i</v>
      </c>
      <c r="AX547">
        <f t="shared" si="498"/>
        <v>42.343429878037888</v>
      </c>
      <c r="AY547">
        <f t="shared" si="499"/>
        <v>1.5471777162558111</v>
      </c>
      <c r="AZ547" t="str">
        <f t="shared" si="475"/>
        <v>1+1439.27508080797i</v>
      </c>
      <c r="BA547">
        <f t="shared" si="500"/>
        <v>1439.2754282050355</v>
      </c>
      <c r="BB547">
        <f t="shared" si="501"/>
        <v>1.5701015326916556</v>
      </c>
      <c r="BC547" s="41" t="str">
        <f t="shared" si="502"/>
        <v>-0.000311743011242326+0.0135967064243425i</v>
      </c>
      <c r="BD547">
        <f t="shared" si="503"/>
        <v>-37.329043166571985</v>
      </c>
      <c r="BE547" s="43">
        <f t="shared" si="504"/>
        <v>91.313437932106538</v>
      </c>
      <c r="BF547" s="41" t="str">
        <f t="shared" si="505"/>
        <v>-0.042749307878175-0.0246698583766078i</v>
      </c>
      <c r="BG547" s="20">
        <f t="shared" si="506"/>
        <v>-26.133039547115477</v>
      </c>
      <c r="BH547" s="43">
        <f t="shared" si="507"/>
        <v>-150.01152705829747</v>
      </c>
      <c r="BI547" s="41" t="str">
        <f t="shared" si="460"/>
        <v>4.37266791498406+0.100541023738267i</v>
      </c>
      <c r="BJ547" s="20">
        <f t="shared" si="508"/>
        <v>12.817225341813664</v>
      </c>
      <c r="BK547" s="43">
        <f t="shared" si="461"/>
        <v>1.3171733122955549</v>
      </c>
      <c r="BL547">
        <f t="shared" si="509"/>
        <v>-26.133039547115477</v>
      </c>
      <c r="BM547" s="43">
        <f t="shared" si="510"/>
        <v>-150.01152705829747</v>
      </c>
    </row>
    <row r="548" spans="14:65" x14ac:dyDescent="0.25">
      <c r="N548" s="9">
        <v>30</v>
      </c>
      <c r="O548" s="34">
        <f t="shared" si="462"/>
        <v>1995262.31496888</v>
      </c>
      <c r="P548" s="33" t="str">
        <f t="shared" si="463"/>
        <v>16.5157725627975</v>
      </c>
      <c r="Q548" s="4" t="str">
        <f t="shared" si="464"/>
        <v>1+32438.0967790955i</v>
      </c>
      <c r="R548" s="4">
        <f t="shared" si="476"/>
        <v>32438.096794509474</v>
      </c>
      <c r="S548" s="4">
        <f t="shared" si="477"/>
        <v>1.5707654988456956</v>
      </c>
      <c r="T548" s="4" t="str">
        <f t="shared" si="465"/>
        <v>1+206.227117069727i</v>
      </c>
      <c r="U548" s="4">
        <f t="shared" si="478"/>
        <v>206.22954156689309</v>
      </c>
      <c r="V548" s="4">
        <f t="shared" si="479"/>
        <v>1.5659473419637782</v>
      </c>
      <c r="W548" t="str">
        <f t="shared" si="466"/>
        <v>1-3134.1507153454i</v>
      </c>
      <c r="X548" s="4">
        <f t="shared" si="480"/>
        <v>3134.1508748782471</v>
      </c>
      <c r="Y548" s="4">
        <f t="shared" si="481"/>
        <v>-1.5704772611031386</v>
      </c>
      <c r="Z548" t="str">
        <f t="shared" si="467"/>
        <v>-81.25354763502+43.8781100148356i</v>
      </c>
      <c r="AA548" s="4">
        <f t="shared" si="482"/>
        <v>92.344071502996229</v>
      </c>
      <c r="AB548" s="4">
        <f t="shared" si="483"/>
        <v>2.6464480102472514</v>
      </c>
      <c r="AC548" s="47" t="str">
        <f t="shared" si="484"/>
        <v>-1.67921501996603+3.14331627297219i</v>
      </c>
      <c r="AD548" s="20">
        <f t="shared" si="485"/>
        <v>11.038105695963761</v>
      </c>
      <c r="AE548" s="43">
        <f t="shared" si="486"/>
        <v>118.11191937519733</v>
      </c>
      <c r="AF548" t="str">
        <f t="shared" si="468"/>
        <v>247.084651286898</v>
      </c>
      <c r="AG548" t="str">
        <f t="shared" si="469"/>
        <v>1+31722.0569539427i</v>
      </c>
      <c r="AH548">
        <f t="shared" si="487"/>
        <v>31722.056969704605</v>
      </c>
      <c r="AI548">
        <f t="shared" si="488"/>
        <v>1.5707648029879404</v>
      </c>
      <c r="AJ548" t="str">
        <f t="shared" si="470"/>
        <v>1+206.227117069727i</v>
      </c>
      <c r="AK548">
        <f t="shared" si="489"/>
        <v>206.22954156689309</v>
      </c>
      <c r="AL548">
        <f t="shared" si="490"/>
        <v>1.5659473419637782</v>
      </c>
      <c r="AM548" t="str">
        <f t="shared" si="471"/>
        <v>1-204.867214912379i</v>
      </c>
      <c r="AN548">
        <f t="shared" si="491"/>
        <v>204.86965550309031</v>
      </c>
      <c r="AO548">
        <f t="shared" si="492"/>
        <v>-1.5659151550638841</v>
      </c>
      <c r="AP548" s="41" t="str">
        <f t="shared" si="493"/>
        <v>0.0209664722746111-329.088677285841i</v>
      </c>
      <c r="AQ548">
        <f t="shared" si="494"/>
        <v>50.346258819585429</v>
      </c>
      <c r="AR548" s="43">
        <f t="shared" si="495"/>
        <v>-89.996349645387696</v>
      </c>
      <c r="AS548" t="str">
        <f t="shared" si="472"/>
        <v>-0.0000166666666666667</v>
      </c>
      <c r="AT548" t="str">
        <f t="shared" si="473"/>
        <v>0.0426244497286974i</v>
      </c>
      <c r="AU548">
        <f t="shared" si="496"/>
        <v>4.2624449728697403E-2</v>
      </c>
      <c r="AV548">
        <f t="shared" si="497"/>
        <v>1.5707963267948966</v>
      </c>
      <c r="AW548" t="str">
        <f t="shared" si="474"/>
        <v>1+43.3176501222091i</v>
      </c>
      <c r="AX548">
        <f t="shared" si="498"/>
        <v>43.329191223817254</v>
      </c>
      <c r="AY548">
        <f t="shared" si="499"/>
        <v>1.5477151483236393</v>
      </c>
      <c r="AZ548" t="str">
        <f t="shared" si="475"/>
        <v>1+1472.80010415511i</v>
      </c>
      <c r="BA548">
        <f t="shared" si="500"/>
        <v>1472.8004436444546</v>
      </c>
      <c r="BB548">
        <f t="shared" si="501"/>
        <v>1.5701173481313915</v>
      </c>
      <c r="BC548" s="41" t="str">
        <f t="shared" si="502"/>
        <v>-0.000297719737904394+0.0132875313314415i</v>
      </c>
      <c r="BD548">
        <f t="shared" si="503"/>
        <v>-37.528934242040521</v>
      </c>
      <c r="BE548" s="43">
        <f t="shared" si="504"/>
        <v>91.283551500792996</v>
      </c>
      <c r="BF548" s="41" t="str">
        <f t="shared" si="505"/>
        <v>-0.0412669780061185-0.0232484494869657i</v>
      </c>
      <c r="BG548" s="20">
        <f t="shared" si="506"/>
        <v>-26.490828546076756</v>
      </c>
      <c r="BH548" s="43">
        <f t="shared" si="507"/>
        <v>-150.60452912400967</v>
      </c>
      <c r="BI548" s="41" t="str">
        <f t="shared" si="460"/>
        <v>4.37276986812562+0.098254787406103i</v>
      </c>
      <c r="BJ548" s="20">
        <f t="shared" si="508"/>
        <v>12.8173245775449</v>
      </c>
      <c r="BK548" s="43">
        <f t="shared" si="461"/>
        <v>1.2872018554052991</v>
      </c>
      <c r="BL548">
        <f t="shared" si="509"/>
        <v>-26.490828546076756</v>
      </c>
      <c r="BM548" s="43">
        <f t="shared" si="510"/>
        <v>-150.60452912400967</v>
      </c>
    </row>
    <row r="549" spans="14:65" x14ac:dyDescent="0.25">
      <c r="N549" s="9">
        <v>31</v>
      </c>
      <c r="O549" s="34">
        <f t="shared" si="462"/>
        <v>2041737.9446695296</v>
      </c>
      <c r="P549" s="33" t="str">
        <f t="shared" si="463"/>
        <v>16.5157725627975</v>
      </c>
      <c r="Q549" s="4" t="str">
        <f t="shared" si="464"/>
        <v>1+33193.6771169732i</v>
      </c>
      <c r="R549" s="4">
        <f t="shared" si="476"/>
        <v>33193.677132036311</v>
      </c>
      <c r="S549" s="4">
        <f t="shared" si="477"/>
        <v>1.5707662005754912</v>
      </c>
      <c r="T549" s="4" t="str">
        <f t="shared" si="465"/>
        <v>1+211.030763715714i</v>
      </c>
      <c r="U549" s="4">
        <f t="shared" si="478"/>
        <v>211.03313302521363</v>
      </c>
      <c r="V549" s="4">
        <f t="shared" si="479"/>
        <v>1.56605771666255</v>
      </c>
      <c r="W549" t="str">
        <f t="shared" si="466"/>
        <v>1-3207.15446376465i</v>
      </c>
      <c r="X549" s="4">
        <f t="shared" si="480"/>
        <v>3207.1546196660861</v>
      </c>
      <c r="Y549" s="4">
        <f t="shared" si="481"/>
        <v>-1.5704845239245044</v>
      </c>
      <c r="Z549" t="str">
        <f t="shared" si="467"/>
        <v>-85.1300379070935+44.9001624927051i</v>
      </c>
      <c r="AA549" s="4">
        <f t="shared" si="482"/>
        <v>96.245248952530105</v>
      </c>
      <c r="AB549" s="4">
        <f t="shared" si="483"/>
        <v>2.6562423645439903</v>
      </c>
      <c r="AC549" s="47" t="str">
        <f t="shared" si="484"/>
        <v>-1.61869003579291+3.10198752071174i</v>
      </c>
      <c r="AD549" s="20">
        <f t="shared" si="485"/>
        <v>10.878695454775817</v>
      </c>
      <c r="AE549" s="43">
        <f t="shared" si="486"/>
        <v>117.55661188017578</v>
      </c>
      <c r="AF549" t="str">
        <f t="shared" si="468"/>
        <v>247.084651286898</v>
      </c>
      <c r="AG549" t="str">
        <f t="shared" si="469"/>
        <v>1+32460.9585817004i</v>
      </c>
      <c r="AH549">
        <f t="shared" si="487"/>
        <v>32460.958597103516</v>
      </c>
      <c r="AI549">
        <f t="shared" si="488"/>
        <v>1.5707655205573923</v>
      </c>
      <c r="AJ549" t="str">
        <f t="shared" si="470"/>
        <v>1+211.030763715714i</v>
      </c>
      <c r="AK549">
        <f t="shared" si="489"/>
        <v>211.03313302521363</v>
      </c>
      <c r="AL549">
        <f t="shared" si="490"/>
        <v>1.56605771666255</v>
      </c>
      <c r="AM549" t="str">
        <f t="shared" si="471"/>
        <v>1-209.639185367912i</v>
      </c>
      <c r="AN549">
        <f t="shared" si="491"/>
        <v>209.64157040463556</v>
      </c>
      <c r="AO549">
        <f t="shared" si="492"/>
        <v>-1.566026262392439</v>
      </c>
      <c r="AP549" s="41" t="str">
        <f t="shared" si="493"/>
        <v>0.0209664612244094-336.75377860533i</v>
      </c>
      <c r="AQ549">
        <f t="shared" si="494"/>
        <v>50.546249566842967</v>
      </c>
      <c r="AR549" s="43">
        <f t="shared" si="495"/>
        <v>-89.9964327356833</v>
      </c>
      <c r="AS549" t="str">
        <f t="shared" si="472"/>
        <v>-0.0000166666666666667</v>
      </c>
      <c r="AT549" t="str">
        <f t="shared" si="473"/>
        <v>0.0436173007071994i</v>
      </c>
      <c r="AU549">
        <f t="shared" si="496"/>
        <v>4.3617300707199401E-2</v>
      </c>
      <c r="AV549">
        <f t="shared" si="497"/>
        <v>1.5707963267948966</v>
      </c>
      <c r="AW549" t="str">
        <f t="shared" si="474"/>
        <v>1+44.326647812126i</v>
      </c>
      <c r="AX549">
        <f t="shared" si="498"/>
        <v>44.337926273792448</v>
      </c>
      <c r="AY549">
        <f t="shared" si="499"/>
        <v>1.54824035983036</v>
      </c>
      <c r="AZ549" t="str">
        <f t="shared" si="475"/>
        <v>1+1507.10602561228i</v>
      </c>
      <c r="BA549">
        <f t="shared" si="500"/>
        <v>1507.1063573739054</v>
      </c>
      <c r="BB549">
        <f t="shared" si="501"/>
        <v>1.5701328035680955</v>
      </c>
      <c r="BC549" s="41" t="str">
        <f t="shared" si="502"/>
        <v>-0.000284326958589114+0.0129853723300304i</v>
      </c>
      <c r="BD549">
        <f t="shared" si="503"/>
        <v>-37.728830217365903</v>
      </c>
      <c r="BE549" s="43">
        <f t="shared" si="504"/>
        <v>91.254344629399853</v>
      </c>
      <c r="BF549" s="41" t="str">
        <f t="shared" si="505"/>
        <v>-0.0398202257047743-0.0219012714790265i</v>
      </c>
      <c r="BG549" s="20">
        <f t="shared" si="506"/>
        <v>-26.850134762590091</v>
      </c>
      <c r="BH549" s="43">
        <f t="shared" si="507"/>
        <v>-151.18904349042438</v>
      </c>
      <c r="BI549" s="41" t="str">
        <f t="shared" si="460"/>
        <v>4.37286723740468+0.0960204349696874i</v>
      </c>
      <c r="BJ549" s="20">
        <f t="shared" si="508"/>
        <v>12.81741934947706</v>
      </c>
      <c r="BK549" s="43">
        <f t="shared" si="461"/>
        <v>1.2579118937165519</v>
      </c>
      <c r="BL549">
        <f t="shared" si="509"/>
        <v>-26.850134762590091</v>
      </c>
      <c r="BM549" s="43">
        <f t="shared" si="510"/>
        <v>-151.18904349042438</v>
      </c>
    </row>
    <row r="550" spans="14:65" x14ac:dyDescent="0.25">
      <c r="N550" s="9">
        <v>32</v>
      </c>
      <c r="O550" s="34">
        <f t="shared" si="462"/>
        <v>2089296.1308540432</v>
      </c>
      <c r="P550" s="33" t="str">
        <f t="shared" si="463"/>
        <v>16.5157725627975</v>
      </c>
      <c r="Q550" s="4" t="str">
        <f t="shared" si="464"/>
        <v>1+33966.8571818289i</v>
      </c>
      <c r="R550" s="4">
        <f t="shared" si="476"/>
        <v>33966.857196549128</v>
      </c>
      <c r="S550" s="4">
        <f t="shared" si="477"/>
        <v>1.5707668863319666</v>
      </c>
      <c r="T550" s="4" t="str">
        <f t="shared" si="465"/>
        <v>1+215.946301665947i</v>
      </c>
      <c r="U550" s="4">
        <f t="shared" si="478"/>
        <v>215.94861704396297</v>
      </c>
      <c r="V550" s="4">
        <f t="shared" si="479"/>
        <v>1.5661655790380071</v>
      </c>
      <c r="W550" t="str">
        <f t="shared" si="466"/>
        <v>1-3281.85868793233i</v>
      </c>
      <c r="X550" s="4">
        <f t="shared" si="480"/>
        <v>3281.8588402850173</v>
      </c>
      <c r="Y550" s="4">
        <f t="shared" si="481"/>
        <v>-1.570491621423904</v>
      </c>
      <c r="Z550" t="str">
        <f t="shared" si="467"/>
        <v>-89.1892215372249+45.9460216310525i</v>
      </c>
      <c r="AA550" s="4">
        <f t="shared" si="482"/>
        <v>100.32823202936115</v>
      </c>
      <c r="AB550" s="4">
        <f t="shared" si="483"/>
        <v>2.66589691176996</v>
      </c>
      <c r="AC550" s="47" t="str">
        <f t="shared" si="484"/>
        <v>-1.55981830784911+3.06010347032309i</v>
      </c>
      <c r="AD550" s="20">
        <f t="shared" si="485"/>
        <v>10.71781386644539</v>
      </c>
      <c r="AE550" s="43">
        <f t="shared" si="486"/>
        <v>117.00918118218756</v>
      </c>
      <c r="AF550" t="str">
        <f t="shared" si="468"/>
        <v>247.084651286898</v>
      </c>
      <c r="AG550" t="str">
        <f t="shared" si="469"/>
        <v>1+33217.07143937i</v>
      </c>
      <c r="AH550">
        <f t="shared" si="487"/>
        <v>33217.071454422497</v>
      </c>
      <c r="AI550">
        <f t="shared" si="488"/>
        <v>1.5707662217929694</v>
      </c>
      <c r="AJ550" t="str">
        <f t="shared" si="470"/>
        <v>1+215.946301665947i</v>
      </c>
      <c r="AK550">
        <f t="shared" si="489"/>
        <v>215.94861704396297</v>
      </c>
      <c r="AL550">
        <f t="shared" si="490"/>
        <v>1.5661655790380071</v>
      </c>
      <c r="AM550" t="str">
        <f t="shared" si="471"/>
        <v>1-214.522309294432i</v>
      </c>
      <c r="AN550">
        <f t="shared" si="491"/>
        <v>214.52464004168831</v>
      </c>
      <c r="AO550">
        <f t="shared" si="492"/>
        <v>-1.5661348407232256</v>
      </c>
      <c r="AP550" s="41" t="str">
        <f t="shared" si="493"/>
        <v>0.0209664506715434-344.597431235703i</v>
      </c>
      <c r="AQ550">
        <f t="shared" si="494"/>
        <v>50.74624073053343</v>
      </c>
      <c r="AR550" s="43">
        <f t="shared" si="495"/>
        <v>-89.996513934741017</v>
      </c>
      <c r="AS550" t="str">
        <f t="shared" si="472"/>
        <v>-0.0000166666666666667</v>
      </c>
      <c r="AT550" t="str">
        <f t="shared" si="473"/>
        <v>0.0446332781558796i</v>
      </c>
      <c r="AU550">
        <f t="shared" si="496"/>
        <v>4.4633278155879599E-2</v>
      </c>
      <c r="AV550">
        <f t="shared" si="497"/>
        <v>1.5707963267948966</v>
      </c>
      <c r="AW550" t="str">
        <f t="shared" si="474"/>
        <v>1+45.3591480774458i</v>
      </c>
      <c r="AX550">
        <f t="shared" si="498"/>
        <v>45.370169873074701</v>
      </c>
      <c r="AY550">
        <f t="shared" si="499"/>
        <v>1.5487536280903773</v>
      </c>
      <c r="AZ550" t="str">
        <f t="shared" si="475"/>
        <v>1+1542.21103463316i</v>
      </c>
      <c r="BA550">
        <f t="shared" si="500"/>
        <v>1542.2113588429704</v>
      </c>
      <c r="BB550">
        <f t="shared" si="501"/>
        <v>1.5701479071964151</v>
      </c>
      <c r="BC550" s="41" t="str">
        <f t="shared" si="502"/>
        <v>-0.000271536354178364+0.0126900711539866i</v>
      </c>
      <c r="BD550">
        <f t="shared" si="503"/>
        <v>-37.928730872242696</v>
      </c>
      <c r="BE550" s="43">
        <f t="shared" si="504"/>
        <v>91.225801898500876</v>
      </c>
      <c r="BF550" s="41" t="str">
        <f t="shared" si="505"/>
        <v>-0.0384093834004673-0.0206251346536363i</v>
      </c>
      <c r="BG550" s="20">
        <f t="shared" si="506"/>
        <v>-27.21091700579731</v>
      </c>
      <c r="BH550" s="43">
        <f t="shared" si="507"/>
        <v>-151.76501691931153</v>
      </c>
      <c r="BI550" s="41" t="str">
        <f t="shared" si="460"/>
        <v>4.3729602287085+0.0938367958878407i</v>
      </c>
      <c r="BJ550" s="20">
        <f t="shared" si="508"/>
        <v>12.817509858290725</v>
      </c>
      <c r="BK550" s="43">
        <f t="shared" si="461"/>
        <v>1.2292879637598597</v>
      </c>
      <c r="BL550">
        <f t="shared" si="509"/>
        <v>-27.21091700579731</v>
      </c>
      <c r="BM550" s="43">
        <f t="shared" si="510"/>
        <v>-151.76501691931153</v>
      </c>
    </row>
    <row r="551" spans="14:65" x14ac:dyDescent="0.25">
      <c r="N551" s="9">
        <v>33</v>
      </c>
      <c r="O551" s="34">
        <f t="shared" si="462"/>
        <v>2137962.0895022359</v>
      </c>
      <c r="P551" s="33" t="str">
        <f t="shared" si="463"/>
        <v>16.5157725627975</v>
      </c>
      <c r="Q551" s="4" t="str">
        <f t="shared" si="464"/>
        <v>1+34758.0469239666i</v>
      </c>
      <c r="R551" s="4">
        <f t="shared" si="476"/>
        <v>34758.046938351748</v>
      </c>
      <c r="S551" s="4">
        <f t="shared" si="477"/>
        <v>1.5707675564787189</v>
      </c>
      <c r="T551" s="4" t="str">
        <f t="shared" si="465"/>
        <v>1+220.976337203709i</v>
      </c>
      <c r="U551" s="4">
        <f t="shared" si="478"/>
        <v>220.97859987783275</v>
      </c>
      <c r="V551" s="4">
        <f t="shared" si="479"/>
        <v>1.5662709862701634</v>
      </c>
      <c r="W551" t="str">
        <f t="shared" si="466"/>
        <v>1-3358.30299701685i</v>
      </c>
      <c r="X551" s="4">
        <f t="shared" si="480"/>
        <v>3358.3031459015665</v>
      </c>
      <c r="Y551" s="4">
        <f t="shared" si="481"/>
        <v>-1.5704985573645227</v>
      </c>
      <c r="Z551" t="str">
        <f t="shared" si="467"/>
        <v>-93.4397085981149+47.0162419582359i</v>
      </c>
      <c r="AA551" s="4">
        <f t="shared" si="482"/>
        <v>104.60165462733373</v>
      </c>
      <c r="AB551" s="4">
        <f t="shared" si="483"/>
        <v>2.6754106920859151</v>
      </c>
      <c r="AC551" s="47" t="str">
        <f t="shared" si="484"/>
        <v>-1.50259295915985+3.01773263793309i</v>
      </c>
      <c r="AD551" s="20">
        <f t="shared" si="485"/>
        <v>10.555501753379318</v>
      </c>
      <c r="AE551" s="43">
        <f t="shared" si="486"/>
        <v>116.4696853156964</v>
      </c>
      <c r="AF551" t="str">
        <f t="shared" si="468"/>
        <v>247.084651286898</v>
      </c>
      <c r="AG551" t="str">
        <f t="shared" si="469"/>
        <v>1+33990.7964279964i</v>
      </c>
      <c r="AH551">
        <f t="shared" si="487"/>
        <v>33990.796442706262</v>
      </c>
      <c r="AI551">
        <f t="shared" si="488"/>
        <v>1.570766907066476</v>
      </c>
      <c r="AJ551" t="str">
        <f t="shared" si="470"/>
        <v>1+220.976337203709i</v>
      </c>
      <c r="AK551">
        <f t="shared" si="489"/>
        <v>220.97859987783275</v>
      </c>
      <c r="AL551">
        <f t="shared" si="490"/>
        <v>1.5662709862701634</v>
      </c>
      <c r="AM551" t="str">
        <f t="shared" si="471"/>
        <v>1-219.519175788876i</v>
      </c>
      <c r="AN551">
        <f t="shared" si="491"/>
        <v>219.52145348240441</v>
      </c>
      <c r="AO551">
        <f t="shared" si="492"/>
        <v>-1.5662409476156656</v>
      </c>
      <c r="AP551" s="41" t="str">
        <f t="shared" si="493"/>
        <v>0.0209664405936413-352.623793985403i</v>
      </c>
      <c r="AQ551">
        <f t="shared" si="494"/>
        <v>50.946232291914924</v>
      </c>
      <c r="AR551" s="43">
        <f t="shared" si="495"/>
        <v>-89.996593285602103</v>
      </c>
      <c r="AS551" t="str">
        <f t="shared" si="472"/>
        <v>-0.0000166666666666667</v>
      </c>
      <c r="AT551" t="str">
        <f t="shared" si="473"/>
        <v>0.0456729207594292i</v>
      </c>
      <c r="AU551">
        <f t="shared" si="496"/>
        <v>4.5672920759429199E-2</v>
      </c>
      <c r="AV551">
        <f t="shared" si="497"/>
        <v>1.5707963267948966</v>
      </c>
      <c r="AW551" t="str">
        <f t="shared" si="474"/>
        <v>1+46.4156983634752i</v>
      </c>
      <c r="AX551">
        <f t="shared" si="498"/>
        <v>46.426469331288963</v>
      </c>
      <c r="AY551">
        <f t="shared" si="499"/>
        <v>1.5492552241629556</v>
      </c>
      <c r="AZ551" t="str">
        <f t="shared" si="475"/>
        <v>1+1578.13374435816i</v>
      </c>
      <c r="BA551">
        <f t="shared" si="500"/>
        <v>1578.1340611880555</v>
      </c>
      <c r="BB551">
        <f t="shared" si="501"/>
        <v>1.5701626670244662</v>
      </c>
      <c r="BC551" s="41" t="str">
        <f t="shared" si="502"/>
        <v>-0.000259320875045196+0.0124014730438505i</v>
      </c>
      <c r="BD551">
        <f t="shared" si="503"/>
        <v>-38.128635996261515</v>
      </c>
      <c r="BE551" s="43">
        <f t="shared" si="504"/>
        <v>91.197908236375483</v>
      </c>
      <c r="BF551" s="41" t="str">
        <f t="shared" si="505"/>
        <v>-0.037034676241869-0.0194169271472217i</v>
      </c>
      <c r="BG551" s="20">
        <f t="shared" si="506"/>
        <v>-27.573134242882197</v>
      </c>
      <c r="BH551" s="43">
        <f t="shared" si="507"/>
        <v>-152.33240644792809</v>
      </c>
      <c r="BI551" s="41" t="str">
        <f t="shared" si="460"/>
        <v>4.37304903869455+0.0917027255658991i</v>
      </c>
      <c r="BJ551" s="20">
        <f t="shared" si="508"/>
        <v>12.817596295653416</v>
      </c>
      <c r="BK551" s="43">
        <f t="shared" si="461"/>
        <v>1.2013149507733787</v>
      </c>
      <c r="BL551">
        <f t="shared" si="509"/>
        <v>-27.573134242882197</v>
      </c>
      <c r="BM551" s="43">
        <f t="shared" si="510"/>
        <v>-152.33240644792809</v>
      </c>
    </row>
    <row r="552" spans="14:65" x14ac:dyDescent="0.25">
      <c r="N552" s="9">
        <v>34</v>
      </c>
      <c r="O552" s="34">
        <f t="shared" si="462"/>
        <v>2187761.6239495561</v>
      </c>
      <c r="P552" s="33" t="str">
        <f t="shared" si="463"/>
        <v>16.5157725627975</v>
      </c>
      <c r="Q552" s="4" t="str">
        <f t="shared" si="464"/>
        <v>1+35567.6658426607i</v>
      </c>
      <c r="R552" s="4">
        <f t="shared" si="476"/>
        <v>35567.665856718413</v>
      </c>
      <c r="S552" s="4">
        <f t="shared" si="477"/>
        <v>1.5707682113710686</v>
      </c>
      <c r="T552" s="4" t="str">
        <f t="shared" si="465"/>
        <v>1+226.123537320424i</v>
      </c>
      <c r="U552" s="4">
        <f t="shared" si="478"/>
        <v>226.12574849030611</v>
      </c>
      <c r="V552" s="4">
        <f t="shared" si="479"/>
        <v>1.5663739942379542</v>
      </c>
      <c r="W552" t="str">
        <f t="shared" si="466"/>
        <v>1-3436.5279228028i</v>
      </c>
      <c r="X552" s="4">
        <f t="shared" si="480"/>
        <v>3436.5280682984862</v>
      </c>
      <c r="Y552" s="4">
        <f t="shared" si="481"/>
        <v>-1.5705053354238854</v>
      </c>
      <c r="Z552" t="str">
        <f t="shared" si="467"/>
        <v>-97.890514942694+48.1113909192392i</v>
      </c>
      <c r="AA552" s="4">
        <f t="shared" si="482"/>
        <v>109.07455639116598</v>
      </c>
      <c r="AB552" s="4">
        <f t="shared" si="483"/>
        <v>2.6847829246105186</v>
      </c>
      <c r="AC552" s="47" t="str">
        <f t="shared" si="484"/>
        <v>-1.4470040888462+2.97494153197775i</v>
      </c>
      <c r="AD552" s="20">
        <f t="shared" si="485"/>
        <v>10.391799714142513</v>
      </c>
      <c r="AE552" s="43">
        <f t="shared" si="486"/>
        <v>115.93817199246942</v>
      </c>
      <c r="AF552" t="str">
        <f t="shared" si="468"/>
        <v>247.084651286898</v>
      </c>
      <c r="AG552" t="str">
        <f t="shared" si="469"/>
        <v>1+34782.5437868104i</v>
      </c>
      <c r="AH552">
        <f t="shared" si="487"/>
        <v>34782.54380118542</v>
      </c>
      <c r="AI552">
        <f t="shared" si="488"/>
        <v>1.5707675767412532</v>
      </c>
      <c r="AJ552" t="str">
        <f t="shared" si="470"/>
        <v>1+226.123537320424i</v>
      </c>
      <c r="AK552">
        <f t="shared" si="489"/>
        <v>226.12574849030611</v>
      </c>
      <c r="AL552">
        <f t="shared" si="490"/>
        <v>1.5663739942379542</v>
      </c>
      <c r="AM552" t="str">
        <f t="shared" si="471"/>
        <v>1-224.632434256004i</v>
      </c>
      <c r="AN552">
        <f t="shared" si="491"/>
        <v>224.63466010341759</v>
      </c>
      <c r="AO552">
        <f t="shared" si="492"/>
        <v>-1.5663446393194755</v>
      </c>
      <c r="AP552" s="41" t="str">
        <f t="shared" si="493"/>
        <v>0.0209664309693123-360.837122538199i</v>
      </c>
      <c r="AQ552">
        <f t="shared" si="494"/>
        <v>51.1462242330891</v>
      </c>
      <c r="AR552" s="43">
        <f t="shared" si="495"/>
        <v>-89.996670830328682</v>
      </c>
      <c r="AS552" t="str">
        <f t="shared" si="472"/>
        <v>-0.0000166666666666667</v>
      </c>
      <c r="AT552" t="str">
        <f t="shared" si="473"/>
        <v>0.0467367797501181i</v>
      </c>
      <c r="AU552">
        <f t="shared" si="496"/>
        <v>4.6736779750118099E-2</v>
      </c>
      <c r="AV552">
        <f t="shared" si="497"/>
        <v>1.5707963267948966</v>
      </c>
      <c r="AW552" t="str">
        <f t="shared" si="474"/>
        <v>1+47.4968588671615i</v>
      </c>
      <c r="AX552">
        <f t="shared" si="498"/>
        <v>47.507384712769216</v>
      </c>
      <c r="AY552">
        <f t="shared" si="499"/>
        <v>1.5497454129907859</v>
      </c>
      <c r="AZ552" t="str">
        <f t="shared" si="475"/>
        <v>1+1614.89320148349i</v>
      </c>
      <c r="BA552">
        <f t="shared" si="500"/>
        <v>1614.8935111014584</v>
      </c>
      <c r="BB552">
        <f t="shared" si="501"/>
        <v>1.5701770908780794</v>
      </c>
      <c r="BC552" s="41" t="str">
        <f t="shared" si="502"/>
        <v>-0.000247654684363506+0.0121194266733878i</v>
      </c>
      <c r="BD552">
        <f t="shared" si="503"/>
        <v>-38.328545388464711</v>
      </c>
      <c r="BE552" s="43">
        <f t="shared" si="504"/>
        <v>91.170648911312682</v>
      </c>
      <c r="BF552" s="41" t="str">
        <f t="shared" si="505"/>
        <v>-0.0356962284135244-0.0182736181569657i</v>
      </c>
      <c r="BG552" s="20">
        <f t="shared" si="506"/>
        <v>-27.9367456743222</v>
      </c>
      <c r="BH552" s="43">
        <f t="shared" si="507"/>
        <v>-152.89117909621788</v>
      </c>
      <c r="BI552" s="41" t="str">
        <f t="shared" si="460"/>
        <v>4.37313385520311+0.0896171048115686i</v>
      </c>
      <c r="BJ552" s="20">
        <f t="shared" si="508"/>
        <v>12.817678844624394</v>
      </c>
      <c r="BK552" s="43">
        <f t="shared" si="461"/>
        <v>1.1739780809840181</v>
      </c>
      <c r="BL552">
        <f t="shared" si="509"/>
        <v>-27.9367456743222</v>
      </c>
      <c r="BM552" s="43">
        <f t="shared" si="510"/>
        <v>-152.89117909621788</v>
      </c>
    </row>
    <row r="553" spans="14:65" x14ac:dyDescent="0.25">
      <c r="N553" s="9">
        <v>35</v>
      </c>
      <c r="O553" s="34">
        <f t="shared" si="462"/>
        <v>2238721.1385683389</v>
      </c>
      <c r="P553" s="33" t="str">
        <f t="shared" si="463"/>
        <v>16.5157725627975</v>
      </c>
      <c r="Q553" s="4" t="str">
        <f t="shared" si="464"/>
        <v>1+36396.1432085781i</v>
      </c>
      <c r="R553" s="4">
        <f t="shared" si="476"/>
        <v>36396.143222315819</v>
      </c>
      <c r="S553" s="4">
        <f t="shared" si="477"/>
        <v>1.5707688513562488</v>
      </c>
      <c r="T553" s="4" t="str">
        <f t="shared" si="465"/>
        <v>1+231.390631129725i</v>
      </c>
      <c r="U553" s="4">
        <f t="shared" si="478"/>
        <v>231.39279196771116</v>
      </c>
      <c r="V553" s="4">
        <f t="shared" si="479"/>
        <v>1.5664746575488186</v>
      </c>
      <c r="W553" t="str">
        <f t="shared" si="466"/>
        <v>1-3516.57494118122i</v>
      </c>
      <c r="X553" s="4">
        <f t="shared" si="480"/>
        <v>3516.5750833650209</v>
      </c>
      <c r="Y553" s="4">
        <f t="shared" si="481"/>
        <v>-1.5705119591958063</v>
      </c>
      <c r="Z553" t="str">
        <f t="shared" si="467"/>
        <v>-102.551081327948+49.2320491765371i</v>
      </c>
      <c r="AA553" s="4">
        <f t="shared" si="482"/>
        <v>113.75640178755818</v>
      </c>
      <c r="AB553" s="4">
        <f t="shared" si="483"/>
        <v>2.6940130018435098</v>
      </c>
      <c r="AC553" s="47" t="str">
        <f t="shared" si="484"/>
        <v>-1.39303897466123+2.93179453676766i</v>
      </c>
      <c r="AD553" s="20">
        <f t="shared" si="485"/>
        <v>10.226748052659822</v>
      </c>
      <c r="AE553" s="43">
        <f t="shared" si="486"/>
        <v>115.41467892267842</v>
      </c>
      <c r="AF553" t="str">
        <f t="shared" si="468"/>
        <v>247.084651286898</v>
      </c>
      <c r="AG553" t="str">
        <f t="shared" si="469"/>
        <v>1+35592.7333107414i</v>
      </c>
      <c r="AH553">
        <f t="shared" si="487"/>
        <v>35592.733324789209</v>
      </c>
      <c r="AI553">
        <f t="shared" si="488"/>
        <v>1.5707682311723714</v>
      </c>
      <c r="AJ553" t="str">
        <f t="shared" si="470"/>
        <v>1+231.390631129725i</v>
      </c>
      <c r="AK553">
        <f t="shared" si="489"/>
        <v>231.39279196771116</v>
      </c>
      <c r="AL553">
        <f t="shared" si="490"/>
        <v>1.5664746575488186</v>
      </c>
      <c r="AM553" t="str">
        <f t="shared" si="471"/>
        <v>1-229.864795813135i</v>
      </c>
      <c r="AN553">
        <f t="shared" si="491"/>
        <v>229.86697099456075</v>
      </c>
      <c r="AO553">
        <f t="shared" si="492"/>
        <v>-1.5664459708044449</v>
      </c>
      <c r="AP553" s="41" t="str">
        <f t="shared" si="493"/>
        <v>0.0209664217781575-369.241771709606i</v>
      </c>
      <c r="AQ553">
        <f>20*LOG(IMABS(AP553))</f>
        <v>51.346216536963141</v>
      </c>
      <c r="AR553" s="43">
        <f t="shared" si="495"/>
        <v>-89.996746610025937</v>
      </c>
      <c r="AS553" t="str">
        <f t="shared" si="472"/>
        <v>-0.0000166666666666667</v>
      </c>
      <c r="AT553" t="str">
        <f t="shared" si="473"/>
        <v>0.0478254192000648i</v>
      </c>
      <c r="AU553">
        <f t="shared" si="496"/>
        <v>4.7825419200064799E-2</v>
      </c>
      <c r="AV553">
        <f t="shared" si="497"/>
        <v>1.5707963267948966</v>
      </c>
      <c r="AW553" t="str">
        <f t="shared" si="474"/>
        <v>1+48.6032028341141i</v>
      </c>
      <c r="AX553">
        <f t="shared" si="498"/>
        <v>48.613489133511457</v>
      </c>
      <c r="AY553">
        <f t="shared" si="499"/>
        <v>1.5502244535356529</v>
      </c>
      <c r="AZ553" t="str">
        <f t="shared" si="475"/>
        <v>1+1652.50889635988i</v>
      </c>
      <c r="BA553">
        <f t="shared" si="500"/>
        <v>1652.5091989300845</v>
      </c>
      <c r="BB553">
        <f t="shared" si="501"/>
        <v>1.5701911864049491</v>
      </c>
      <c r="BC553" s="41" t="str">
        <f t="shared" si="502"/>
        <v>-0.000236513103930034+0.0118437840773984i</v>
      </c>
      <c r="BD553">
        <f t="shared" si="503"/>
        <v>-38.528458856922697</v>
      </c>
      <c r="BE553" s="43">
        <f t="shared" si="504"/>
        <v>91.144009524075813</v>
      </c>
      <c r="BF553" s="41" t="str">
        <f t="shared" si="505"/>
        <v>-0.0343940694809798-0.0171922606532641i</v>
      </c>
      <c r="BG553" s="20">
        <f t="shared" si="506"/>
        <v>-28.301710804262878</v>
      </c>
      <c r="BH553" s="43">
        <f t="shared" si="507"/>
        <v>-153.44131155324578</v>
      </c>
      <c r="BI553" s="41" t="str">
        <f t="shared" si="460"/>
        <v>4.37321485765111+0.0875788393000801i</v>
      </c>
      <c r="BJ553" s="20">
        <f t="shared" si="508"/>
        <v>12.817757680040438</v>
      </c>
      <c r="BK553" s="43">
        <f t="shared" si="461"/>
        <v>1.1472629140498865</v>
      </c>
      <c r="BL553">
        <f t="shared" si="509"/>
        <v>-28.301710804262878</v>
      </c>
      <c r="BM553" s="43">
        <f t="shared" si="510"/>
        <v>-153.44131155324578</v>
      </c>
    </row>
    <row r="554" spans="14:65" x14ac:dyDescent="0.25">
      <c r="N554" s="9">
        <v>36</v>
      </c>
      <c r="O554" s="34">
        <f t="shared" si="462"/>
        <v>2290867.6527677765</v>
      </c>
      <c r="P554" s="33" t="str">
        <f t="shared" si="463"/>
        <v>16.5157725627975</v>
      </c>
      <c r="Q554" s="4" t="str">
        <f t="shared" si="464"/>
        <v>1+37243.9182913849i</v>
      </c>
      <c r="R554" s="4">
        <f t="shared" si="476"/>
        <v>37243.918304809908</v>
      </c>
      <c r="S554" s="4">
        <f t="shared" si="477"/>
        <v>1.5707694767735876</v>
      </c>
      <c r="T554" s="4" t="str">
        <f t="shared" si="465"/>
        <v>1+236.78041131447i</v>
      </c>
      <c r="U554" s="4">
        <f t="shared" si="478"/>
        <v>236.78252296622227</v>
      </c>
      <c r="V554" s="4">
        <f t="shared" si="479"/>
        <v>1.5665730295676117</v>
      </c>
      <c r="W554" t="str">
        <f t="shared" si="466"/>
        <v>1-3598.48649414088i</v>
      </c>
      <c r="X554" s="4">
        <f t="shared" si="480"/>
        <v>3598.4866330881823</v>
      </c>
      <c r="Y554" s="4">
        <f t="shared" si="481"/>
        <v>-1.5705184321922945</v>
      </c>
      <c r="Z554" t="str">
        <f t="shared" si="467"/>
        <v>-107.431293440037+50.3788109179722i</v>
      </c>
      <c r="AA554" s="4">
        <f t="shared" si="482"/>
        <v>118.65710008131892</v>
      </c>
      <c r="AB554" s="4">
        <f t="shared" si="483"/>
        <v>2.7031004837810846</v>
      </c>
      <c r="AC554" s="47" t="str">
        <f t="shared" si="484"/>
        <v>-1.34068227642166+2.88835381430125i</v>
      </c>
      <c r="AD554" s="20">
        <f t="shared" si="485"/>
        <v>10.060386712356891</v>
      </c>
      <c r="AE554" s="43">
        <f t="shared" si="486"/>
        <v>114.89923415359952</v>
      </c>
      <c r="AF554" t="str">
        <f t="shared" si="468"/>
        <v>247.084651286898</v>
      </c>
      <c r="AG554" t="str">
        <f t="shared" si="469"/>
        <v>1+36421.7945729997i</v>
      </c>
      <c r="AH554">
        <f t="shared" si="487"/>
        <v>36421.794586727738</v>
      </c>
      <c r="AI554">
        <f t="shared" si="488"/>
        <v>1.5707688707068188</v>
      </c>
      <c r="AJ554" t="str">
        <f t="shared" si="470"/>
        <v>1+236.78041131447i</v>
      </c>
      <c r="AK554">
        <f t="shared" si="489"/>
        <v>236.78252296622227</v>
      </c>
      <c r="AL554">
        <f t="shared" si="490"/>
        <v>1.5665730295676117</v>
      </c>
      <c r="AM554" t="str">
        <f t="shared" si="471"/>
        <v>1-235.219034727629i</v>
      </c>
      <c r="AN554">
        <f t="shared" si="491"/>
        <v>235.22116039633326</v>
      </c>
      <c r="AO554">
        <f t="shared" si="492"/>
        <v>-1.5665449957895399</v>
      </c>
      <c r="AP554" s="41" t="str">
        <f t="shared" si="493"/>
        <v>0.0209664130006681-377.842197755872i</v>
      </c>
      <c r="AQ554">
        <f t="shared" si="494"/>
        <v>51.546209187213677</v>
      </c>
      <c r="AR554" s="43">
        <f t="shared" si="495"/>
        <v>-89.99682066486389</v>
      </c>
      <c r="AS554" t="str">
        <f t="shared" si="472"/>
        <v>-0.0000166666666666667</v>
      </c>
      <c r="AT554" t="str">
        <f t="shared" si="473"/>
        <v>0.0489394163203158i</v>
      </c>
      <c r="AU554">
        <f t="shared" si="496"/>
        <v>4.8939416320315801E-2</v>
      </c>
      <c r="AV554">
        <f t="shared" si="497"/>
        <v>1.5707963267948966</v>
      </c>
      <c r="AW554" t="str">
        <f t="shared" si="474"/>
        <v>1+49.7353168625494i</v>
      </c>
      <c r="AX554">
        <f t="shared" si="498"/>
        <v>49.745369065051584</v>
      </c>
      <c r="AY554">
        <f t="shared" si="499"/>
        <v>1.5506925989112488</v>
      </c>
      <c r="AZ554" t="str">
        <f t="shared" si="475"/>
        <v>1+1691.00077332668i</v>
      </c>
      <c r="BA554">
        <f t="shared" si="500"/>
        <v>1691.0010690095469</v>
      </c>
      <c r="BB554">
        <f t="shared" si="501"/>
        <v>1.5702049610786872</v>
      </c>
      <c r="BC554" s="41" t="str">
        <f t="shared" si="502"/>
        <v>-0.000225872562389019+0.0115744005807724i</v>
      </c>
      <c r="BD554">
        <f t="shared" si="503"/>
        <v>-38.728376218329366</v>
      </c>
      <c r="BE554" s="43">
        <f t="shared" si="504"/>
        <v>91.117976000524948</v>
      </c>
      <c r="BF554" s="41" t="str">
        <f t="shared" si="505"/>
        <v>-0.0331281407245997-0.0161699935959684i</v>
      </c>
      <c r="BG554" s="20">
        <f t="shared" si="506"/>
        <v>-28.667989505972468</v>
      </c>
      <c r="BH554" s="43">
        <f t="shared" si="507"/>
        <v>-153.9827898458756</v>
      </c>
      <c r="BI554" s="41" t="str">
        <f t="shared" si="460"/>
        <v>4.37329221740846+0.0855868590486289i</v>
      </c>
      <c r="BJ554" s="20">
        <f t="shared" si="508"/>
        <v>12.817832968884327</v>
      </c>
      <c r="BK554" s="43">
        <f t="shared" si="461"/>
        <v>1.1211553356610744</v>
      </c>
      <c r="BL554">
        <f t="shared" si="509"/>
        <v>-28.667989505972468</v>
      </c>
      <c r="BM554" s="43">
        <f t="shared" si="510"/>
        <v>-153.9827898458756</v>
      </c>
    </row>
    <row r="555" spans="14:65" x14ac:dyDescent="0.25">
      <c r="N555" s="9">
        <v>37</v>
      </c>
      <c r="O555" s="34">
        <f t="shared" si="462"/>
        <v>2344228.8153199251</v>
      </c>
      <c r="P555" s="33" t="str">
        <f t="shared" si="463"/>
        <v>16.5157725627975</v>
      </c>
      <c r="Q555" s="4" t="str">
        <f t="shared" si="464"/>
        <v>1+38111.4405926512i</v>
      </c>
      <c r="R555" s="4">
        <f t="shared" si="476"/>
        <v>38111.440605770622</v>
      </c>
      <c r="S555" s="4">
        <f t="shared" si="477"/>
        <v>1.5707700879546895</v>
      </c>
      <c r="T555" s="4" t="str">
        <f t="shared" si="465"/>
        <v>1+242.295735607452i</v>
      </c>
      <c r="U555" s="4">
        <f t="shared" si="478"/>
        <v>242.29779919255617</v>
      </c>
      <c r="V555" s="4">
        <f t="shared" si="479"/>
        <v>1.5666691624448599</v>
      </c>
      <c r="W555" t="str">
        <f t="shared" si="466"/>
        <v>1-3682.3060122713i</v>
      </c>
      <c r="X555" s="4">
        <f t="shared" si="480"/>
        <v>3682.3061480557753</v>
      </c>
      <c r="Y555" s="4">
        <f t="shared" si="481"/>
        <v>-1.5705247578454165</v>
      </c>
      <c r="Z555" t="str">
        <f t="shared" si="467"/>
        <v>-112.541502863147+51.5522841717982i</v>
      </c>
      <c r="AA555" s="4">
        <f t="shared" si="482"/>
        <v>123.78702625891599</v>
      </c>
      <c r="AB555" s="4">
        <f t="shared" si="483"/>
        <v>2.7120450917739993</v>
      </c>
      <c r="AC555" s="47" t="str">
        <f t="shared" si="484"/>
        <v>-1.28991623883817+2.84467922362226i</v>
      </c>
      <c r="AD555" s="20">
        <f t="shared" si="485"/>
        <v>9.892755215246849</v>
      </c>
      <c r="AE555" s="43">
        <f t="shared" si="486"/>
        <v>114.39185642302091</v>
      </c>
      <c r="AF555" t="str">
        <f t="shared" si="468"/>
        <v>247.084651286898</v>
      </c>
      <c r="AG555" t="str">
        <f t="shared" si="469"/>
        <v>1+37270.1671528399i</v>
      </c>
      <c r="AH555">
        <f t="shared" si="487"/>
        <v>37270.167166255458</v>
      </c>
      <c r="AI555">
        <f t="shared" si="488"/>
        <v>1.5707694956836848</v>
      </c>
      <c r="AJ555" t="str">
        <f t="shared" si="470"/>
        <v>1+242.295735607452i</v>
      </c>
      <c r="AK555">
        <f t="shared" si="489"/>
        <v>242.29779919255617</v>
      </c>
      <c r="AL555">
        <f t="shared" si="490"/>
        <v>1.5666691624448599</v>
      </c>
      <c r="AM555" t="str">
        <f t="shared" si="471"/>
        <v>1-240.697989887826i</v>
      </c>
      <c r="AN555">
        <f t="shared" si="491"/>
        <v>240.70006717082566</v>
      </c>
      <c r="AO555">
        <f t="shared" si="492"/>
        <v>-1.5666417667713457</v>
      </c>
      <c r="AP555" s="41" t="str">
        <f t="shared" si="493"/>
        <v>0.0209664046182337-386.642960736718i</v>
      </c>
      <c r="AQ555">
        <f t="shared" si="494"/>
        <v>51.746202168251571</v>
      </c>
      <c r="AR555" s="43">
        <f t="shared" si="495"/>
        <v>-89.996893034098647</v>
      </c>
      <c r="AS555" t="str">
        <f t="shared" si="472"/>
        <v>-0.0000166666666666667</v>
      </c>
      <c r="AT555" t="str">
        <f t="shared" si="473"/>
        <v>0.0500793617668895i</v>
      </c>
      <c r="AU555">
        <f t="shared" si="496"/>
        <v>5.0079361766889499E-2</v>
      </c>
      <c r="AV555">
        <f t="shared" si="497"/>
        <v>1.5707963267948966</v>
      </c>
      <c r="AW555" t="str">
        <f t="shared" si="474"/>
        <v>1+50.8938012143097i</v>
      </c>
      <c r="AX555">
        <f t="shared" si="498"/>
        <v>50.903624645418631</v>
      </c>
      <c r="AY555">
        <f t="shared" si="499"/>
        <v>1.5511500965131872</v>
      </c>
      <c r="AZ555" t="str">
        <f t="shared" si="475"/>
        <v>1+1730.38924128653i</v>
      </c>
      <c r="BA555">
        <f t="shared" si="500"/>
        <v>1730.3895302388341</v>
      </c>
      <c r="BB555">
        <f t="shared" si="501"/>
        <v>1.5702184222027877</v>
      </c>
      <c r="BC555" s="41" t="str">
        <f t="shared" si="502"/>
        <v>-0.000215710545754574+0.0113111347287922i</v>
      </c>
      <c r="BD555">
        <f t="shared" si="503"/>
        <v>-38.928297297614968</v>
      </c>
      <c r="BE555" s="43">
        <f t="shared" si="504"/>
        <v>91.092534584394983</v>
      </c>
      <c r="BF555" s="41" t="str">
        <f t="shared" si="505"/>
        <v>-0.0318983014227299-0.0152040436741797i</v>
      </c>
      <c r="BG555" s="20">
        <f t="shared" si="506"/>
        <v>-29.035542082368121</v>
      </c>
      <c r="BH555" s="43">
        <f t="shared" si="507"/>
        <v>-154.51560899258408</v>
      </c>
      <c r="BI555" s="41" t="str">
        <f t="shared" si="460"/>
        <v>4.37336609815755+0.083640117900097i</v>
      </c>
      <c r="BJ555" s="20">
        <f t="shared" si="508"/>
        <v>12.817904870636605</v>
      </c>
      <c r="BK555" s="43">
        <f t="shared" si="461"/>
        <v>1.0956415502963461</v>
      </c>
      <c r="BL555">
        <f t="shared" si="509"/>
        <v>-29.035542082368121</v>
      </c>
      <c r="BM555" s="43">
        <f t="shared" si="510"/>
        <v>-154.51560899258408</v>
      </c>
    </row>
    <row r="556" spans="14:65" x14ac:dyDescent="0.25">
      <c r="N556" s="9">
        <v>38</v>
      </c>
      <c r="O556" s="34">
        <f t="shared" si="462"/>
        <v>2398832.9190194933</v>
      </c>
      <c r="P556" s="33" t="str">
        <f t="shared" si="463"/>
        <v>16.5157725627975</v>
      </c>
      <c r="Q556" s="4" t="str">
        <f t="shared" si="464"/>
        <v>1+38999.1700841842i</v>
      </c>
      <c r="R556" s="4">
        <f t="shared" si="476"/>
        <v>38999.170097004986</v>
      </c>
      <c r="S556" s="4">
        <f t="shared" si="477"/>
        <v>1.5707706852236114</v>
      </c>
      <c r="T556" s="4" t="str">
        <f t="shared" si="465"/>
        <v>1+247.939528306615i</v>
      </c>
      <c r="U556" s="4">
        <f t="shared" si="478"/>
        <v>247.94154491917391</v>
      </c>
      <c r="V556" s="4">
        <f t="shared" si="479"/>
        <v>1.5667631071443755</v>
      </c>
      <c r="W556" t="str">
        <f t="shared" si="466"/>
        <v>1-3768.0779377905i</v>
      </c>
      <c r="X556" s="4">
        <f t="shared" si="480"/>
        <v>3768.0780704841436</v>
      </c>
      <c r="Y556" s="4">
        <f t="shared" si="481"/>
        <v>-1.5705309395091152</v>
      </c>
      <c r="Z556" t="str">
        <f t="shared" si="467"/>
        <v>-117.892549036603+52.753091129067i</v>
      </c>
      <c r="AA556" s="4">
        <f t="shared" si="482"/>
        <v>129.15704294392734</v>
      </c>
      <c r="AB556" s="4">
        <f t="shared" si="483"/>
        <v>2.7208467021769653</v>
      </c>
      <c r="AC556" s="47" t="str">
        <f t="shared" si="484"/>
        <v>-1.2407208923835+2.80082825691639i</v>
      </c>
      <c r="AD556" s="20">
        <f t="shared" si="485"/>
        <v>9.7238926059311268</v>
      </c>
      <c r="AE556" s="43">
        <f t="shared" si="486"/>
        <v>113.89255552457369</v>
      </c>
      <c r="AF556" t="str">
        <f t="shared" si="468"/>
        <v>247.084651286898</v>
      </c>
      <c r="AG556" t="str">
        <f t="shared" si="469"/>
        <v>1+38138.3008686333i</v>
      </c>
      <c r="AH556">
        <f t="shared" si="487"/>
        <v>38138.300881743482</v>
      </c>
      <c r="AI556">
        <f t="shared" si="488"/>
        <v>1.5707701064343407</v>
      </c>
      <c r="AJ556" t="str">
        <f t="shared" si="470"/>
        <v>1+247.939528306615i</v>
      </c>
      <c r="AK556">
        <f t="shared" si="489"/>
        <v>247.94154491917391</v>
      </c>
      <c r="AL556">
        <f t="shared" si="490"/>
        <v>1.5667631071443755</v>
      </c>
      <c r="AM556" t="str">
        <f t="shared" si="471"/>
        <v>1-246.304566308276i</v>
      </c>
      <c r="AN556">
        <f t="shared" si="491"/>
        <v>246.30659630693597</v>
      </c>
      <c r="AO556">
        <f t="shared" si="492"/>
        <v>-1.5667363350518635</v>
      </c>
      <c r="AP556" s="41" t="str">
        <f t="shared" si="493"/>
        <v>0.0209663966130629-395.648726933171i</v>
      </c>
      <c r="AQ556">
        <f t="shared" si="494"/>
        <v>51.94619546518949</v>
      </c>
      <c r="AR556" s="43">
        <f t="shared" si="495"/>
        <v>-89.996963756093166</v>
      </c>
      <c r="AS556" t="str">
        <f t="shared" si="472"/>
        <v>-0.0000166666666666667</v>
      </c>
      <c r="AT556" t="str">
        <f t="shared" si="473"/>
        <v>0.0512458599539508i</v>
      </c>
      <c r="AU556">
        <f t="shared" si="496"/>
        <v>5.1245859953950798E-2</v>
      </c>
      <c r="AV556">
        <f t="shared" si="497"/>
        <v>1.5707963267948966</v>
      </c>
      <c r="AW556" t="str">
        <f t="shared" si="474"/>
        <v>1+52.0792701331327i</v>
      </c>
      <c r="AX556">
        <f t="shared" si="498"/>
        <v>52.088869997340204</v>
      </c>
      <c r="AY556">
        <f t="shared" si="499"/>
        <v>1.5515971881462645</v>
      </c>
      <c r="AZ556" t="str">
        <f t="shared" si="475"/>
        <v>1+1770.69518452651i</v>
      </c>
      <c r="BA556">
        <f t="shared" si="500"/>
        <v>1770.6954669014576</v>
      </c>
      <c r="BB556">
        <f t="shared" si="501"/>
        <v>1.5702315769144968</v>
      </c>
      <c r="BC556" s="41" t="str">
        <f t="shared" si="502"/>
        <v>-0.000206005550130119+0.0110538482186755i</v>
      </c>
      <c r="BD556">
        <f t="shared" si="503"/>
        <v>-39.128221927576668</v>
      </c>
      <c r="BE556" s="43">
        <f t="shared" si="504"/>
        <v>91.067671830225692</v>
      </c>
      <c r="BF556" s="41" t="str">
        <f t="shared" si="505"/>
        <v>-0.0307043350485378-0.0142917265920329i</v>
      </c>
      <c r="BG556" s="20">
        <f t="shared" si="506"/>
        <v>-29.404329321645548</v>
      </c>
      <c r="BH556" s="43">
        <f t="shared" si="507"/>
        <v>-155.03977264520051</v>
      </c>
      <c r="BI556" s="41" t="str">
        <f t="shared" si="460"/>
        <v>4.37343665623739+0.0817375930160025i</v>
      </c>
      <c r="BJ556" s="20">
        <f t="shared" si="508"/>
        <v>12.817973537612811</v>
      </c>
      <c r="BK556" s="43">
        <f t="shared" si="461"/>
        <v>1.0707080741325454</v>
      </c>
      <c r="BL556">
        <f t="shared" si="509"/>
        <v>-29.404329321645548</v>
      </c>
      <c r="BM556" s="43">
        <f t="shared" si="510"/>
        <v>-155.03977264520051</v>
      </c>
    </row>
    <row r="557" spans="14:65" x14ac:dyDescent="0.25">
      <c r="N557" s="9">
        <v>39</v>
      </c>
      <c r="O557" s="34">
        <f t="shared" si="462"/>
        <v>2454708.915685033</v>
      </c>
      <c r="P557" s="33" t="str">
        <f t="shared" si="463"/>
        <v>16.5157725627975</v>
      </c>
      <c r="Q557" s="4" t="str">
        <f t="shared" si="464"/>
        <v>1+39907.5774519108i</v>
      </c>
      <c r="R557" s="4">
        <f t="shared" si="476"/>
        <v>39907.577464439746</v>
      </c>
      <c r="S557" s="4">
        <f t="shared" si="477"/>
        <v>1.5707712688970326</v>
      </c>
      <c r="T557" s="4" t="str">
        <f t="shared" si="465"/>
        <v>1+253.714781825554i</v>
      </c>
      <c r="U557" s="4">
        <f t="shared" si="478"/>
        <v>253.71675253476755</v>
      </c>
      <c r="V557" s="4">
        <f t="shared" si="479"/>
        <v>1.566854913470245</v>
      </c>
      <c r="W557" t="str">
        <f t="shared" si="466"/>
        <v>1-3855.84774810873i</v>
      </c>
      <c r="X557" s="4">
        <f t="shared" si="480"/>
        <v>3855.8478777818968</v>
      </c>
      <c r="Y557" s="4">
        <f t="shared" si="481"/>
        <v>-1.5705369804609886</v>
      </c>
      <c r="Z557" t="str">
        <f t="shared" si="467"/>
        <v>-123.495782246768+53.9818684735221i</v>
      </c>
      <c r="AA557" s="4">
        <f t="shared" si="482"/>
        <v>134.77852335084319</v>
      </c>
      <c r="AB557" s="4">
        <f t="shared" si="483"/>
        <v>2.729505339835284</v>
      </c>
      <c r="AC557" s="47" t="str">
        <f t="shared" si="484"/>
        <v>-1.19307425097844+2.75685599146136i</v>
      </c>
      <c r="AD557" s="20">
        <f t="shared" si="485"/>
        <v>9.5538374004533484</v>
      </c>
      <c r="AE557" s="43">
        <f t="shared" si="486"/>
        <v>113.4013326823537</v>
      </c>
      <c r="AF557" t="str">
        <f t="shared" si="468"/>
        <v>247.084651286898</v>
      </c>
      <c r="AG557" t="str">
        <f t="shared" si="469"/>
        <v>1+39026.6560163673i</v>
      </c>
      <c r="AH557">
        <f t="shared" si="487"/>
        <v>39026.656029179059</v>
      </c>
      <c r="AI557">
        <f t="shared" si="488"/>
        <v>1.5707707032826141</v>
      </c>
      <c r="AJ557" t="str">
        <f t="shared" si="470"/>
        <v>1+253.714781825554i</v>
      </c>
      <c r="AK557">
        <f t="shared" si="489"/>
        <v>253.71675253476755</v>
      </c>
      <c r="AL557">
        <f t="shared" si="490"/>
        <v>1.566854913470245</v>
      </c>
      <c r="AM557" t="str">
        <f t="shared" si="471"/>
        <v>1-252.041736670008i</v>
      </c>
      <c r="AN557">
        <f t="shared" si="491"/>
        <v>252.04372046062494</v>
      </c>
      <c r="AO557">
        <f t="shared" si="492"/>
        <v>-1.5668287507656777</v>
      </c>
      <c r="AP557" s="41" t="str">
        <f t="shared" si="493"/>
        <v>0.0209663889681922-404.864271321672i</v>
      </c>
      <c r="AQ557">
        <f t="shared" si="494"/>
        <v>52.14618906381002</v>
      </c>
      <c r="AR557" s="43">
        <f t="shared" si="495"/>
        <v>-89.997032868337556</v>
      </c>
      <c r="AS557" t="str">
        <f t="shared" si="472"/>
        <v>-0.0000166666666666667</v>
      </c>
      <c r="AT557" t="str">
        <f t="shared" si="473"/>
        <v>0.0524395293742788i</v>
      </c>
      <c r="AU557">
        <f t="shared" si="496"/>
        <v>5.2439529374278801E-2</v>
      </c>
      <c r="AV557">
        <f t="shared" si="497"/>
        <v>1.5707963267948966</v>
      </c>
      <c r="AW557" t="str">
        <f t="shared" si="474"/>
        <v>1+53.2923521703309i</v>
      </c>
      <c r="AX557">
        <f t="shared" si="498"/>
        <v>53.301733553858945</v>
      </c>
      <c r="AY557">
        <f t="shared" si="499"/>
        <v>1.5520341101490156</v>
      </c>
      <c r="AZ557" t="str">
        <f t="shared" si="475"/>
        <v>1+1811.93997379125i</v>
      </c>
      <c r="BA557">
        <f t="shared" si="500"/>
        <v>1811.9402497385599</v>
      </c>
      <c r="BB557">
        <f t="shared" si="501"/>
        <v>1.5702444321885989</v>
      </c>
      <c r="BC557" s="41" t="str">
        <f t="shared" si="502"/>
        <v>-0.000196737036528705+0.010802405832354i</v>
      </c>
      <c r="BD557">
        <f t="shared" si="503"/>
        <v>-39.32814994852577</v>
      </c>
      <c r="BE557" s="43">
        <f t="shared" si="504"/>
        <v>91.043374596442192</v>
      </c>
      <c r="BF557" s="41" t="str">
        <f t="shared" si="505"/>
        <v>-0.0295459553486261-0.0134304479250974i</v>
      </c>
      <c r="BG557" s="20">
        <f t="shared" si="506"/>
        <v>-29.774312548072409</v>
      </c>
      <c r="BH557" s="43">
        <f t="shared" si="507"/>
        <v>-155.5552927212041</v>
      </c>
      <c r="BI557" s="41" t="str">
        <f t="shared" si="460"/>
        <v>4.37350404097175+0.0798782843786527i</v>
      </c>
      <c r="BJ557" s="20">
        <f t="shared" si="508"/>
        <v>12.818039115284259</v>
      </c>
      <c r="BK557" s="43">
        <f t="shared" si="461"/>
        <v>1.0463417281046343</v>
      </c>
      <c r="BL557">
        <f t="shared" si="509"/>
        <v>-29.774312548072409</v>
      </c>
      <c r="BM557" s="43">
        <f t="shared" si="510"/>
        <v>-155.5552927212041</v>
      </c>
    </row>
    <row r="558" spans="14:65" x14ac:dyDescent="0.25">
      <c r="N558" s="9">
        <v>40</v>
      </c>
      <c r="O558" s="34">
        <f t="shared" si="462"/>
        <v>2511886.431509587</v>
      </c>
      <c r="P558" s="33" t="str">
        <f t="shared" si="463"/>
        <v>16.5157725627975</v>
      </c>
      <c r="Q558" s="4" t="str">
        <f t="shared" si="464"/>
        <v>1+40837.1443454419i</v>
      </c>
      <c r="R558" s="4">
        <f t="shared" si="476"/>
        <v>40837.144357685655</v>
      </c>
      <c r="S558" s="4">
        <f t="shared" si="477"/>
        <v>1.5707718392844248</v>
      </c>
      <c r="T558" s="4" t="str">
        <f t="shared" si="465"/>
        <v>1+259.624558280131i</v>
      </c>
      <c r="U558" s="4">
        <f t="shared" si="478"/>
        <v>259.62648413086276</v>
      </c>
      <c r="V558" s="4">
        <f t="shared" si="479"/>
        <v>1.5669446300932042</v>
      </c>
      <c r="W558" t="str">
        <f t="shared" si="466"/>
        <v>1-3945.6619799412i</v>
      </c>
      <c r="X558" s="4">
        <f t="shared" si="480"/>
        <v>3945.6621066626467</v>
      </c>
      <c r="Y558" s="4">
        <f t="shared" si="481"/>
        <v>-1.5705428839040274</v>
      </c>
      <c r="Z558" t="str">
        <f t="shared" si="467"/>
        <v>-129.36308770252+55.2392677191768i</v>
      </c>
      <c r="AA558" s="4">
        <f t="shared" si="482"/>
        <v>140.66337532592047</v>
      </c>
      <c r="AB558" s="4">
        <f t="shared" si="483"/>
        <v>2.7380211714522598</v>
      </c>
      <c r="AC558" s="47" t="str">
        <f t="shared" si="484"/>
        <v>-1.14695250541521+2.71281505648177i</v>
      </c>
      <c r="AD558" s="20">
        <f t="shared" si="485"/>
        <v>9.3826275399161538</v>
      </c>
      <c r="AE558" s="43">
        <f t="shared" si="486"/>
        <v>112.9181809323437</v>
      </c>
      <c r="AF558" t="str">
        <f t="shared" si="468"/>
        <v>247.084651286898</v>
      </c>
      <c r="AG558" t="str">
        <f t="shared" si="469"/>
        <v>1+39935.7036137004i</v>
      </c>
      <c r="AH558">
        <f t="shared" si="487"/>
        <v>39935.703626220529</v>
      </c>
      <c r="AI558">
        <f t="shared" si="488"/>
        <v>1.5707712865449623</v>
      </c>
      <c r="AJ558" t="str">
        <f t="shared" si="470"/>
        <v>1+259.624558280131i</v>
      </c>
      <c r="AK558">
        <f t="shared" si="489"/>
        <v>259.62648413086276</v>
      </c>
      <c r="AL558">
        <f t="shared" si="490"/>
        <v>1.5669446300932042</v>
      </c>
      <c r="AM558" t="str">
        <f t="shared" si="471"/>
        <v>1-257.912542896691i</v>
      </c>
      <c r="AN558">
        <f t="shared" si="491"/>
        <v>257.91448153106381</v>
      </c>
      <c r="AO558">
        <f t="shared" si="492"/>
        <v>-1.5669190629065051</v>
      </c>
      <c r="AP558" s="41" t="str">
        <f t="shared" si="493"/>
        <v>0.0209663816673979-414.294480105842i</v>
      </c>
      <c r="AQ558">
        <f t="shared" si="494"/>
        <v>52.346182950535734</v>
      </c>
      <c r="AR558" s="43">
        <f t="shared" si="495"/>
        <v>-89.997100407468935</v>
      </c>
      <c r="AS558" t="str">
        <f t="shared" si="472"/>
        <v>-0.0000166666666666667</v>
      </c>
      <c r="AT558" t="str">
        <f t="shared" si="473"/>
        <v>0.0536610029272003i</v>
      </c>
      <c r="AU558">
        <f t="shared" si="496"/>
        <v>5.3661002927200302E-2</v>
      </c>
      <c r="AV558">
        <f t="shared" si="497"/>
        <v>1.5707963267948966</v>
      </c>
      <c r="AW558" t="str">
        <f t="shared" si="474"/>
        <v>1+54.5336905180579i</v>
      </c>
      <c r="AX558">
        <f t="shared" si="498"/>
        <v>54.54285839153755</v>
      </c>
      <c r="AY558">
        <f t="shared" si="499"/>
        <v>1.5524610935156173</v>
      </c>
      <c r="AZ558" t="str">
        <f t="shared" si="475"/>
        <v>1+1854.14547761397i</v>
      </c>
      <c r="BA558">
        <f t="shared" si="500"/>
        <v>1854.1457472799532</v>
      </c>
      <c r="BB558">
        <f t="shared" si="501"/>
        <v>1.5702569948411131</v>
      </c>
      <c r="BC558" s="41" t="str">
        <f t="shared" si="502"/>
        <v>-0.000187885387701997+0.0105566753704821i</v>
      </c>
      <c r="BD558">
        <f t="shared" si="503"/>
        <v>-39.528081207950187</v>
      </c>
      <c r="BE558" s="43">
        <f t="shared" si="504"/>
        <v>91.019630038582179</v>
      </c>
      <c r="BF558" s="41" t="str">
        <f t="shared" si="505"/>
        <v>-0.0284228122752784-0.0126177035736804i</v>
      </c>
      <c r="BG558" s="20">
        <f t="shared" si="506"/>
        <v>-30.145453668034033</v>
      </c>
      <c r="BH558" s="43">
        <f t="shared" si="507"/>
        <v>-156.06218902907409</v>
      </c>
      <c r="BI558" s="41" t="str">
        <f t="shared" si="460"/>
        <v>4.37356839498328+0.0780612143024398i</v>
      </c>
      <c r="BJ558" s="20">
        <f t="shared" si="508"/>
        <v>12.818101742585547</v>
      </c>
      <c r="BK558" s="43">
        <f t="shared" si="461"/>
        <v>1.0225296311132479</v>
      </c>
      <c r="BL558">
        <f t="shared" si="509"/>
        <v>-30.145453668034033</v>
      </c>
      <c r="BM558" s="43">
        <f t="shared" si="510"/>
        <v>-156.06218902907409</v>
      </c>
    </row>
    <row r="559" spans="14:65" x14ac:dyDescent="0.25">
      <c r="N559" s="9">
        <v>41</v>
      </c>
      <c r="O559" s="34">
        <f t="shared" si="462"/>
        <v>2570395.782768866</v>
      </c>
      <c r="P559" s="33" t="str">
        <f t="shared" si="463"/>
        <v>16.5157725627975</v>
      </c>
      <c r="Q559" s="4" t="str">
        <f t="shared" si="464"/>
        <v>1+41788.3636334482i</v>
      </c>
      <c r="R559" s="4">
        <f t="shared" si="476"/>
        <v>41788.36364541325</v>
      </c>
      <c r="S559" s="4">
        <f t="shared" si="477"/>
        <v>1.5707723966882148</v>
      </c>
      <c r="T559" s="4" t="str">
        <f t="shared" si="465"/>
        <v>1+265.671991112044i</v>
      </c>
      <c r="U559" s="4">
        <f t="shared" si="478"/>
        <v>265.67387312537528</v>
      </c>
      <c r="V559" s="4">
        <f t="shared" si="479"/>
        <v>1.5670323045764132</v>
      </c>
      <c r="W559" t="str">
        <f t="shared" si="466"/>
        <v>1-4037.56825398243i</v>
      </c>
      <c r="X559" s="4">
        <f t="shared" si="480"/>
        <v>4037.5683778193438</v>
      </c>
      <c r="Y559" s="4">
        <f t="shared" si="481"/>
        <v>-1.5705486529683139</v>
      </c>
      <c r="Z559" t="str">
        <f t="shared" si="467"/>
        <v>-135.506910745371+56.5259555557539i</v>
      </c>
      <c r="AA559" s="4">
        <f t="shared" si="482"/>
        <v>146.82406652604675</v>
      </c>
      <c r="AB559" s="4">
        <f t="shared" si="483"/>
        <v>2.7463944988781361</v>
      </c>
      <c r="AC559" s="47" t="str">
        <f t="shared" si="484"/>
        <v>-1.10233021157547+2.66875561391497i</v>
      </c>
      <c r="AD559" s="20">
        <f t="shared" si="485"/>
        <v>9.2103003487461805</v>
      </c>
      <c r="AE559" s="43">
        <f t="shared" si="486"/>
        <v>112.44308550829871</v>
      </c>
      <c r="AF559" t="str">
        <f t="shared" si="468"/>
        <v>247.084651286898</v>
      </c>
      <c r="AG559" t="str">
        <f t="shared" si="469"/>
        <v>1+40865.9256497007i</v>
      </c>
      <c r="AH559">
        <f t="shared" si="487"/>
        <v>40865.925661935835</v>
      </c>
      <c r="AI559">
        <f t="shared" si="488"/>
        <v>1.5707718565306386</v>
      </c>
      <c r="AJ559" t="str">
        <f t="shared" si="470"/>
        <v>1+265.671991112044i</v>
      </c>
      <c r="AK559">
        <f t="shared" si="489"/>
        <v>265.67387312537528</v>
      </c>
      <c r="AL559">
        <f t="shared" si="490"/>
        <v>1.5670323045764132</v>
      </c>
      <c r="AM559" t="str">
        <f t="shared" si="471"/>
        <v>1-263.920097767493i</v>
      </c>
      <c r="AN559">
        <f t="shared" si="491"/>
        <v>263.92199227348044</v>
      </c>
      <c r="AO559">
        <f t="shared" si="492"/>
        <v>-1.567007319353142</v>
      </c>
      <c r="AP559" s="41" t="str">
        <f t="shared" si="493"/>
        <v>0.0209663746951903-423.944353307201i</v>
      </c>
      <c r="AQ559">
        <f t="shared" si="494"/>
        <v>52.546177112400123</v>
      </c>
      <c r="AR559" s="43">
        <f t="shared" si="495"/>
        <v>-89.997166409290813</v>
      </c>
      <c r="AS559" t="str">
        <f t="shared" si="472"/>
        <v>-0.0000166666666666667</v>
      </c>
      <c r="AT559" t="str">
        <f t="shared" si="473"/>
        <v>0.054910928254161i</v>
      </c>
      <c r="AU559">
        <f t="shared" si="496"/>
        <v>5.4910928254161002E-2</v>
      </c>
      <c r="AV559">
        <f t="shared" si="497"/>
        <v>1.5707963267948966</v>
      </c>
      <c r="AW559" t="str">
        <f t="shared" si="474"/>
        <v>1+55.8039433503359i</v>
      </c>
      <c r="AX559">
        <f t="shared" si="498"/>
        <v>55.812902571426065</v>
      </c>
      <c r="AY559">
        <f t="shared" si="499"/>
        <v>1.5528783640151815</v>
      </c>
      <c r="AZ559" t="str">
        <f t="shared" si="475"/>
        <v>1+1897.33407391142i</v>
      </c>
      <c r="BA559">
        <f t="shared" si="500"/>
        <v>1897.3343374390574</v>
      </c>
      <c r="BB559">
        <f t="shared" si="501"/>
        <v>1.5702692715329085</v>
      </c>
      <c r="BC559" s="41" t="str">
        <f t="shared" si="502"/>
        <v>-0.000179431866889692+0.0103165275876659i</v>
      </c>
      <c r="BD559">
        <f t="shared" si="503"/>
        <v>-39.728015560192702</v>
      </c>
      <c r="BE559" s="43">
        <f t="shared" si="504"/>
        <v>90.996425602668097</v>
      </c>
      <c r="BF559" s="41" t="str">
        <f t="shared" si="505"/>
        <v>-0.0273344977479001-0.011851079840513i</v>
      </c>
      <c r="BG559" s="20">
        <f t="shared" si="506"/>
        <v>-30.517715211446536</v>
      </c>
      <c r="BH559" s="43">
        <f t="shared" si="507"/>
        <v>-156.56048888903322</v>
      </c>
      <c r="BI559" s="41" t="str">
        <f t="shared" si="460"/>
        <v>4.37362985449317+0.0762854269542105i</v>
      </c>
      <c r="BJ559" s="20">
        <f t="shared" si="508"/>
        <v>12.818161552207432</v>
      </c>
      <c r="BK559" s="43">
        <f t="shared" si="461"/>
        <v>0.99925919337728053</v>
      </c>
      <c r="BL559">
        <f t="shared" si="509"/>
        <v>-30.517715211446536</v>
      </c>
      <c r="BM559" s="43">
        <f t="shared" si="510"/>
        <v>-156.56048888903322</v>
      </c>
    </row>
    <row r="560" spans="14:65" ht="15.75" thickBot="1" x14ac:dyDescent="0.3">
      <c r="N560" s="9">
        <v>42</v>
      </c>
      <c r="O560" s="34">
        <f t="shared" si="462"/>
        <v>2630267.9918953842</v>
      </c>
      <c r="P560" s="33" t="str">
        <f t="shared" si="463"/>
        <v>16.5157725627975</v>
      </c>
      <c r="Q560" s="4" t="str">
        <f t="shared" si="464"/>
        <v>1+42761.7396649874i</v>
      </c>
      <c r="R560" s="4">
        <f t="shared" si="476"/>
        <v>42761.739676680088</v>
      </c>
      <c r="S560" s="4">
        <f t="shared" si="477"/>
        <v>1.5707729414039455</v>
      </c>
      <c r="T560" s="4" t="str">
        <f t="shared" si="465"/>
        <v>1+271.860286750229i</v>
      </c>
      <c r="U560" s="4">
        <f t="shared" si="478"/>
        <v>271.86212592399983</v>
      </c>
      <c r="V560" s="4">
        <f t="shared" si="479"/>
        <v>1.5671179834006492</v>
      </c>
      <c r="W560" t="str">
        <f t="shared" si="466"/>
        <v>1-4131.61530015545i</v>
      </c>
      <c r="X560" s="4">
        <f t="shared" si="480"/>
        <v>4131.6154211734929</v>
      </c>
      <c r="Y560" s="4">
        <f t="shared" si="481"/>
        <v>-1.5705542907126808</v>
      </c>
      <c r="Z560" t="str">
        <f t="shared" si="467"/>
        <v>-141.940283247714+57.8426142021763i</v>
      </c>
      <c r="AA560" s="4">
        <f t="shared" si="482"/>
        <v>153.27365078898296</v>
      </c>
      <c r="AB560" s="4">
        <f t="shared" si="483"/>
        <v>2.7546257523584137</v>
      </c>
      <c r="AC560" s="42" t="str">
        <f t="shared" si="484"/>
        <v>-1.05918047263465+2.62472535206413i</v>
      </c>
      <c r="AD560" s="46">
        <f t="shared" si="485"/>
        <v>9.036892497469637</v>
      </c>
      <c r="AE560" s="45">
        <f t="shared" si="486"/>
        <v>111.97602422992821</v>
      </c>
      <c r="AF560" t="str">
        <f t="shared" si="468"/>
        <v>247.084651286898</v>
      </c>
      <c r="AG560" t="str">
        <f t="shared" si="469"/>
        <v>1+41817.815340405i</v>
      </c>
      <c r="AH560">
        <f t="shared" si="487"/>
        <v>41817.815352361635</v>
      </c>
      <c r="AI560">
        <f t="shared" si="488"/>
        <v>1.5707724135418568</v>
      </c>
      <c r="AJ560" t="str">
        <f t="shared" si="470"/>
        <v>1+271.860286750229i</v>
      </c>
      <c r="AK560">
        <f t="shared" si="489"/>
        <v>271.86212592399983</v>
      </c>
      <c r="AL560">
        <f t="shared" si="490"/>
        <v>1.5671179834006492</v>
      </c>
      <c r="AM560" t="str">
        <f t="shared" si="471"/>
        <v>1-270.067586567527i</v>
      </c>
      <c r="AN560">
        <f t="shared" si="491"/>
        <v>270.06943794959227</v>
      </c>
      <c r="AO560">
        <f t="shared" si="492"/>
        <v>-1.5670935668948218</v>
      </c>
      <c r="AP560" s="44" t="str">
        <f t="shared" si="493"/>
        <v>0.0209663680367825-433.819007416248i</v>
      </c>
      <c r="AQ560" s="39">
        <f t="shared" si="494"/>
        <v>52.746171537020182</v>
      </c>
      <c r="AR560" s="45">
        <f t="shared" si="495"/>
        <v>-89.997230908792034</v>
      </c>
      <c r="AS560" t="str">
        <f t="shared" si="472"/>
        <v>-0.0000166666666666667</v>
      </c>
      <c r="AT560" t="str">
        <f t="shared" si="473"/>
        <v>0.0561899680821142i</v>
      </c>
      <c r="AU560">
        <f t="shared" si="496"/>
        <v>5.6189968082114197E-2</v>
      </c>
      <c r="AV560">
        <f t="shared" si="497"/>
        <v>1.5707963267948966</v>
      </c>
      <c r="AW560" t="str">
        <f t="shared" si="474"/>
        <v>1+57.1037841720308i</v>
      </c>
      <c r="AX560">
        <f t="shared" si="498"/>
        <v>57.112539487978246</v>
      </c>
      <c r="AY560">
        <f t="shared" si="499"/>
        <v>1.5532861423084943</v>
      </c>
      <c r="AZ560" t="str">
        <f t="shared" si="475"/>
        <v>1+1941.52866184905i</v>
      </c>
      <c r="BA560">
        <f t="shared" si="500"/>
        <v>1941.5289193780666</v>
      </c>
      <c r="BB560">
        <f t="shared" si="501"/>
        <v>1.5702812687732348</v>
      </c>
      <c r="BC560" s="44" t="str">
        <f t="shared" si="502"/>
        <v>-0.000171358578404912+0.010081836128905i</v>
      </c>
      <c r="BD560" s="39">
        <f t="shared" si="503"/>
        <v>-39.927952866142974</v>
      </c>
      <c r="BE560" s="45">
        <f t="shared" si="504"/>
        <v>90.97374901872071</v>
      </c>
      <c r="BF560" s="44" t="str">
        <f t="shared" si="505"/>
        <v>-0.0262805512228281-0.0111282531610717i</v>
      </c>
      <c r="BG560" s="46">
        <f t="shared" si="506"/>
        <v>-30.891060368673351</v>
      </c>
      <c r="BH560" s="45">
        <f t="shared" si="507"/>
        <v>-157.05022675135112</v>
      </c>
      <c r="BI560" s="44" t="str">
        <f t="shared" si="460"/>
        <v>4.37368854960781+0.0745499878826434i</v>
      </c>
      <c r="BJ560" s="46">
        <f t="shared" si="508"/>
        <v>12.818218670877199</v>
      </c>
      <c r="BK560" s="45">
        <f t="shared" si="461"/>
        <v>0.97651810992869792</v>
      </c>
      <c r="BL560" s="39">
        <f t="shared" si="509"/>
        <v>-30.891060368673351</v>
      </c>
      <c r="BM560" s="45">
        <f t="shared" si="510"/>
        <v>-157.05022675135112</v>
      </c>
    </row>
    <row r="561" spans="14:30" x14ac:dyDescent="0.25">
      <c r="N561" s="9"/>
      <c r="P561" s="33"/>
      <c r="Q561" s="4"/>
      <c r="R561" s="4"/>
      <c r="S561" s="4"/>
      <c r="T561" s="4"/>
      <c r="U561" s="4"/>
      <c r="V561" s="4"/>
      <c r="X561" s="4"/>
      <c r="Y561" s="4"/>
      <c r="AA561" s="4"/>
      <c r="AB561" s="4"/>
      <c r="AC561" s="4"/>
      <c r="AD561" s="20"/>
    </row>
    <row r="562" spans="14:30" x14ac:dyDescent="0.25">
      <c r="N562" s="9"/>
      <c r="P562" s="33"/>
      <c r="Q562" s="4"/>
      <c r="R562" s="4"/>
      <c r="S562" s="4"/>
      <c r="T562" s="4"/>
      <c r="U562" s="4"/>
      <c r="V562" s="4"/>
      <c r="X562" s="4"/>
      <c r="Y562" s="4"/>
      <c r="AA562" s="4"/>
      <c r="AB562" s="4"/>
      <c r="AC562" s="4"/>
      <c r="AD562" s="20"/>
    </row>
    <row r="563" spans="14:30" x14ac:dyDescent="0.25">
      <c r="N563" s="9"/>
      <c r="P563" s="33"/>
      <c r="Q563" s="4"/>
      <c r="R563" s="4"/>
      <c r="S563" s="4"/>
      <c r="T563" s="4"/>
      <c r="U563" s="4"/>
      <c r="V563" s="4"/>
      <c r="X563" s="4"/>
      <c r="Y563" s="4"/>
      <c r="AA563" s="4"/>
      <c r="AB563" s="4"/>
      <c r="AC563" s="4"/>
      <c r="AD563" s="20"/>
    </row>
    <row r="564" spans="14:30" x14ac:dyDescent="0.25">
      <c r="N564" s="9"/>
      <c r="P564" s="33"/>
      <c r="Q564" s="4"/>
      <c r="R564" s="4"/>
      <c r="S564" s="4"/>
      <c r="T564" s="4"/>
      <c r="U564" s="4"/>
      <c r="V564" s="4"/>
      <c r="X564" s="4"/>
      <c r="Y564" s="4"/>
      <c r="AA564" s="4"/>
      <c r="AB564" s="4"/>
      <c r="AC564" s="4"/>
      <c r="AD564" s="20"/>
    </row>
    <row r="565" spans="14:30" x14ac:dyDescent="0.25">
      <c r="N565" s="9"/>
      <c r="P565" s="33"/>
      <c r="Q565" s="4"/>
      <c r="R565" s="4"/>
      <c r="S565" s="4"/>
      <c r="T565" s="4"/>
      <c r="U565" s="4"/>
      <c r="V565" s="4"/>
      <c r="X565" s="4"/>
      <c r="Y565" s="4"/>
      <c r="AA565" s="4"/>
      <c r="AB565" s="4"/>
      <c r="AC565" s="4"/>
      <c r="AD565" s="20"/>
    </row>
    <row r="566" spans="14:30" x14ac:dyDescent="0.25">
      <c r="N566" s="9"/>
      <c r="P566" s="33"/>
      <c r="Q566" s="4"/>
      <c r="R566" s="4"/>
      <c r="S566" s="4"/>
      <c r="T566" s="4"/>
      <c r="U566" s="4"/>
      <c r="V566" s="4"/>
      <c r="X566" s="4"/>
      <c r="Y566" s="4"/>
      <c r="AA566" s="4"/>
      <c r="AB566" s="4"/>
      <c r="AC566" s="4"/>
      <c r="AD566" s="20"/>
    </row>
    <row r="567" spans="14:30" x14ac:dyDescent="0.25">
      <c r="N567" s="9"/>
      <c r="P567" s="33"/>
      <c r="Q567" s="4"/>
      <c r="R567" s="4"/>
      <c r="S567" s="4"/>
      <c r="T567" s="4"/>
      <c r="U567" s="4"/>
      <c r="V567" s="4"/>
      <c r="X567" s="4"/>
      <c r="Y567" s="4"/>
      <c r="AA567" s="4"/>
      <c r="AB567" s="4"/>
      <c r="AC567" s="4"/>
      <c r="AD567" s="20"/>
    </row>
    <row r="568" spans="14:30" x14ac:dyDescent="0.25">
      <c r="N568" s="9"/>
      <c r="P568" s="33"/>
      <c r="Q568" s="4"/>
      <c r="R568" s="4"/>
      <c r="S568" s="4"/>
      <c r="T568" s="4"/>
      <c r="U568" s="4"/>
      <c r="V568" s="4"/>
      <c r="X568" s="4"/>
      <c r="Y568" s="4"/>
      <c r="AA568" s="4"/>
      <c r="AB568" s="4"/>
      <c r="AC568" s="4"/>
      <c r="AD568" s="20"/>
    </row>
    <row r="569" spans="14:30" x14ac:dyDescent="0.25">
      <c r="N569" s="9"/>
      <c r="P569" s="33"/>
      <c r="Q569" s="4"/>
      <c r="R569" s="4"/>
      <c r="S569" s="4"/>
      <c r="T569" s="4"/>
      <c r="U569" s="4"/>
      <c r="V569" s="4"/>
      <c r="X569" s="4"/>
      <c r="Y569" s="4"/>
      <c r="AA569" s="4"/>
      <c r="AB569" s="4"/>
      <c r="AC569" s="4"/>
      <c r="AD569" s="20"/>
    </row>
    <row r="570" spans="14:30" x14ac:dyDescent="0.25">
      <c r="N570" s="9"/>
      <c r="P570" s="33"/>
      <c r="Q570" s="4"/>
      <c r="R570" s="4"/>
      <c r="S570" s="4"/>
      <c r="T570" s="4"/>
      <c r="U570" s="4"/>
      <c r="V570" s="4"/>
      <c r="X570" s="4"/>
      <c r="Y570" s="4"/>
      <c r="AA570" s="4"/>
      <c r="AB570" s="4"/>
      <c r="AC570" s="4"/>
      <c r="AD570" s="20"/>
    </row>
    <row r="571" spans="14:30" x14ac:dyDescent="0.25">
      <c r="N571" s="9"/>
      <c r="P571" s="33"/>
      <c r="Q571" s="4"/>
      <c r="R571" s="4"/>
      <c r="S571" s="4"/>
      <c r="T571" s="4"/>
      <c r="U571" s="4"/>
      <c r="V571" s="4"/>
      <c r="X571" s="4"/>
      <c r="Y571" s="4"/>
      <c r="AA571" s="4"/>
      <c r="AB571" s="4"/>
      <c r="AC571" s="4"/>
      <c r="AD571" s="20"/>
    </row>
    <row r="572" spans="14:30" x14ac:dyDescent="0.25">
      <c r="N572" s="9"/>
      <c r="P572" s="33"/>
      <c r="Q572" s="4"/>
      <c r="R572" s="4"/>
      <c r="S572" s="4"/>
      <c r="T572" s="4"/>
      <c r="U572" s="4"/>
      <c r="V572" s="4"/>
      <c r="X572" s="4"/>
      <c r="Y572" s="4"/>
      <c r="AA572" s="4"/>
      <c r="AB572" s="4"/>
      <c r="AC572" s="4"/>
      <c r="AD572" s="20"/>
    </row>
    <row r="573" spans="14:30" x14ac:dyDescent="0.25">
      <c r="N573" s="9"/>
      <c r="P573" s="33"/>
      <c r="Q573" s="4"/>
      <c r="R573" s="4"/>
      <c r="S573" s="4"/>
      <c r="T573" s="4"/>
      <c r="U573" s="4"/>
      <c r="V573" s="4"/>
      <c r="X573" s="4"/>
      <c r="Y573" s="4"/>
      <c r="AA573" s="4"/>
      <c r="AB573" s="4"/>
      <c r="AC573" s="4"/>
      <c r="AD573" s="20"/>
    </row>
    <row r="574" spans="14:30" x14ac:dyDescent="0.25">
      <c r="N574" s="9"/>
      <c r="P574" s="33"/>
      <c r="Q574" s="4"/>
      <c r="R574" s="4"/>
      <c r="S574" s="4"/>
      <c r="T574" s="4"/>
      <c r="U574" s="4"/>
      <c r="V574" s="4"/>
      <c r="X574" s="4"/>
      <c r="Y574" s="4"/>
      <c r="AA574" s="4"/>
      <c r="AB574" s="4"/>
      <c r="AC574" s="4"/>
      <c r="AD574" s="20"/>
    </row>
    <row r="575" spans="14:30" x14ac:dyDescent="0.25">
      <c r="N575" s="9"/>
      <c r="P575" s="33"/>
      <c r="Q575" s="4"/>
      <c r="R575" s="4"/>
      <c r="S575" s="4"/>
      <c r="T575" s="4"/>
      <c r="U575" s="4"/>
      <c r="V575" s="4"/>
      <c r="X575" s="4"/>
      <c r="Y575" s="4"/>
      <c r="AA575" s="4"/>
      <c r="AB575" s="4"/>
      <c r="AC575" s="4"/>
      <c r="AD575" s="20"/>
    </row>
    <row r="576" spans="14:30" x14ac:dyDescent="0.25">
      <c r="N576" s="9"/>
      <c r="P576" s="33"/>
      <c r="Q576" s="4"/>
      <c r="R576" s="4"/>
      <c r="S576" s="4"/>
      <c r="T576" s="4"/>
      <c r="U576" s="4"/>
      <c r="V576" s="4"/>
      <c r="X576" s="4"/>
      <c r="Y576" s="4"/>
      <c r="AA576" s="4"/>
      <c r="AB576" s="4"/>
      <c r="AC576" s="4"/>
      <c r="AD576" s="20"/>
    </row>
    <row r="577" spans="14:30" x14ac:dyDescent="0.25">
      <c r="N577" s="9"/>
      <c r="P577" s="33"/>
      <c r="Q577" s="4"/>
      <c r="R577" s="4"/>
      <c r="S577" s="4"/>
      <c r="T577" s="4"/>
      <c r="U577" s="4"/>
      <c r="V577" s="4"/>
      <c r="X577" s="4"/>
      <c r="Y577" s="4"/>
      <c r="AA577" s="4"/>
      <c r="AB577" s="4"/>
      <c r="AC577" s="4"/>
      <c r="AD577" s="20"/>
    </row>
    <row r="578" spans="14:30" x14ac:dyDescent="0.25">
      <c r="N578" s="9"/>
      <c r="P578" s="33"/>
      <c r="Q578" s="4"/>
      <c r="R578" s="4"/>
      <c r="S578" s="4"/>
      <c r="T578" s="4"/>
      <c r="U578" s="4"/>
      <c r="V578" s="4"/>
      <c r="X578" s="4"/>
      <c r="Y578" s="4"/>
      <c r="AA578" s="4"/>
      <c r="AB578" s="4"/>
      <c r="AC578" s="4"/>
      <c r="AD578" s="20"/>
    </row>
    <row r="579" spans="14:30" x14ac:dyDescent="0.25">
      <c r="N579" s="9"/>
      <c r="P579" s="33"/>
      <c r="Q579" s="4"/>
      <c r="R579" s="4"/>
      <c r="S579" s="4"/>
      <c r="T579" s="4"/>
      <c r="U579" s="4"/>
      <c r="V579" s="4"/>
      <c r="X579" s="4"/>
      <c r="Y579" s="4"/>
      <c r="AA579" s="4"/>
      <c r="AB579" s="4"/>
      <c r="AC579" s="4"/>
      <c r="AD579" s="20"/>
    </row>
    <row r="580" spans="14:30" x14ac:dyDescent="0.25">
      <c r="N580" s="9"/>
      <c r="P580" s="33"/>
      <c r="Q580" s="4"/>
      <c r="R580" s="4"/>
      <c r="S580" s="4"/>
      <c r="T580" s="4"/>
      <c r="U580" s="4"/>
      <c r="V580" s="4"/>
      <c r="X580" s="4"/>
      <c r="Y580" s="4"/>
      <c r="AA580" s="4"/>
      <c r="AB580" s="4"/>
      <c r="AC580" s="4"/>
      <c r="AD580" s="20"/>
    </row>
    <row r="581" spans="14:30" x14ac:dyDescent="0.25">
      <c r="N581" s="9"/>
      <c r="P581" s="33"/>
      <c r="Q581" s="4"/>
      <c r="R581" s="4"/>
      <c r="S581" s="4"/>
      <c r="T581" s="4"/>
      <c r="U581" s="4"/>
      <c r="V581" s="4"/>
      <c r="X581" s="4"/>
      <c r="Y581" s="4"/>
      <c r="AA581" s="4"/>
      <c r="AB581" s="4"/>
      <c r="AC581" s="4"/>
      <c r="AD581" s="20"/>
    </row>
    <row r="582" spans="14:30" x14ac:dyDescent="0.25">
      <c r="N582" s="9"/>
      <c r="P582" s="33"/>
      <c r="Q582" s="4"/>
      <c r="R582" s="4"/>
      <c r="S582" s="4"/>
      <c r="T582" s="4"/>
      <c r="U582" s="4"/>
      <c r="V582" s="4"/>
      <c r="X582" s="4"/>
      <c r="Y582" s="4"/>
      <c r="AA582" s="4"/>
      <c r="AB582" s="4"/>
      <c r="AC582" s="4"/>
      <c r="AD582" s="20"/>
    </row>
    <row r="583" spans="14:30" x14ac:dyDescent="0.25">
      <c r="N583" s="9"/>
      <c r="P583" s="33"/>
      <c r="Q583" s="4"/>
      <c r="R583" s="4"/>
      <c r="S583" s="4"/>
      <c r="T583" s="4"/>
      <c r="U583" s="4"/>
      <c r="V583" s="4"/>
      <c r="X583" s="4"/>
      <c r="Y583" s="4"/>
      <c r="AA583" s="4"/>
      <c r="AB583" s="4"/>
      <c r="AC583" s="4"/>
      <c r="AD583" s="20"/>
    </row>
    <row r="584" spans="14:30" x14ac:dyDescent="0.25">
      <c r="N584" s="9"/>
      <c r="P584" s="33"/>
      <c r="Q584" s="4"/>
      <c r="R584" s="4"/>
      <c r="S584" s="4"/>
      <c r="T584" s="4"/>
      <c r="U584" s="4"/>
      <c r="V584" s="4"/>
      <c r="X584" s="4"/>
      <c r="Y584" s="4"/>
      <c r="AA584" s="4"/>
      <c r="AB584" s="4"/>
      <c r="AC584" s="4"/>
      <c r="AD584" s="20"/>
    </row>
    <row r="585" spans="14:30" x14ac:dyDescent="0.25">
      <c r="N585" s="9"/>
      <c r="P585" s="33"/>
      <c r="Q585" s="4"/>
      <c r="R585" s="4"/>
      <c r="S585" s="4"/>
      <c r="T585" s="4"/>
      <c r="U585" s="4"/>
      <c r="V585" s="4"/>
      <c r="X585" s="4"/>
      <c r="Y585" s="4"/>
      <c r="AA585" s="4"/>
      <c r="AB585" s="4"/>
      <c r="AC585" s="4"/>
      <c r="AD585" s="20"/>
    </row>
    <row r="586" spans="14:30" x14ac:dyDescent="0.25">
      <c r="N586" s="9"/>
      <c r="P586" s="33"/>
      <c r="Q586" s="4"/>
      <c r="R586" s="4"/>
      <c r="S586" s="4"/>
      <c r="T586" s="4"/>
      <c r="U586" s="4"/>
      <c r="V586" s="4"/>
      <c r="X586" s="4"/>
      <c r="Y586" s="4"/>
      <c r="AA586" s="4"/>
      <c r="AB586" s="4"/>
      <c r="AC586" s="4"/>
      <c r="AD586" s="20"/>
    </row>
    <row r="587" spans="14:30" x14ac:dyDescent="0.25">
      <c r="N587" s="9"/>
      <c r="P587" s="33"/>
      <c r="Q587" s="4"/>
      <c r="R587" s="4"/>
      <c r="S587" s="4"/>
      <c r="T587" s="4"/>
      <c r="U587" s="4"/>
      <c r="V587" s="4"/>
      <c r="X587" s="4"/>
      <c r="Y587" s="4"/>
      <c r="AA587" s="4"/>
      <c r="AB587" s="4"/>
      <c r="AC587" s="4"/>
      <c r="AD587" s="20"/>
    </row>
    <row r="588" spans="14:30" x14ac:dyDescent="0.25">
      <c r="N588" s="9"/>
      <c r="P588" s="33"/>
      <c r="Q588" s="4"/>
      <c r="R588" s="4"/>
      <c r="S588" s="4"/>
      <c r="T588" s="4"/>
      <c r="U588" s="4"/>
      <c r="V588" s="4"/>
      <c r="X588" s="4"/>
      <c r="Y588" s="4"/>
      <c r="AA588" s="4"/>
      <c r="AB588" s="4"/>
      <c r="AC588" s="4"/>
      <c r="AD588" s="20"/>
    </row>
    <row r="589" spans="14:30" x14ac:dyDescent="0.25">
      <c r="N589" s="9"/>
      <c r="P589" s="33"/>
      <c r="Q589" s="4"/>
      <c r="R589" s="4"/>
      <c r="S589" s="4"/>
      <c r="T589" s="4"/>
      <c r="U589" s="4"/>
      <c r="V589" s="4"/>
      <c r="X589" s="4"/>
      <c r="Y589" s="4"/>
      <c r="AA589" s="4"/>
      <c r="AB589" s="4"/>
      <c r="AC589" s="4"/>
      <c r="AD589" s="20"/>
    </row>
    <row r="590" spans="14:30" x14ac:dyDescent="0.25">
      <c r="N590" s="9"/>
      <c r="P590" s="33"/>
      <c r="Q590" s="4"/>
      <c r="R590" s="4"/>
      <c r="S590" s="4"/>
      <c r="T590" s="4"/>
      <c r="U590" s="4"/>
      <c r="V590" s="4"/>
      <c r="X590" s="4"/>
      <c r="Y590" s="4"/>
      <c r="AA590" s="4"/>
      <c r="AB590" s="4"/>
      <c r="AC590" s="4"/>
      <c r="AD590" s="20"/>
    </row>
    <row r="591" spans="14:30" x14ac:dyDescent="0.25">
      <c r="N591" s="9"/>
      <c r="P591" s="33"/>
      <c r="Q591" s="4"/>
      <c r="R591" s="4"/>
      <c r="S591" s="4"/>
      <c r="T591" s="4"/>
      <c r="U591" s="4"/>
      <c r="V591" s="4"/>
      <c r="X591" s="4"/>
      <c r="Y591" s="4"/>
      <c r="AA591" s="4"/>
      <c r="AB591" s="4"/>
      <c r="AC591" s="4"/>
      <c r="AD591" s="20"/>
    </row>
    <row r="592" spans="14:30" x14ac:dyDescent="0.25">
      <c r="N592" s="9"/>
      <c r="P592" s="33"/>
      <c r="Q592" s="4"/>
      <c r="R592" s="4"/>
      <c r="S592" s="4"/>
      <c r="T592" s="4"/>
      <c r="U592" s="4"/>
      <c r="V592" s="4"/>
      <c r="X592" s="4"/>
      <c r="Y592" s="4"/>
      <c r="AA592" s="4"/>
      <c r="AB592" s="4"/>
      <c r="AC592" s="4"/>
      <c r="AD592" s="20"/>
    </row>
    <row r="593" spans="14:30" x14ac:dyDescent="0.25">
      <c r="N593" s="9"/>
      <c r="P593" s="33"/>
      <c r="Q593" s="4"/>
      <c r="R593" s="4"/>
      <c r="S593" s="4"/>
      <c r="T593" s="4"/>
      <c r="U593" s="4"/>
      <c r="V593" s="4"/>
      <c r="X593" s="4"/>
      <c r="Y593" s="4"/>
      <c r="AA593" s="4"/>
      <c r="AB593" s="4"/>
      <c r="AC593" s="4"/>
      <c r="AD593" s="20"/>
    </row>
    <row r="594" spans="14:30" x14ac:dyDescent="0.25">
      <c r="N594" s="9"/>
      <c r="P594" s="33"/>
      <c r="Q594" s="4"/>
      <c r="R594" s="4"/>
      <c r="S594" s="4"/>
      <c r="T594" s="4"/>
      <c r="U594" s="4"/>
      <c r="V594" s="4"/>
      <c r="X594" s="4"/>
      <c r="Y594" s="4"/>
      <c r="AA594" s="4"/>
      <c r="AB594" s="4"/>
      <c r="AC594" s="4"/>
      <c r="AD594" s="20"/>
    </row>
    <row r="595" spans="14:30" x14ac:dyDescent="0.25">
      <c r="N595" s="9"/>
      <c r="P595" s="33"/>
      <c r="Q595" s="4"/>
      <c r="R595" s="4"/>
      <c r="S595" s="4"/>
      <c r="T595" s="4"/>
      <c r="U595" s="4"/>
      <c r="V595" s="4"/>
      <c r="X595" s="4"/>
      <c r="Y595" s="4"/>
      <c r="AA595" s="4"/>
      <c r="AB595" s="4"/>
      <c r="AC595" s="4"/>
      <c r="AD595" s="20"/>
    </row>
    <row r="596" spans="14:30" x14ac:dyDescent="0.25">
      <c r="N596" s="9"/>
      <c r="P596" s="33"/>
      <c r="Q596" s="4"/>
      <c r="R596" s="4"/>
      <c r="S596" s="4"/>
      <c r="T596" s="4"/>
      <c r="U596" s="4"/>
      <c r="V596" s="4"/>
      <c r="X596" s="4"/>
      <c r="Y596" s="4"/>
      <c r="AA596" s="4"/>
      <c r="AB596" s="4"/>
      <c r="AC596" s="4"/>
      <c r="AD596" s="20"/>
    </row>
    <row r="597" spans="14:30" x14ac:dyDescent="0.25">
      <c r="N597" s="9"/>
      <c r="P597" s="33"/>
      <c r="Q597" s="4"/>
      <c r="R597" s="4"/>
      <c r="S597" s="4"/>
      <c r="T597" s="4"/>
      <c r="U597" s="4"/>
      <c r="V597" s="4"/>
      <c r="X597" s="4"/>
      <c r="Y597" s="4"/>
      <c r="AA597" s="4"/>
      <c r="AB597" s="4"/>
      <c r="AC597" s="4"/>
      <c r="AD597" s="20"/>
    </row>
    <row r="598" spans="14:30" x14ac:dyDescent="0.25">
      <c r="N598" s="9"/>
      <c r="P598" s="33"/>
      <c r="Q598" s="4"/>
      <c r="R598" s="4"/>
      <c r="S598" s="4"/>
      <c r="T598" s="4"/>
      <c r="U598" s="4"/>
      <c r="V598" s="4"/>
      <c r="X598" s="4"/>
      <c r="Y598" s="4"/>
      <c r="AA598" s="4"/>
      <c r="AB598" s="4"/>
      <c r="AC598" s="4"/>
      <c r="AD598" s="20"/>
    </row>
    <row r="599" spans="14:30" x14ac:dyDescent="0.25">
      <c r="N599" s="9"/>
      <c r="P599" s="33"/>
      <c r="Q599" s="4"/>
      <c r="R599" s="4"/>
      <c r="S599" s="4"/>
      <c r="T599" s="4"/>
      <c r="U599" s="4"/>
      <c r="V599" s="4"/>
      <c r="X599" s="4"/>
      <c r="Y599" s="4"/>
      <c r="AA599" s="4"/>
      <c r="AB599" s="4"/>
      <c r="AC599" s="4"/>
      <c r="AD599" s="20"/>
    </row>
    <row r="600" spans="14:30" x14ac:dyDescent="0.25">
      <c r="N600" s="9"/>
      <c r="P600" s="33"/>
      <c r="Q600" s="4"/>
      <c r="R600" s="4"/>
      <c r="S600" s="4"/>
      <c r="T600" s="4"/>
      <c r="U600" s="4"/>
      <c r="V600" s="4"/>
      <c r="X600" s="4"/>
      <c r="Y600" s="4"/>
      <c r="AA600" s="4"/>
      <c r="AB600" s="4"/>
      <c r="AC600" s="4"/>
      <c r="AD600" s="20"/>
    </row>
    <row r="601" spans="14:30" x14ac:dyDescent="0.25">
      <c r="N601" s="9"/>
      <c r="P601" s="33"/>
      <c r="Q601" s="4"/>
      <c r="R601" s="4"/>
      <c r="S601" s="4"/>
      <c r="T601" s="4"/>
      <c r="U601" s="4"/>
      <c r="V601" s="4"/>
      <c r="X601" s="4"/>
      <c r="Y601" s="4"/>
      <c r="AA601" s="4"/>
      <c r="AB601" s="4"/>
      <c r="AC601" s="4"/>
      <c r="AD601" s="20"/>
    </row>
    <row r="602" spans="14:30" x14ac:dyDescent="0.25">
      <c r="N602" s="9"/>
      <c r="P602" s="33"/>
      <c r="Q602" s="4"/>
      <c r="R602" s="4"/>
      <c r="S602" s="4"/>
      <c r="T602" s="4"/>
      <c r="U602" s="4"/>
      <c r="V602" s="4"/>
      <c r="X602" s="4"/>
      <c r="Y602" s="4"/>
      <c r="AA602" s="4"/>
      <c r="AB602" s="4"/>
      <c r="AC602" s="4"/>
      <c r="AD602" s="20"/>
    </row>
    <row r="603" spans="14:30" x14ac:dyDescent="0.25">
      <c r="N603" s="9"/>
      <c r="P603" s="33"/>
      <c r="Q603" s="4"/>
      <c r="R603" s="4"/>
      <c r="S603" s="4"/>
      <c r="T603" s="4"/>
      <c r="U603" s="4"/>
      <c r="V603" s="4"/>
      <c r="X603" s="4"/>
      <c r="Y603" s="4"/>
      <c r="AA603" s="4"/>
      <c r="AB603" s="4"/>
      <c r="AC603" s="4"/>
      <c r="AD603" s="20"/>
    </row>
    <row r="604" spans="14:30" x14ac:dyDescent="0.25">
      <c r="N604" s="9"/>
      <c r="P604" s="33"/>
      <c r="Q604" s="4"/>
      <c r="R604" s="4"/>
      <c r="S604" s="4"/>
      <c r="T604" s="4"/>
      <c r="U604" s="4"/>
      <c r="V604" s="4"/>
      <c r="X604" s="4"/>
      <c r="Y604" s="4"/>
      <c r="AA604" s="4"/>
      <c r="AB604" s="4"/>
      <c r="AC604" s="4"/>
      <c r="AD604" s="20"/>
    </row>
    <row r="605" spans="14:30" x14ac:dyDescent="0.25">
      <c r="N605" s="9"/>
      <c r="P605" s="33"/>
      <c r="Q605" s="4"/>
      <c r="R605" s="4"/>
      <c r="S605" s="4"/>
      <c r="T605" s="4"/>
      <c r="U605" s="4"/>
      <c r="V605" s="4"/>
      <c r="X605" s="4"/>
      <c r="Y605" s="4"/>
      <c r="AA605" s="4"/>
      <c r="AB605" s="4"/>
      <c r="AC605" s="4"/>
      <c r="AD605" s="20"/>
    </row>
    <row r="606" spans="14:30" x14ac:dyDescent="0.25">
      <c r="N606" s="9"/>
      <c r="P606" s="33"/>
      <c r="Q606" s="4"/>
      <c r="R606" s="4"/>
      <c r="S606" s="4"/>
      <c r="T606" s="4"/>
      <c r="U606" s="4"/>
      <c r="V606" s="4"/>
      <c r="X606" s="4"/>
      <c r="Y606" s="4"/>
      <c r="AA606" s="4"/>
      <c r="AB606" s="4"/>
      <c r="AC606" s="4"/>
      <c r="AD606" s="20"/>
    </row>
    <row r="607" spans="14:30" x14ac:dyDescent="0.25">
      <c r="N607" s="9"/>
      <c r="P607" s="33"/>
      <c r="Q607" s="4"/>
      <c r="R607" s="4"/>
      <c r="S607" s="4"/>
      <c r="T607" s="4"/>
      <c r="U607" s="4"/>
      <c r="V607" s="4"/>
      <c r="X607" s="4"/>
      <c r="Y607" s="4"/>
      <c r="AA607" s="4"/>
      <c r="AB607" s="4"/>
      <c r="AC607" s="4"/>
      <c r="AD607" s="20"/>
    </row>
    <row r="608" spans="14:30" x14ac:dyDescent="0.25">
      <c r="N608" s="9"/>
      <c r="P608" s="33"/>
      <c r="Q608" s="4"/>
      <c r="R608" s="4"/>
      <c r="S608" s="4"/>
      <c r="T608" s="4"/>
      <c r="U608" s="4"/>
      <c r="V608" s="4"/>
      <c r="X608" s="4"/>
      <c r="Y608" s="4"/>
      <c r="AA608" s="4"/>
      <c r="AB608" s="4"/>
      <c r="AC608" s="4"/>
      <c r="AD608" s="20"/>
    </row>
    <row r="609" spans="14:30" x14ac:dyDescent="0.25">
      <c r="N609" s="9"/>
      <c r="P609" s="33"/>
      <c r="Q609" s="4"/>
      <c r="R609" s="4"/>
      <c r="S609" s="4"/>
      <c r="T609" s="4"/>
      <c r="U609" s="4"/>
      <c r="V609" s="4"/>
      <c r="X609" s="4"/>
      <c r="Y609" s="4"/>
      <c r="AA609" s="4"/>
      <c r="AB609" s="4"/>
      <c r="AC609" s="4"/>
      <c r="AD609" s="20"/>
    </row>
    <row r="610" spans="14:30" x14ac:dyDescent="0.25">
      <c r="N610" s="9"/>
      <c r="P610" s="33"/>
      <c r="Q610" s="4"/>
      <c r="R610" s="4"/>
      <c r="S610" s="4"/>
      <c r="T610" s="4"/>
      <c r="U610" s="4"/>
      <c r="V610" s="4"/>
      <c r="X610" s="4"/>
      <c r="Y610" s="4"/>
      <c r="AA610" s="4"/>
      <c r="AB610" s="4"/>
      <c r="AC610" s="4"/>
      <c r="AD610" s="20"/>
    </row>
    <row r="611" spans="14:30" x14ac:dyDescent="0.25">
      <c r="N611" s="9"/>
      <c r="P611" s="33"/>
      <c r="Q611" s="4"/>
      <c r="R611" s="4"/>
      <c r="S611" s="4"/>
      <c r="T611" s="4"/>
      <c r="U611" s="4"/>
      <c r="V611" s="4"/>
      <c r="X611" s="4"/>
      <c r="Y611" s="4"/>
      <c r="AA611" s="4"/>
      <c r="AB611" s="4"/>
      <c r="AC611" s="4"/>
      <c r="AD611" s="20"/>
    </row>
    <row r="612" spans="14:30" x14ac:dyDescent="0.25">
      <c r="N612" s="9"/>
      <c r="P612" s="33"/>
      <c r="Q612" s="4"/>
      <c r="R612" s="4"/>
      <c r="S612" s="4"/>
      <c r="T612" s="4"/>
      <c r="U612" s="4"/>
      <c r="V612" s="4"/>
      <c r="X612" s="4"/>
      <c r="Y612" s="4"/>
      <c r="AA612" s="4"/>
      <c r="AB612" s="4"/>
      <c r="AC612" s="4"/>
      <c r="AD612" s="20"/>
    </row>
    <row r="613" spans="14:30" x14ac:dyDescent="0.25">
      <c r="N613" s="9"/>
      <c r="P613" s="33"/>
      <c r="Q613" s="4"/>
      <c r="R613" s="4"/>
      <c r="S613" s="4"/>
      <c r="T613" s="4"/>
      <c r="U613" s="4"/>
      <c r="V613" s="4"/>
      <c r="X613" s="4"/>
      <c r="Y613" s="4"/>
      <c r="AA613" s="4"/>
      <c r="AB613" s="4"/>
      <c r="AC613" s="4"/>
      <c r="AD613" s="20"/>
    </row>
    <row r="614" spans="14:30" x14ac:dyDescent="0.25">
      <c r="N614" s="9"/>
      <c r="P614" s="33"/>
      <c r="Q614" s="4"/>
      <c r="R614" s="4"/>
      <c r="S614" s="4"/>
      <c r="T614" s="4"/>
      <c r="U614" s="4"/>
      <c r="V614" s="4"/>
      <c r="X614" s="4"/>
      <c r="Y614" s="4"/>
      <c r="AA614" s="4"/>
      <c r="AB614" s="4"/>
      <c r="AC614" s="4"/>
      <c r="AD614" s="20"/>
    </row>
    <row r="615" spans="14:30" x14ac:dyDescent="0.25">
      <c r="N615" s="9"/>
      <c r="P615" s="33"/>
      <c r="Q615" s="4"/>
      <c r="R615" s="4"/>
      <c r="S615" s="4"/>
      <c r="T615" s="4"/>
      <c r="U615" s="4"/>
      <c r="V615" s="4"/>
      <c r="X615" s="4"/>
      <c r="Y615" s="4"/>
      <c r="AA615" s="4"/>
      <c r="AB615" s="4"/>
      <c r="AC615" s="4"/>
      <c r="AD615" s="20"/>
    </row>
    <row r="616" spans="14:30" x14ac:dyDescent="0.25">
      <c r="N616" s="9"/>
      <c r="P616" s="33"/>
      <c r="Q616" s="4"/>
      <c r="R616" s="4"/>
      <c r="S616" s="4"/>
      <c r="T616" s="4"/>
      <c r="U616" s="4"/>
      <c r="V616" s="4"/>
      <c r="X616" s="4"/>
      <c r="Y616" s="4"/>
      <c r="AA616" s="4"/>
      <c r="AB616" s="4"/>
      <c r="AC616" s="4"/>
      <c r="AD616" s="20"/>
    </row>
    <row r="617" spans="14:30" x14ac:dyDescent="0.25">
      <c r="N617" s="9"/>
      <c r="P617" s="33"/>
      <c r="Q617" s="4"/>
      <c r="R617" s="4"/>
      <c r="S617" s="4"/>
      <c r="T617" s="4"/>
      <c r="U617" s="4"/>
      <c r="V617" s="4"/>
      <c r="X617" s="4"/>
      <c r="Y617" s="4"/>
      <c r="AA617" s="4"/>
      <c r="AB617" s="4"/>
      <c r="AC617" s="4"/>
      <c r="AD617" s="20"/>
    </row>
    <row r="618" spans="14:30" x14ac:dyDescent="0.25">
      <c r="N618" s="9"/>
      <c r="P618" s="33"/>
      <c r="Q618" s="4"/>
      <c r="R618" s="4"/>
      <c r="S618" s="4"/>
      <c r="T618" s="4"/>
      <c r="U618" s="4"/>
      <c r="V618" s="4"/>
      <c r="X618" s="4"/>
      <c r="Y618" s="4"/>
      <c r="AA618" s="4"/>
      <c r="AB618" s="4"/>
      <c r="AC618" s="4"/>
      <c r="AD618" s="20"/>
    </row>
    <row r="619" spans="14:30" x14ac:dyDescent="0.25">
      <c r="N619" s="9"/>
      <c r="P619" s="33"/>
      <c r="Q619" s="4"/>
      <c r="R619" s="4"/>
      <c r="S619" s="4"/>
      <c r="T619" s="4"/>
      <c r="U619" s="4"/>
      <c r="V619" s="4"/>
      <c r="X619" s="4"/>
      <c r="Y619" s="4"/>
      <c r="AA619" s="4"/>
      <c r="AB619" s="4"/>
      <c r="AC619" s="4"/>
      <c r="AD619" s="20"/>
    </row>
    <row r="620" spans="14:30" x14ac:dyDescent="0.25">
      <c r="N620" s="9"/>
      <c r="P620" s="33"/>
      <c r="Q620" s="4"/>
      <c r="R620" s="4"/>
      <c r="S620" s="4"/>
      <c r="T620" s="4"/>
      <c r="U620" s="4"/>
      <c r="V620" s="4"/>
      <c r="X620" s="4"/>
      <c r="Y620" s="4"/>
      <c r="AA620" s="4"/>
      <c r="AB620" s="4"/>
      <c r="AC620" s="4"/>
      <c r="AD620" s="20"/>
    </row>
    <row r="621" spans="14:30" x14ac:dyDescent="0.25">
      <c r="N621" s="9"/>
      <c r="P621" s="33"/>
      <c r="Q621" s="4"/>
      <c r="R621" s="4"/>
      <c r="S621" s="4"/>
      <c r="T621" s="4"/>
      <c r="U621" s="4"/>
      <c r="V621" s="4"/>
      <c r="X621" s="4"/>
      <c r="Y621" s="4"/>
      <c r="AA621" s="4"/>
      <c r="AB621" s="4"/>
      <c r="AC621" s="4"/>
      <c r="AD621" s="20"/>
    </row>
    <row r="622" spans="14:30" x14ac:dyDescent="0.25">
      <c r="N622" s="9"/>
      <c r="P622" s="33"/>
      <c r="Q622" s="4"/>
      <c r="R622" s="4"/>
      <c r="S622" s="4"/>
      <c r="T622" s="4"/>
      <c r="U622" s="4"/>
      <c r="V622" s="4"/>
      <c r="X622" s="4"/>
      <c r="Y622" s="4"/>
      <c r="AA622" s="4"/>
      <c r="AB622" s="4"/>
      <c r="AC622" s="4"/>
      <c r="AD622" s="20"/>
    </row>
    <row r="623" spans="14:30" x14ac:dyDescent="0.25">
      <c r="N623" s="9"/>
      <c r="P623" s="33"/>
      <c r="Q623" s="4"/>
      <c r="R623" s="4"/>
      <c r="S623" s="4"/>
      <c r="T623" s="4"/>
      <c r="U623" s="4"/>
      <c r="V623" s="4"/>
      <c r="X623" s="4"/>
      <c r="Y623" s="4"/>
      <c r="AA623" s="4"/>
      <c r="AB623" s="4"/>
      <c r="AC623" s="4"/>
      <c r="AD623" s="20"/>
    </row>
    <row r="624" spans="14:30" x14ac:dyDescent="0.25">
      <c r="N624" s="9"/>
      <c r="P624" s="33"/>
      <c r="Q624" s="4"/>
      <c r="R624" s="4"/>
      <c r="S624" s="4"/>
      <c r="T624" s="4"/>
      <c r="U624" s="4"/>
      <c r="V624" s="4"/>
      <c r="X624" s="4"/>
      <c r="Y624" s="4"/>
      <c r="AA624" s="4"/>
      <c r="AB624" s="4"/>
      <c r="AC624" s="4"/>
      <c r="AD624" s="20"/>
    </row>
    <row r="625" spans="14:30" x14ac:dyDescent="0.25">
      <c r="N625" s="9"/>
      <c r="P625" s="33"/>
      <c r="Q625" s="4"/>
      <c r="R625" s="4"/>
      <c r="S625" s="4"/>
      <c r="T625" s="4"/>
      <c r="U625" s="4"/>
      <c r="V625" s="4"/>
      <c r="X625" s="4"/>
      <c r="Y625" s="4"/>
      <c r="AA625" s="4"/>
      <c r="AB625" s="4"/>
      <c r="AC625" s="4"/>
      <c r="AD625" s="20"/>
    </row>
    <row r="626" spans="14:30" x14ac:dyDescent="0.25">
      <c r="N626" s="9"/>
      <c r="P626" s="33"/>
      <c r="Q626" s="4"/>
      <c r="R626" s="4"/>
      <c r="S626" s="4"/>
      <c r="T626" s="4"/>
      <c r="U626" s="4"/>
      <c r="V626" s="4"/>
      <c r="X626" s="4"/>
      <c r="Y626" s="4"/>
      <c r="AA626" s="4"/>
      <c r="AB626" s="4"/>
      <c r="AC626" s="4"/>
      <c r="AD626" s="20"/>
    </row>
    <row r="627" spans="14:30" x14ac:dyDescent="0.25">
      <c r="N627" s="9"/>
      <c r="P627" s="33"/>
      <c r="Q627" s="4"/>
      <c r="R627" s="4"/>
      <c r="S627" s="4"/>
      <c r="T627" s="4"/>
      <c r="U627" s="4"/>
      <c r="V627" s="4"/>
      <c r="X627" s="4"/>
      <c r="Y627" s="4"/>
      <c r="AA627" s="4"/>
      <c r="AB627" s="4"/>
      <c r="AC627" s="4"/>
      <c r="AD627" s="20"/>
    </row>
    <row r="628" spans="14:30" x14ac:dyDescent="0.25">
      <c r="N628" s="9"/>
      <c r="P628" s="33"/>
      <c r="Q628" s="4"/>
      <c r="R628" s="4"/>
      <c r="S628" s="4"/>
      <c r="T628" s="4"/>
      <c r="U628" s="4"/>
      <c r="V628" s="4"/>
      <c r="X628" s="4"/>
      <c r="Y628" s="4"/>
      <c r="AA628" s="4"/>
      <c r="AB628" s="4"/>
      <c r="AC628" s="4"/>
      <c r="AD628" s="20"/>
    </row>
    <row r="629" spans="14:30" x14ac:dyDescent="0.25">
      <c r="N629" s="9"/>
      <c r="P629" s="33"/>
      <c r="Q629" s="4"/>
      <c r="R629" s="4"/>
      <c r="S629" s="4"/>
      <c r="T629" s="4"/>
      <c r="U629" s="4"/>
      <c r="V629" s="4"/>
      <c r="X629" s="4"/>
      <c r="Y629" s="4"/>
      <c r="AA629" s="4"/>
      <c r="AB629" s="4"/>
      <c r="AC629" s="4"/>
      <c r="AD629" s="20"/>
    </row>
    <row r="630" spans="14:30" x14ac:dyDescent="0.25">
      <c r="N630" s="9"/>
      <c r="P630" s="33"/>
      <c r="Q630" s="4"/>
      <c r="R630" s="4"/>
      <c r="S630" s="4"/>
      <c r="T630" s="4"/>
      <c r="U630" s="4"/>
      <c r="V630" s="4"/>
      <c r="X630" s="4"/>
      <c r="Y630" s="4"/>
      <c r="AA630" s="4"/>
      <c r="AB630" s="4"/>
      <c r="AC630" s="4"/>
      <c r="AD630" s="20"/>
    </row>
    <row r="631" spans="14:30" x14ac:dyDescent="0.25">
      <c r="N631" s="9"/>
      <c r="P631" s="33"/>
      <c r="Q631" s="4"/>
      <c r="R631" s="4"/>
      <c r="S631" s="4"/>
      <c r="T631" s="4"/>
      <c r="U631" s="4"/>
      <c r="V631" s="4"/>
      <c r="X631" s="4"/>
      <c r="Y631" s="4"/>
      <c r="AA631" s="4"/>
      <c r="AB631" s="4"/>
      <c r="AC631" s="4"/>
      <c r="AD631" s="20"/>
    </row>
    <row r="632" spans="14:30" x14ac:dyDescent="0.25">
      <c r="N632" s="9"/>
      <c r="P632" s="33"/>
      <c r="Q632" s="4"/>
      <c r="R632" s="4"/>
      <c r="S632" s="4"/>
      <c r="T632" s="4"/>
      <c r="U632" s="4"/>
      <c r="V632" s="4"/>
      <c r="X632" s="4"/>
      <c r="Y632" s="4"/>
      <c r="AA632" s="4"/>
      <c r="AB632" s="4"/>
      <c r="AC632" s="4"/>
      <c r="AD632" s="20"/>
    </row>
    <row r="633" spans="14:30" x14ac:dyDescent="0.25">
      <c r="N633" s="9"/>
      <c r="P633" s="33"/>
      <c r="Q633" s="4"/>
      <c r="R633" s="4"/>
      <c r="S633" s="4"/>
      <c r="T633" s="4"/>
      <c r="U633" s="4"/>
      <c r="V633" s="4"/>
      <c r="X633" s="4"/>
      <c r="Y633" s="4"/>
      <c r="AA633" s="4"/>
      <c r="AB633" s="4"/>
      <c r="AC633" s="4"/>
      <c r="AD633" s="20"/>
    </row>
    <row r="634" spans="14:30" x14ac:dyDescent="0.25">
      <c r="N634" s="9"/>
      <c r="P634" s="33"/>
      <c r="Q634" s="4"/>
      <c r="R634" s="4"/>
      <c r="S634" s="4"/>
      <c r="T634" s="4"/>
      <c r="U634" s="4"/>
      <c r="V634" s="4"/>
      <c r="X634" s="4"/>
      <c r="Y634" s="4"/>
      <c r="AA634" s="4"/>
      <c r="AB634" s="4"/>
      <c r="AC634" s="4"/>
      <c r="AD634" s="20"/>
    </row>
    <row r="635" spans="14:30" x14ac:dyDescent="0.25">
      <c r="N635" s="9"/>
      <c r="P635" s="33"/>
      <c r="Q635" s="4"/>
      <c r="R635" s="4"/>
      <c r="S635" s="4"/>
      <c r="T635" s="4"/>
      <c r="U635" s="4"/>
      <c r="V635" s="4"/>
      <c r="X635" s="4"/>
      <c r="Y635" s="4"/>
      <c r="AA635" s="4"/>
      <c r="AB635" s="4"/>
      <c r="AC635" s="4"/>
      <c r="AD635" s="20"/>
    </row>
    <row r="636" spans="14:30" x14ac:dyDescent="0.25">
      <c r="N636" s="9"/>
      <c r="P636" s="33"/>
      <c r="Q636" s="4"/>
      <c r="R636" s="4"/>
      <c r="S636" s="4"/>
      <c r="T636" s="4"/>
      <c r="U636" s="4"/>
      <c r="V636" s="4"/>
      <c r="X636" s="4"/>
      <c r="Y636" s="4"/>
      <c r="AA636" s="4"/>
      <c r="AB636" s="4"/>
      <c r="AC636" s="4"/>
      <c r="AD636" s="20"/>
    </row>
    <row r="637" spans="14:30" x14ac:dyDescent="0.25">
      <c r="N637" s="9"/>
      <c r="P637" s="33"/>
      <c r="Q637" s="4"/>
      <c r="R637" s="4"/>
      <c r="S637" s="4"/>
      <c r="T637" s="4"/>
      <c r="U637" s="4"/>
      <c r="V637" s="4"/>
      <c r="X637" s="4"/>
      <c r="Y637" s="4"/>
      <c r="AA637" s="4"/>
      <c r="AB637" s="4"/>
      <c r="AC637" s="4"/>
      <c r="AD637" s="20"/>
    </row>
    <row r="638" spans="14:30" x14ac:dyDescent="0.25">
      <c r="N638" s="9"/>
      <c r="P638" s="33"/>
      <c r="Q638" s="4"/>
      <c r="R638" s="4"/>
      <c r="S638" s="4"/>
      <c r="T638" s="4"/>
      <c r="U638" s="4"/>
      <c r="V638" s="4"/>
      <c r="X638" s="4"/>
      <c r="Y638" s="4"/>
      <c r="AA638" s="4"/>
      <c r="AB638" s="4"/>
      <c r="AC638" s="4"/>
      <c r="AD638" s="20"/>
    </row>
    <row r="639" spans="14:30" x14ac:dyDescent="0.25">
      <c r="N639" s="9"/>
      <c r="P639" s="33"/>
      <c r="Q639" s="4"/>
      <c r="R639" s="4"/>
      <c r="S639" s="4"/>
      <c r="T639" s="4"/>
      <c r="U639" s="4"/>
      <c r="V639" s="4"/>
      <c r="X639" s="4"/>
      <c r="Y639" s="4"/>
      <c r="AA639" s="4"/>
      <c r="AB639" s="4"/>
      <c r="AC639" s="4"/>
      <c r="AD639" s="20"/>
    </row>
    <row r="640" spans="14:30" x14ac:dyDescent="0.25">
      <c r="N640" s="9"/>
      <c r="P640" s="33"/>
      <c r="Q640" s="4"/>
      <c r="R640" s="4"/>
      <c r="S640" s="4"/>
      <c r="T640" s="4"/>
      <c r="U640" s="4"/>
      <c r="V640" s="4"/>
      <c r="X640" s="4"/>
      <c r="Y640" s="4"/>
      <c r="AA640" s="4"/>
      <c r="AB640" s="4"/>
      <c r="AC640" s="4"/>
      <c r="AD640" s="20"/>
    </row>
    <row r="641" spans="14:30" x14ac:dyDescent="0.25">
      <c r="N641" s="9"/>
      <c r="P641" s="33"/>
      <c r="Q641" s="4"/>
      <c r="R641" s="4"/>
      <c r="S641" s="4"/>
      <c r="T641" s="4"/>
      <c r="U641" s="4"/>
      <c r="V641" s="4"/>
      <c r="X641" s="4"/>
      <c r="Y641" s="4"/>
      <c r="AA641" s="4"/>
      <c r="AB641" s="4"/>
      <c r="AC641" s="4"/>
      <c r="AD641" s="20"/>
    </row>
    <row r="642" spans="14:30" x14ac:dyDescent="0.25">
      <c r="N642" s="9"/>
      <c r="P642" s="33"/>
      <c r="Q642" s="4"/>
      <c r="R642" s="4"/>
      <c r="S642" s="4"/>
      <c r="T642" s="4"/>
      <c r="U642" s="4"/>
      <c r="V642" s="4"/>
      <c r="X642" s="4"/>
      <c r="Y642" s="4"/>
      <c r="AA642" s="4"/>
      <c r="AB642" s="4"/>
      <c r="AC642" s="4"/>
      <c r="AD642" s="20"/>
    </row>
    <row r="643" spans="14:30" x14ac:dyDescent="0.25">
      <c r="N643" s="9"/>
      <c r="P643" s="33"/>
      <c r="Q643" s="4"/>
      <c r="R643" s="4"/>
      <c r="S643" s="4"/>
      <c r="T643" s="4"/>
      <c r="U643" s="4"/>
      <c r="V643" s="4"/>
      <c r="X643" s="4"/>
      <c r="Y643" s="4"/>
      <c r="AA643" s="4"/>
      <c r="AB643" s="4"/>
      <c r="AC643" s="4"/>
      <c r="AD643" s="20"/>
    </row>
    <row r="644" spans="14:30" x14ac:dyDescent="0.25">
      <c r="N644" s="9"/>
      <c r="P644" s="33"/>
      <c r="Q644" s="4"/>
      <c r="R644" s="4"/>
      <c r="S644" s="4"/>
      <c r="T644" s="4"/>
      <c r="U644" s="4"/>
      <c r="V644" s="4"/>
      <c r="X644" s="4"/>
      <c r="Y644" s="4"/>
      <c r="AA644" s="4"/>
      <c r="AB644" s="4"/>
      <c r="AC644" s="4"/>
      <c r="AD644" s="20"/>
    </row>
    <row r="645" spans="14:30" x14ac:dyDescent="0.25">
      <c r="N645" s="9"/>
      <c r="P645" s="33"/>
      <c r="Q645" s="4"/>
      <c r="R645" s="4"/>
      <c r="S645" s="4"/>
      <c r="T645" s="4"/>
      <c r="U645" s="4"/>
      <c r="V645" s="4"/>
      <c r="X645" s="4"/>
      <c r="Y645" s="4"/>
      <c r="AA645" s="4"/>
      <c r="AB645" s="4"/>
      <c r="AC645" s="4"/>
      <c r="AD645" s="20"/>
    </row>
    <row r="646" spans="14:30" x14ac:dyDescent="0.25">
      <c r="N646" s="9"/>
      <c r="P646" s="33"/>
      <c r="Q646" s="4"/>
      <c r="R646" s="4"/>
      <c r="S646" s="4"/>
      <c r="T646" s="4"/>
      <c r="U646" s="4"/>
      <c r="V646" s="4"/>
      <c r="X646" s="4"/>
      <c r="Y646" s="4"/>
      <c r="AA646" s="4"/>
      <c r="AB646" s="4"/>
      <c r="AC646" s="4"/>
      <c r="AD646" s="20"/>
    </row>
    <row r="647" spans="14:30" x14ac:dyDescent="0.25">
      <c r="N647" s="9"/>
      <c r="P647" s="33"/>
      <c r="Q647" s="4"/>
      <c r="R647" s="4"/>
      <c r="S647" s="4"/>
      <c r="T647" s="4"/>
      <c r="U647" s="4"/>
      <c r="V647" s="4"/>
      <c r="X647" s="4"/>
      <c r="Y647" s="4"/>
      <c r="AA647" s="4"/>
      <c r="AB647" s="4"/>
      <c r="AC647" s="4"/>
      <c r="AD647" s="20"/>
    </row>
    <row r="648" spans="14:30" x14ac:dyDescent="0.25">
      <c r="N648" s="9"/>
      <c r="P648" s="33"/>
      <c r="Q648" s="4"/>
      <c r="R648" s="4"/>
      <c r="S648" s="4"/>
      <c r="T648" s="4"/>
      <c r="U648" s="4"/>
      <c r="V648" s="4"/>
      <c r="X648" s="4"/>
      <c r="Y648" s="4"/>
      <c r="AA648" s="4"/>
      <c r="AB648" s="4"/>
      <c r="AC648" s="4"/>
      <c r="AD648" s="20"/>
    </row>
    <row r="649" spans="14:30" x14ac:dyDescent="0.25">
      <c r="N649" s="9"/>
      <c r="P649" s="33"/>
      <c r="Q649" s="4"/>
      <c r="R649" s="4"/>
      <c r="S649" s="4"/>
      <c r="T649" s="4"/>
      <c r="U649" s="4"/>
      <c r="V649" s="4"/>
      <c r="X649" s="4"/>
      <c r="Y649" s="4"/>
      <c r="AA649" s="4"/>
      <c r="AB649" s="4"/>
      <c r="AC649" s="4"/>
      <c r="AD649" s="20"/>
    </row>
    <row r="650" spans="14:30" x14ac:dyDescent="0.25">
      <c r="N650" s="9"/>
      <c r="P650" s="33"/>
      <c r="Q650" s="4"/>
      <c r="R650" s="4"/>
      <c r="S650" s="4"/>
      <c r="T650" s="4"/>
      <c r="U650" s="4"/>
      <c r="V650" s="4"/>
      <c r="X650" s="4"/>
      <c r="Y650" s="4"/>
      <c r="AA650" s="4"/>
      <c r="AB650" s="4"/>
      <c r="AC650" s="4"/>
      <c r="AD650" s="20"/>
    </row>
    <row r="651" spans="14:30" x14ac:dyDescent="0.25">
      <c r="N651" s="9"/>
      <c r="P651" s="33"/>
      <c r="Q651" s="4"/>
      <c r="R651" s="4"/>
      <c r="S651" s="4"/>
      <c r="T651" s="4"/>
      <c r="U651" s="4"/>
      <c r="V651" s="4"/>
      <c r="X651" s="4"/>
      <c r="Y651" s="4"/>
      <c r="AA651" s="4"/>
      <c r="AB651" s="4"/>
      <c r="AC651" s="4"/>
      <c r="AD651" s="20"/>
    </row>
    <row r="652" spans="14:30" x14ac:dyDescent="0.25">
      <c r="N652" s="9"/>
      <c r="P652" s="33"/>
      <c r="Q652" s="4"/>
      <c r="R652" s="4"/>
      <c r="S652" s="4"/>
      <c r="T652" s="4"/>
      <c r="U652" s="4"/>
      <c r="V652" s="4"/>
      <c r="X652" s="4"/>
      <c r="Y652" s="4"/>
      <c r="AA652" s="4"/>
      <c r="AB652" s="4"/>
      <c r="AC652" s="4"/>
      <c r="AD652" s="20"/>
    </row>
    <row r="653" spans="14:30" x14ac:dyDescent="0.25">
      <c r="N653" s="9"/>
      <c r="P653" s="33"/>
      <c r="Q653" s="4"/>
      <c r="R653" s="4"/>
      <c r="S653" s="4"/>
      <c r="T653" s="4"/>
      <c r="U653" s="4"/>
      <c r="V653" s="4"/>
      <c r="X653" s="4"/>
      <c r="Y653" s="4"/>
      <c r="AA653" s="4"/>
      <c r="AB653" s="4"/>
      <c r="AC653" s="4"/>
      <c r="AD653" s="20"/>
    </row>
    <row r="654" spans="14:30" x14ac:dyDescent="0.25">
      <c r="N654" s="9"/>
      <c r="P654" s="33"/>
      <c r="Q654" s="4"/>
      <c r="R654" s="4"/>
      <c r="S654" s="4"/>
      <c r="T654" s="4"/>
      <c r="U654" s="4"/>
      <c r="V654" s="4"/>
      <c r="X654" s="4"/>
      <c r="Y654" s="4"/>
      <c r="AA654" s="4"/>
      <c r="AB654" s="4"/>
      <c r="AC654" s="4"/>
      <c r="AD654" s="20"/>
    </row>
    <row r="655" spans="14:30" x14ac:dyDescent="0.25">
      <c r="N655" s="9"/>
      <c r="P655" s="33"/>
      <c r="Q655" s="4"/>
      <c r="R655" s="4"/>
      <c r="S655" s="4"/>
      <c r="T655" s="4"/>
      <c r="U655" s="4"/>
      <c r="V655" s="4"/>
      <c r="X655" s="4"/>
      <c r="Y655" s="4"/>
      <c r="AA655" s="4"/>
      <c r="AB655" s="4"/>
      <c r="AC655" s="4"/>
      <c r="AD655" s="20"/>
    </row>
    <row r="656" spans="14:30" x14ac:dyDescent="0.25">
      <c r="N656" s="9"/>
      <c r="P656" s="33"/>
      <c r="Q656" s="4"/>
      <c r="R656" s="4"/>
      <c r="S656" s="4"/>
      <c r="T656" s="4"/>
      <c r="U656" s="4"/>
      <c r="V656" s="4"/>
      <c r="X656" s="4"/>
      <c r="Y656" s="4"/>
      <c r="AA656" s="4"/>
      <c r="AB656" s="4"/>
      <c r="AC656" s="4"/>
      <c r="AD656" s="20"/>
    </row>
    <row r="657" spans="14:30" x14ac:dyDescent="0.25">
      <c r="N657" s="9"/>
      <c r="P657" s="33"/>
      <c r="Q657" s="4"/>
      <c r="R657" s="4"/>
      <c r="S657" s="4"/>
      <c r="T657" s="4"/>
      <c r="U657" s="4"/>
      <c r="V657" s="4"/>
      <c r="X657" s="4"/>
      <c r="Y657" s="4"/>
      <c r="AA657" s="4"/>
      <c r="AB657" s="4"/>
      <c r="AC657" s="4"/>
      <c r="AD657" s="20"/>
    </row>
    <row r="658" spans="14:30" x14ac:dyDescent="0.25">
      <c r="N658" s="9"/>
      <c r="P658" s="33"/>
      <c r="Q658" s="4"/>
      <c r="R658" s="4"/>
      <c r="S658" s="4"/>
      <c r="T658" s="4"/>
      <c r="U658" s="4"/>
      <c r="V658" s="4"/>
      <c r="X658" s="4"/>
      <c r="Y658" s="4"/>
      <c r="AA658" s="4"/>
      <c r="AB658" s="4"/>
      <c r="AC658" s="4"/>
      <c r="AD658" s="20"/>
    </row>
    <row r="659" spans="14:30" x14ac:dyDescent="0.25">
      <c r="N659" s="9"/>
      <c r="P659" s="33"/>
      <c r="Q659" s="4"/>
      <c r="R659" s="4"/>
      <c r="S659" s="4"/>
      <c r="T659" s="4"/>
      <c r="U659" s="4"/>
      <c r="V659" s="4"/>
      <c r="X659" s="4"/>
      <c r="Y659" s="4"/>
      <c r="AA659" s="4"/>
      <c r="AB659" s="4"/>
      <c r="AC659" s="4"/>
      <c r="AD659" s="20"/>
    </row>
    <row r="660" spans="14:30" x14ac:dyDescent="0.25">
      <c r="N660" s="9"/>
      <c r="P660" s="33"/>
      <c r="Q660" s="4"/>
      <c r="R660" s="4"/>
      <c r="S660" s="4"/>
      <c r="T660" s="4"/>
      <c r="U660" s="4"/>
      <c r="V660" s="4"/>
      <c r="X660" s="4"/>
      <c r="Y660" s="4"/>
      <c r="AA660" s="4"/>
      <c r="AB660" s="4"/>
      <c r="AC660" s="4"/>
      <c r="AD660" s="20"/>
    </row>
    <row r="661" spans="14:30" x14ac:dyDescent="0.25">
      <c r="N661" s="9"/>
      <c r="P661" s="33"/>
      <c r="Q661" s="4"/>
      <c r="R661" s="4"/>
      <c r="S661" s="4"/>
      <c r="T661" s="4"/>
      <c r="U661" s="4"/>
      <c r="V661" s="4"/>
      <c r="X661" s="4"/>
      <c r="Y661" s="4"/>
      <c r="AA661" s="4"/>
      <c r="AB661" s="4"/>
      <c r="AC661" s="4"/>
      <c r="AD661" s="20"/>
    </row>
    <row r="662" spans="14:30" x14ac:dyDescent="0.25">
      <c r="N662" s="9"/>
      <c r="P662" s="33"/>
      <c r="Q662" s="4"/>
      <c r="R662" s="4"/>
      <c r="S662" s="4"/>
      <c r="T662" s="4"/>
      <c r="U662" s="4"/>
      <c r="V662" s="4"/>
      <c r="X662" s="4"/>
      <c r="Y662" s="4"/>
      <c r="AA662" s="4"/>
      <c r="AB662" s="4"/>
      <c r="AC662" s="4"/>
      <c r="AD662" s="20"/>
    </row>
    <row r="663" spans="14:30" x14ac:dyDescent="0.25">
      <c r="N663" s="9"/>
      <c r="P663" s="33"/>
      <c r="Q663" s="4"/>
      <c r="R663" s="4"/>
      <c r="S663" s="4"/>
      <c r="T663" s="4"/>
      <c r="U663" s="4"/>
      <c r="V663" s="4"/>
      <c r="X663" s="4"/>
      <c r="Y663" s="4"/>
      <c r="AA663" s="4"/>
      <c r="AB663" s="4"/>
      <c r="AC663" s="4"/>
      <c r="AD663" s="20"/>
    </row>
    <row r="664" spans="14:30" x14ac:dyDescent="0.25">
      <c r="N664" s="9"/>
      <c r="P664" s="33"/>
      <c r="Q664" s="4"/>
      <c r="R664" s="4"/>
      <c r="S664" s="4"/>
      <c r="T664" s="4"/>
      <c r="U664" s="4"/>
      <c r="V664" s="4"/>
      <c r="X664" s="4"/>
      <c r="Y664" s="4"/>
      <c r="AA664" s="4"/>
      <c r="AB664" s="4"/>
      <c r="AC664" s="4"/>
      <c r="AD664" s="20"/>
    </row>
    <row r="665" spans="14:30" x14ac:dyDescent="0.25">
      <c r="N665" s="9"/>
      <c r="P665" s="33"/>
      <c r="Q665" s="4"/>
      <c r="R665" s="4"/>
      <c r="S665" s="4"/>
      <c r="T665" s="4"/>
      <c r="U665" s="4"/>
      <c r="V665" s="4"/>
      <c r="X665" s="4"/>
      <c r="Y665" s="4"/>
      <c r="AA665" s="4"/>
      <c r="AB665" s="4"/>
      <c r="AC665" s="4"/>
      <c r="AD665" s="20"/>
    </row>
    <row r="666" spans="14:30" x14ac:dyDescent="0.25">
      <c r="N666" s="9"/>
      <c r="P666" s="33"/>
      <c r="Q666" s="4"/>
      <c r="R666" s="4"/>
      <c r="S666" s="4"/>
      <c r="T666" s="4"/>
      <c r="U666" s="4"/>
      <c r="V666" s="4"/>
      <c r="X666" s="4"/>
      <c r="Y666" s="4"/>
      <c r="AA666" s="4"/>
      <c r="AB666" s="4"/>
      <c r="AC666" s="4"/>
      <c r="AD666" s="20"/>
    </row>
    <row r="667" spans="14:30" x14ac:dyDescent="0.25">
      <c r="N667" s="9"/>
      <c r="P667" s="33"/>
      <c r="Q667" s="4"/>
      <c r="R667" s="4"/>
      <c r="S667" s="4"/>
      <c r="T667" s="4"/>
      <c r="U667" s="4"/>
      <c r="V667" s="4"/>
      <c r="X667" s="4"/>
      <c r="Y667" s="4"/>
      <c r="AA667" s="4"/>
      <c r="AB667" s="4"/>
      <c r="AC667" s="4"/>
      <c r="AD667" s="20"/>
    </row>
    <row r="668" spans="14:30" x14ac:dyDescent="0.25">
      <c r="N668" s="9"/>
      <c r="P668" s="33"/>
      <c r="Q668" s="4"/>
      <c r="R668" s="4"/>
      <c r="S668" s="4"/>
      <c r="T668" s="4"/>
      <c r="U668" s="4"/>
      <c r="V668" s="4"/>
      <c r="X668" s="4"/>
      <c r="Y668" s="4"/>
      <c r="AA668" s="4"/>
      <c r="AB668" s="4"/>
      <c r="AC668" s="4"/>
      <c r="AD668" s="20"/>
    </row>
    <row r="669" spans="14:30" x14ac:dyDescent="0.25">
      <c r="N669" s="9"/>
      <c r="P669" s="33"/>
      <c r="Q669" s="4"/>
      <c r="R669" s="4"/>
      <c r="S669" s="4"/>
      <c r="T669" s="4"/>
      <c r="U669" s="4"/>
      <c r="V669" s="4"/>
      <c r="X669" s="4"/>
      <c r="Y669" s="4"/>
      <c r="AA669" s="4"/>
      <c r="AB669" s="4"/>
      <c r="AC669" s="4"/>
      <c r="AD669" s="20"/>
    </row>
    <row r="670" spans="14:30" x14ac:dyDescent="0.25">
      <c r="N670" s="9"/>
      <c r="P670" s="33"/>
      <c r="Q670" s="4"/>
      <c r="R670" s="4"/>
      <c r="S670" s="4"/>
      <c r="T670" s="4"/>
      <c r="U670" s="4"/>
      <c r="V670" s="4"/>
      <c r="X670" s="4"/>
      <c r="Y670" s="4"/>
      <c r="AA670" s="4"/>
      <c r="AB670" s="4"/>
      <c r="AC670" s="4"/>
      <c r="AD670" s="20"/>
    </row>
    <row r="671" spans="14:30" x14ac:dyDescent="0.25">
      <c r="N671" s="9"/>
      <c r="P671" s="33"/>
      <c r="Q671" s="4"/>
      <c r="R671" s="4"/>
      <c r="S671" s="4"/>
      <c r="T671" s="4"/>
      <c r="U671" s="4"/>
      <c r="V671" s="4"/>
      <c r="X671" s="4"/>
      <c r="Y671" s="4"/>
      <c r="AA671" s="4"/>
      <c r="AB671" s="4"/>
      <c r="AC671" s="4"/>
      <c r="AD671" s="20"/>
    </row>
    <row r="672" spans="14:30" x14ac:dyDescent="0.25">
      <c r="N672" s="9"/>
      <c r="P672" s="33"/>
      <c r="Q672" s="4"/>
      <c r="R672" s="4"/>
      <c r="S672" s="4"/>
      <c r="T672" s="4"/>
      <c r="U672" s="4"/>
      <c r="V672" s="4"/>
      <c r="X672" s="4"/>
      <c r="Y672" s="4"/>
      <c r="AA672" s="4"/>
      <c r="AB672" s="4"/>
      <c r="AC672" s="4"/>
      <c r="AD672" s="20"/>
    </row>
    <row r="673" spans="14:30" x14ac:dyDescent="0.25">
      <c r="N673" s="9"/>
      <c r="P673" s="33"/>
      <c r="Q673" s="4"/>
      <c r="R673" s="4"/>
      <c r="S673" s="4"/>
      <c r="T673" s="4"/>
      <c r="U673" s="4"/>
      <c r="V673" s="4"/>
      <c r="X673" s="4"/>
      <c r="Y673" s="4"/>
      <c r="AA673" s="4"/>
      <c r="AB673" s="4"/>
      <c r="AC673" s="4"/>
      <c r="AD673" s="20"/>
    </row>
    <row r="674" spans="14:30" x14ac:dyDescent="0.25">
      <c r="N674" s="9"/>
      <c r="P674" s="33"/>
      <c r="Q674" s="4"/>
      <c r="R674" s="4"/>
      <c r="S674" s="4"/>
      <c r="T674" s="4"/>
      <c r="U674" s="4"/>
      <c r="V674" s="4"/>
      <c r="X674" s="4"/>
      <c r="Y674" s="4"/>
      <c r="AA674" s="4"/>
      <c r="AB674" s="4"/>
      <c r="AC674" s="4"/>
      <c r="AD674" s="20"/>
    </row>
    <row r="675" spans="14:30" x14ac:dyDescent="0.25">
      <c r="N675" s="9"/>
      <c r="P675" s="33"/>
      <c r="Q675" s="4"/>
      <c r="R675" s="4"/>
      <c r="S675" s="4"/>
      <c r="T675" s="4"/>
      <c r="U675" s="4"/>
      <c r="V675" s="4"/>
      <c r="X675" s="4"/>
      <c r="Y675" s="4"/>
      <c r="AA675" s="4"/>
      <c r="AB675" s="4"/>
      <c r="AC675" s="4"/>
      <c r="AD675" s="20"/>
    </row>
    <row r="676" spans="14:30" x14ac:dyDescent="0.25">
      <c r="N676" s="9"/>
      <c r="P676" s="33"/>
      <c r="Q676" s="4"/>
      <c r="R676" s="4"/>
      <c r="S676" s="4"/>
      <c r="T676" s="4"/>
      <c r="U676" s="4"/>
      <c r="V676" s="4"/>
      <c r="X676" s="4"/>
      <c r="Y676" s="4"/>
      <c r="AA676" s="4"/>
      <c r="AB676" s="4"/>
      <c r="AC676" s="4"/>
      <c r="AD676" s="20"/>
    </row>
    <row r="677" spans="14:30" x14ac:dyDescent="0.25">
      <c r="N677" s="9"/>
      <c r="P677" s="33"/>
      <c r="Q677" s="4"/>
      <c r="R677" s="4"/>
      <c r="S677" s="4"/>
      <c r="T677" s="4"/>
      <c r="U677" s="4"/>
      <c r="V677" s="4"/>
      <c r="X677" s="4"/>
      <c r="Y677" s="4"/>
      <c r="AA677" s="4"/>
      <c r="AB677" s="4"/>
      <c r="AC677" s="4"/>
      <c r="AD677" s="20"/>
    </row>
    <row r="678" spans="14:30" x14ac:dyDescent="0.25">
      <c r="N678" s="9"/>
      <c r="P678" s="33"/>
      <c r="Q678" s="4"/>
      <c r="R678" s="4"/>
      <c r="S678" s="4"/>
      <c r="T678" s="4"/>
      <c r="U678" s="4"/>
      <c r="V678" s="4"/>
      <c r="X678" s="4"/>
      <c r="Y678" s="4"/>
      <c r="AA678" s="4"/>
      <c r="AB678" s="4"/>
      <c r="AC678" s="4"/>
      <c r="AD678" s="20"/>
    </row>
    <row r="679" spans="14:30" x14ac:dyDescent="0.25">
      <c r="N679" s="9"/>
      <c r="P679" s="33"/>
      <c r="Q679" s="4"/>
      <c r="R679" s="4"/>
      <c r="S679" s="4"/>
      <c r="T679" s="4"/>
      <c r="U679" s="4"/>
      <c r="V679" s="4"/>
      <c r="X679" s="4"/>
      <c r="Y679" s="4"/>
      <c r="AA679" s="4"/>
      <c r="AB679" s="4"/>
      <c r="AC679" s="4"/>
      <c r="AD679" s="20"/>
    </row>
    <row r="680" spans="14:30" x14ac:dyDescent="0.25">
      <c r="N680" s="9"/>
      <c r="P680" s="33"/>
      <c r="Q680" s="4"/>
      <c r="R680" s="4"/>
      <c r="S680" s="4"/>
      <c r="T680" s="4"/>
      <c r="U680" s="4"/>
      <c r="V680" s="4"/>
      <c r="X680" s="4"/>
      <c r="Y680" s="4"/>
      <c r="AA680" s="4"/>
      <c r="AB680" s="4"/>
      <c r="AC680" s="4"/>
      <c r="AD680" s="20"/>
    </row>
    <row r="681" spans="14:30" x14ac:dyDescent="0.25">
      <c r="N681" s="9"/>
      <c r="P681" s="33"/>
      <c r="Q681" s="4"/>
      <c r="R681" s="4"/>
      <c r="S681" s="4"/>
      <c r="T681" s="4"/>
      <c r="U681" s="4"/>
      <c r="V681" s="4"/>
      <c r="X681" s="4"/>
      <c r="Y681" s="4"/>
      <c r="AA681" s="4"/>
      <c r="AB681" s="4"/>
      <c r="AC681" s="4"/>
      <c r="AD681" s="20"/>
    </row>
    <row r="682" spans="14:30" x14ac:dyDescent="0.25">
      <c r="N682" s="9"/>
      <c r="P682" s="33"/>
      <c r="Q682" s="4"/>
      <c r="R682" s="4"/>
      <c r="S682" s="4"/>
      <c r="T682" s="4"/>
      <c r="U682" s="4"/>
      <c r="V682" s="4"/>
      <c r="X682" s="4"/>
      <c r="Y682" s="4"/>
      <c r="AA682" s="4"/>
      <c r="AB682" s="4"/>
      <c r="AC682" s="4"/>
      <c r="AD682" s="20"/>
    </row>
    <row r="683" spans="14:30" x14ac:dyDescent="0.25">
      <c r="N683" s="9"/>
      <c r="P683" s="33"/>
      <c r="Q683" s="4"/>
      <c r="R683" s="4"/>
      <c r="S683" s="4"/>
      <c r="T683" s="4"/>
      <c r="U683" s="4"/>
      <c r="V683" s="4"/>
      <c r="X683" s="4"/>
      <c r="Y683" s="4"/>
      <c r="AA683" s="4"/>
      <c r="AB683" s="4"/>
      <c r="AC683" s="4"/>
      <c r="AD683" s="20"/>
    </row>
    <row r="684" spans="14:30" x14ac:dyDescent="0.25">
      <c r="N684" s="9"/>
      <c r="P684" s="33"/>
      <c r="Q684" s="4"/>
      <c r="R684" s="4"/>
      <c r="S684" s="4"/>
      <c r="T684" s="4"/>
      <c r="U684" s="4"/>
      <c r="V684" s="4"/>
      <c r="X684" s="4"/>
      <c r="Y684" s="4"/>
      <c r="AA684" s="4"/>
      <c r="AB684" s="4"/>
      <c r="AC684" s="4"/>
      <c r="AD684" s="20"/>
    </row>
    <row r="685" spans="14:30" x14ac:dyDescent="0.25">
      <c r="N685" s="9"/>
      <c r="P685" s="33"/>
      <c r="Q685" s="4"/>
      <c r="R685" s="4"/>
      <c r="S685" s="4"/>
      <c r="T685" s="4"/>
      <c r="U685" s="4"/>
      <c r="V685" s="4"/>
      <c r="X685" s="4"/>
      <c r="Y685" s="4"/>
      <c r="AA685" s="4"/>
      <c r="AB685" s="4"/>
      <c r="AC685" s="4"/>
      <c r="AD685" s="20"/>
    </row>
    <row r="686" spans="14:30" x14ac:dyDescent="0.25">
      <c r="N686" s="9"/>
      <c r="P686" s="33"/>
      <c r="Q686" s="4"/>
      <c r="R686" s="4"/>
      <c r="S686" s="4"/>
      <c r="T686" s="4"/>
      <c r="U686" s="4"/>
      <c r="V686" s="4"/>
      <c r="X686" s="4"/>
      <c r="Y686" s="4"/>
      <c r="AA686" s="4"/>
      <c r="AB686" s="4"/>
      <c r="AC686" s="4"/>
      <c r="AD686" s="20"/>
    </row>
    <row r="687" spans="14:30" x14ac:dyDescent="0.25">
      <c r="N687" s="9"/>
      <c r="P687" s="33"/>
      <c r="Q687" s="4"/>
      <c r="R687" s="4"/>
      <c r="S687" s="4"/>
      <c r="T687" s="4"/>
      <c r="U687" s="4"/>
      <c r="V687" s="4"/>
      <c r="X687" s="4"/>
      <c r="Y687" s="4"/>
      <c r="AA687" s="4"/>
      <c r="AB687" s="4"/>
      <c r="AC687" s="4"/>
      <c r="AD687" s="20"/>
    </row>
    <row r="688" spans="14:30" x14ac:dyDescent="0.25">
      <c r="N688" s="9"/>
      <c r="P688" s="33"/>
      <c r="Q688" s="4"/>
      <c r="R688" s="4"/>
      <c r="S688" s="4"/>
      <c r="T688" s="4"/>
      <c r="U688" s="4"/>
      <c r="V688" s="4"/>
      <c r="X688" s="4"/>
      <c r="Y688" s="4"/>
      <c r="AA688" s="4"/>
      <c r="AB688" s="4"/>
      <c r="AC688" s="4"/>
      <c r="AD688" s="20"/>
    </row>
    <row r="689" spans="14:30" x14ac:dyDescent="0.25">
      <c r="N689" s="9"/>
      <c r="P689" s="33"/>
      <c r="Q689" s="4"/>
      <c r="R689" s="4"/>
      <c r="S689" s="4"/>
      <c r="T689" s="4"/>
      <c r="U689" s="4"/>
      <c r="V689" s="4"/>
      <c r="X689" s="4"/>
      <c r="Y689" s="4"/>
      <c r="AA689" s="4"/>
      <c r="AB689" s="4"/>
      <c r="AC689" s="4"/>
      <c r="AD689" s="20"/>
    </row>
    <row r="690" spans="14:30" x14ac:dyDescent="0.25">
      <c r="N690" s="9"/>
      <c r="P690" s="33"/>
      <c r="Q690" s="4"/>
      <c r="R690" s="4"/>
      <c r="S690" s="4"/>
      <c r="T690" s="4"/>
      <c r="U690" s="4"/>
      <c r="V690" s="4"/>
      <c r="X690" s="4"/>
      <c r="Y690" s="4"/>
      <c r="AA690" s="4"/>
      <c r="AB690" s="4"/>
      <c r="AC690" s="4"/>
      <c r="AD690" s="20"/>
    </row>
    <row r="691" spans="14:30" x14ac:dyDescent="0.25">
      <c r="N691" s="9"/>
      <c r="P691" s="33"/>
      <c r="Q691" s="4"/>
      <c r="R691" s="4"/>
      <c r="S691" s="4"/>
      <c r="T691" s="4"/>
      <c r="U691" s="4"/>
      <c r="V691" s="4"/>
      <c r="X691" s="4"/>
      <c r="Y691" s="4"/>
      <c r="AA691" s="4"/>
      <c r="AB691" s="4"/>
      <c r="AC691" s="4"/>
      <c r="AD691" s="20"/>
    </row>
    <row r="692" spans="14:30" x14ac:dyDescent="0.25">
      <c r="N692" s="9"/>
      <c r="P692" s="33"/>
      <c r="Q692" s="4"/>
      <c r="R692" s="4"/>
      <c r="S692" s="4"/>
      <c r="T692" s="4"/>
      <c r="U692" s="4"/>
      <c r="V692" s="4"/>
      <c r="X692" s="4"/>
      <c r="Y692" s="4"/>
      <c r="AA692" s="4"/>
      <c r="AB692" s="4"/>
      <c r="AC692" s="4"/>
      <c r="AD692" s="20"/>
    </row>
    <row r="693" spans="14:30" x14ac:dyDescent="0.25">
      <c r="N693" s="9"/>
      <c r="P693" s="33"/>
      <c r="Q693" s="4"/>
      <c r="R693" s="4"/>
      <c r="S693" s="4"/>
      <c r="T693" s="4"/>
      <c r="U693" s="4"/>
      <c r="V693" s="4"/>
      <c r="X693" s="4"/>
      <c r="Y693" s="4"/>
      <c r="AA693" s="4"/>
      <c r="AB693" s="4"/>
      <c r="AC693" s="4"/>
      <c r="AD693" s="20"/>
    </row>
    <row r="694" spans="14:30" x14ac:dyDescent="0.25">
      <c r="N694" s="9"/>
      <c r="P694" s="33"/>
      <c r="Q694" s="4"/>
      <c r="R694" s="4"/>
      <c r="S694" s="4"/>
      <c r="T694" s="4"/>
      <c r="U694" s="4"/>
      <c r="V694" s="4"/>
      <c r="X694" s="4"/>
      <c r="Y694" s="4"/>
      <c r="AA694" s="4"/>
      <c r="AB694" s="4"/>
      <c r="AC694" s="4"/>
      <c r="AD694" s="20"/>
    </row>
    <row r="695" spans="14:30" x14ac:dyDescent="0.25">
      <c r="N695" s="9"/>
      <c r="P695" s="33"/>
      <c r="Q695" s="4"/>
      <c r="R695" s="4"/>
      <c r="S695" s="4"/>
      <c r="T695" s="4"/>
      <c r="U695" s="4"/>
      <c r="V695" s="4"/>
      <c r="X695" s="4"/>
      <c r="Y695" s="4"/>
      <c r="AA695" s="4"/>
      <c r="AB695" s="4"/>
      <c r="AC695" s="4"/>
      <c r="AD695" s="20"/>
    </row>
    <row r="696" spans="14:30" x14ac:dyDescent="0.25">
      <c r="N696" s="9"/>
      <c r="P696" s="33"/>
      <c r="Q696" s="4"/>
      <c r="R696" s="4"/>
      <c r="S696" s="4"/>
      <c r="T696" s="4"/>
      <c r="U696" s="4"/>
      <c r="V696" s="4"/>
      <c r="X696" s="4"/>
      <c r="Y696" s="4"/>
      <c r="AA696" s="4"/>
      <c r="AB696" s="4"/>
      <c r="AC696" s="4"/>
      <c r="AD696" s="20"/>
    </row>
    <row r="697" spans="14:30" x14ac:dyDescent="0.25">
      <c r="N697" s="9"/>
      <c r="P697" s="33"/>
      <c r="Q697" s="4"/>
      <c r="R697" s="4"/>
      <c r="S697" s="4"/>
      <c r="T697" s="4"/>
      <c r="U697" s="4"/>
      <c r="V697" s="4"/>
      <c r="X697" s="4"/>
      <c r="Y697" s="4"/>
      <c r="AA697" s="4"/>
      <c r="AB697" s="4"/>
      <c r="AC697" s="4"/>
      <c r="AD697" s="20"/>
    </row>
    <row r="698" spans="14:30" x14ac:dyDescent="0.25">
      <c r="N698" s="9"/>
      <c r="P698" s="33"/>
      <c r="Q698" s="4"/>
      <c r="R698" s="4"/>
      <c r="S698" s="4"/>
      <c r="T698" s="4"/>
      <c r="U698" s="4"/>
      <c r="V698" s="4"/>
      <c r="X698" s="4"/>
      <c r="Y698" s="4"/>
      <c r="AA698" s="4"/>
      <c r="AB698" s="4"/>
      <c r="AC698" s="4"/>
      <c r="AD698" s="20"/>
    </row>
    <row r="699" spans="14:30" x14ac:dyDescent="0.25">
      <c r="N699" s="9"/>
      <c r="P699" s="33"/>
      <c r="Q699" s="4"/>
      <c r="R699" s="4"/>
      <c r="S699" s="4"/>
      <c r="T699" s="4"/>
      <c r="U699" s="4"/>
      <c r="V699" s="4"/>
      <c r="X699" s="4"/>
      <c r="Y699" s="4"/>
      <c r="AA699" s="4"/>
      <c r="AB699" s="4"/>
      <c r="AC699" s="4"/>
      <c r="AD699" s="20"/>
    </row>
    <row r="700" spans="14:30" x14ac:dyDescent="0.25">
      <c r="N700" s="9"/>
      <c r="P700" s="33"/>
      <c r="Q700" s="4"/>
      <c r="R700" s="4"/>
      <c r="S700" s="4"/>
      <c r="T700" s="4"/>
      <c r="U700" s="4"/>
      <c r="V700" s="4"/>
      <c r="X700" s="4"/>
      <c r="Y700" s="4"/>
      <c r="AA700" s="4"/>
      <c r="AB700" s="4"/>
      <c r="AC700" s="4"/>
      <c r="AD700" s="20"/>
    </row>
    <row r="701" spans="14:30" x14ac:dyDescent="0.25">
      <c r="N701" s="9"/>
      <c r="P701" s="33"/>
      <c r="Q701" s="4"/>
      <c r="R701" s="4"/>
      <c r="S701" s="4"/>
      <c r="T701" s="4"/>
      <c r="U701" s="4"/>
      <c r="V701" s="4"/>
      <c r="X701" s="4"/>
      <c r="Y701" s="4"/>
      <c r="AA701" s="4"/>
      <c r="AB701" s="4"/>
      <c r="AC701" s="4"/>
      <c r="AD701" s="20"/>
    </row>
    <row r="702" spans="14:30" x14ac:dyDescent="0.25">
      <c r="N702" s="9"/>
      <c r="P702" s="33"/>
      <c r="Q702" s="4"/>
      <c r="R702" s="4"/>
      <c r="S702" s="4"/>
      <c r="T702" s="4"/>
      <c r="U702" s="4"/>
      <c r="V702" s="4"/>
      <c r="X702" s="4"/>
      <c r="Y702" s="4"/>
      <c r="AA702" s="4"/>
      <c r="AB702" s="4"/>
      <c r="AC702" s="4"/>
      <c r="AD702" s="20"/>
    </row>
    <row r="703" spans="14:30" x14ac:dyDescent="0.25">
      <c r="N703" s="9"/>
      <c r="P703" s="33"/>
      <c r="Q703" s="4"/>
      <c r="R703" s="4"/>
      <c r="S703" s="4"/>
      <c r="T703" s="4"/>
      <c r="U703" s="4"/>
      <c r="V703" s="4"/>
      <c r="X703" s="4"/>
      <c r="Y703" s="4"/>
      <c r="AA703" s="4"/>
      <c r="AB703" s="4"/>
      <c r="AC703" s="4"/>
      <c r="AD703" s="20"/>
    </row>
    <row r="704" spans="14:30" x14ac:dyDescent="0.25">
      <c r="N704" s="9"/>
      <c r="P704" s="33"/>
      <c r="Q704" s="4"/>
      <c r="R704" s="4"/>
      <c r="S704" s="4"/>
      <c r="T704" s="4"/>
      <c r="U704" s="4"/>
      <c r="V704" s="4"/>
      <c r="X704" s="4"/>
      <c r="Y704" s="4"/>
      <c r="AA704" s="4"/>
      <c r="AB704" s="4"/>
      <c r="AC704" s="4"/>
      <c r="AD704" s="20"/>
    </row>
    <row r="705" spans="14:30" x14ac:dyDescent="0.25">
      <c r="N705" s="9"/>
      <c r="P705" s="33"/>
      <c r="Q705" s="4"/>
      <c r="R705" s="4"/>
      <c r="S705" s="4"/>
      <c r="T705" s="4"/>
      <c r="U705" s="4"/>
      <c r="V705" s="4"/>
      <c r="X705" s="4"/>
      <c r="Y705" s="4"/>
      <c r="AA705" s="4"/>
      <c r="AB705" s="4"/>
      <c r="AC705" s="4"/>
      <c r="AD705" s="20"/>
    </row>
    <row r="706" spans="14:30" x14ac:dyDescent="0.25">
      <c r="N706" s="9"/>
      <c r="P706" s="33"/>
      <c r="Q706" s="4"/>
      <c r="R706" s="4"/>
      <c r="S706" s="4"/>
      <c r="T706" s="4"/>
      <c r="U706" s="4"/>
      <c r="V706" s="4"/>
      <c r="X706" s="4"/>
      <c r="Y706" s="4"/>
      <c r="AA706" s="4"/>
      <c r="AB706" s="4"/>
      <c r="AC706" s="4"/>
      <c r="AD706" s="20"/>
    </row>
    <row r="707" spans="14:30" x14ac:dyDescent="0.25">
      <c r="N707" s="9"/>
      <c r="P707" s="33"/>
      <c r="Q707" s="4"/>
      <c r="R707" s="4"/>
      <c r="S707" s="4"/>
      <c r="T707" s="4"/>
      <c r="U707" s="4"/>
      <c r="V707" s="4"/>
      <c r="X707" s="4"/>
      <c r="Y707" s="4"/>
      <c r="AA707" s="4"/>
      <c r="AB707" s="4"/>
      <c r="AC707" s="4"/>
      <c r="AD707" s="20"/>
    </row>
    <row r="708" spans="14:30" x14ac:dyDescent="0.25">
      <c r="N708" s="9"/>
      <c r="P708" s="33"/>
      <c r="Q708" s="4"/>
      <c r="R708" s="4"/>
      <c r="S708" s="4"/>
      <c r="T708" s="4"/>
      <c r="U708" s="4"/>
      <c r="V708" s="4"/>
      <c r="X708" s="4"/>
      <c r="Y708" s="4"/>
      <c r="AA708" s="4"/>
      <c r="AB708" s="4"/>
      <c r="AC708" s="4"/>
      <c r="AD708" s="20"/>
    </row>
  </sheetData>
  <mergeCells count="46">
    <mergeCell ref="AF4:AR4"/>
    <mergeCell ref="BL16:BM16"/>
    <mergeCell ref="BI16:BK16"/>
    <mergeCell ref="BI17:BK17"/>
    <mergeCell ref="BI4:BK4"/>
    <mergeCell ref="BI5:BK5"/>
    <mergeCell ref="BF5:BH5"/>
    <mergeCell ref="AG5:AI5"/>
    <mergeCell ref="AJ5:AL5"/>
    <mergeCell ref="AM5:AO5"/>
    <mergeCell ref="AP5:AR5"/>
    <mergeCell ref="BC17:BE17"/>
    <mergeCell ref="BF16:BH16"/>
    <mergeCell ref="BF17:BH17"/>
    <mergeCell ref="AT17:AV17"/>
    <mergeCell ref="AW17:AY17"/>
    <mergeCell ref="A1:M1"/>
    <mergeCell ref="N1:X1"/>
    <mergeCell ref="P4:AE4"/>
    <mergeCell ref="BL5:BM5"/>
    <mergeCell ref="BL4:BM4"/>
    <mergeCell ref="AS4:BE4"/>
    <mergeCell ref="BF4:BH4"/>
    <mergeCell ref="Q5:S5"/>
    <mergeCell ref="T5:V5"/>
    <mergeCell ref="W5:Y5"/>
    <mergeCell ref="Z5:AB5"/>
    <mergeCell ref="AC5:AE5"/>
    <mergeCell ref="AT5:AV5"/>
    <mergeCell ref="AW5:AY5"/>
    <mergeCell ref="AZ5:BB5"/>
    <mergeCell ref="BC5:BE5"/>
    <mergeCell ref="E6:K6"/>
    <mergeCell ref="Q17:S17"/>
    <mergeCell ref="T17:V17"/>
    <mergeCell ref="W17:Y17"/>
    <mergeCell ref="P16:AE16"/>
    <mergeCell ref="Z17:AB17"/>
    <mergeCell ref="AC17:AE17"/>
    <mergeCell ref="AZ17:BB17"/>
    <mergeCell ref="AS16:BE16"/>
    <mergeCell ref="AF16:AR16"/>
    <mergeCell ref="AG17:AI17"/>
    <mergeCell ref="AJ17:AL17"/>
    <mergeCell ref="AM17:AO17"/>
    <mergeCell ref="AP17:AR17"/>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62"/>
  <sheetViews>
    <sheetView topLeftCell="A16" zoomScale="85" zoomScaleNormal="85" workbookViewId="0">
      <selection activeCell="K29" sqref="K29"/>
    </sheetView>
  </sheetViews>
  <sheetFormatPr defaultRowHeight="15" x14ac:dyDescent="0.25"/>
  <cols>
    <col min="1" max="1" width="26.85546875" customWidth="1"/>
    <col min="2" max="2" width="25.5703125" customWidth="1"/>
    <col min="3" max="3" width="10.140625" customWidth="1"/>
  </cols>
  <sheetData>
    <row r="1" spans="1:9" ht="27.75" x14ac:dyDescent="0.4">
      <c r="A1" s="213" t="s">
        <v>75</v>
      </c>
      <c r="B1" s="213"/>
      <c r="C1" s="213"/>
      <c r="D1" s="213"/>
      <c r="E1" s="213"/>
      <c r="F1" s="213"/>
      <c r="G1" s="213"/>
      <c r="H1" s="213"/>
      <c r="I1" s="213"/>
    </row>
    <row r="2" spans="1:9" x14ac:dyDescent="0.25">
      <c r="A2" s="5"/>
      <c r="B2" s="5" t="s">
        <v>16</v>
      </c>
      <c r="C2" s="6"/>
      <c r="D2" s="4"/>
      <c r="E2" s="5"/>
      <c r="F2" s="5"/>
      <c r="G2" s="5"/>
      <c r="H2" s="5"/>
      <c r="I2" s="5"/>
    </row>
    <row r="3" spans="1:9" x14ac:dyDescent="0.25">
      <c r="A3" s="5"/>
      <c r="B3" s="5" t="s">
        <v>17</v>
      </c>
      <c r="C3" s="7"/>
      <c r="D3" s="4"/>
      <c r="E3" s="5"/>
      <c r="F3" s="5"/>
      <c r="G3" s="5"/>
      <c r="H3" s="5"/>
      <c r="I3" s="5"/>
    </row>
    <row r="4" spans="1:9" x14ac:dyDescent="0.25">
      <c r="A4" s="5"/>
      <c r="B4" s="5" t="s">
        <v>18</v>
      </c>
      <c r="C4" s="8"/>
      <c r="D4" s="4"/>
      <c r="E4" s="5"/>
      <c r="F4" s="5"/>
      <c r="G4" s="5"/>
      <c r="H4" s="5"/>
      <c r="I4" s="5"/>
    </row>
    <row r="5" spans="1:9" x14ac:dyDescent="0.25">
      <c r="A5" s="9" t="s">
        <v>19</v>
      </c>
      <c r="B5" s="9" t="s">
        <v>20</v>
      </c>
      <c r="C5" s="9" t="s">
        <v>21</v>
      </c>
      <c r="D5" s="4"/>
      <c r="E5" s="214" t="s">
        <v>22</v>
      </c>
      <c r="F5" s="214"/>
      <c r="G5" s="214"/>
      <c r="H5" s="214"/>
      <c r="I5" s="9"/>
    </row>
    <row r="6" spans="1:9" x14ac:dyDescent="0.25">
      <c r="A6" s="9"/>
      <c r="B6" s="9"/>
      <c r="C6" s="9"/>
      <c r="D6" s="4"/>
      <c r="E6" s="5"/>
      <c r="F6" s="5"/>
      <c r="G6" s="5"/>
      <c r="H6" s="5"/>
      <c r="I6" s="9"/>
    </row>
    <row r="7" spans="1:9" x14ac:dyDescent="0.25">
      <c r="A7" s="9" t="s">
        <v>55</v>
      </c>
      <c r="B7" s="9"/>
      <c r="C7" s="9"/>
      <c r="D7" s="4"/>
      <c r="E7" s="5"/>
      <c r="F7" s="5"/>
      <c r="G7" s="5"/>
      <c r="H7" s="5"/>
      <c r="I7" s="9"/>
    </row>
    <row r="8" spans="1:9" x14ac:dyDescent="0.25">
      <c r="A8" s="9"/>
      <c r="B8" s="9"/>
      <c r="C8" s="9"/>
      <c r="D8" s="4"/>
      <c r="E8" s="5"/>
      <c r="F8" s="5"/>
      <c r="G8" s="5"/>
      <c r="H8" s="5"/>
      <c r="I8" s="9"/>
    </row>
    <row r="9" spans="1:9" x14ac:dyDescent="0.25">
      <c r="A9" t="s">
        <v>44</v>
      </c>
      <c r="B9" s="12">
        <v>0.8</v>
      </c>
      <c r="D9" t="s">
        <v>47</v>
      </c>
    </row>
    <row r="10" spans="1:9" x14ac:dyDescent="0.25">
      <c r="A10" t="s">
        <v>48</v>
      </c>
      <c r="B10" s="13">
        <f>(1-B9)/(2.2*10^6)</f>
        <v>9.0909090909090888E-8</v>
      </c>
      <c r="C10" t="s">
        <v>51</v>
      </c>
      <c r="D10" t="s">
        <v>54</v>
      </c>
    </row>
    <row r="11" spans="1:9" x14ac:dyDescent="0.25">
      <c r="A11" t="s">
        <v>45</v>
      </c>
      <c r="B11" s="12">
        <v>0.85</v>
      </c>
      <c r="D11" t="s">
        <v>47</v>
      </c>
    </row>
    <row r="12" spans="1:9" x14ac:dyDescent="0.25">
      <c r="A12" t="s">
        <v>49</v>
      </c>
      <c r="B12" s="13">
        <f>(1-B11)/(2.2*10^6)</f>
        <v>6.8181818181818186E-8</v>
      </c>
      <c r="C12" t="s">
        <v>51</v>
      </c>
      <c r="D12" t="s">
        <v>53</v>
      </c>
    </row>
    <row r="13" spans="1:9" x14ac:dyDescent="0.25">
      <c r="A13" t="s">
        <v>46</v>
      </c>
      <c r="B13" s="12">
        <v>0.9</v>
      </c>
      <c r="D13" t="s">
        <v>47</v>
      </c>
    </row>
    <row r="14" spans="1:9" x14ac:dyDescent="0.25">
      <c r="A14" t="s">
        <v>50</v>
      </c>
      <c r="B14" s="13">
        <f>(1-B13)/(2.2*10^6)</f>
        <v>4.5454545454545444E-8</v>
      </c>
      <c r="C14" t="s">
        <v>51</v>
      </c>
      <c r="D14" t="s">
        <v>52</v>
      </c>
    </row>
    <row r="16" spans="1:9" x14ac:dyDescent="0.25">
      <c r="A16" t="s">
        <v>56</v>
      </c>
      <c r="B16" s="12">
        <v>0.9</v>
      </c>
      <c r="D16" t="s">
        <v>62</v>
      </c>
    </row>
    <row r="17" spans="1:8" x14ac:dyDescent="0.25">
      <c r="A17" t="s">
        <v>57</v>
      </c>
      <c r="B17" s="12">
        <v>0.93</v>
      </c>
      <c r="D17" t="s">
        <v>59</v>
      </c>
    </row>
    <row r="18" spans="1:8" x14ac:dyDescent="0.25">
      <c r="A18" t="s">
        <v>58</v>
      </c>
      <c r="B18" s="12">
        <v>0.96</v>
      </c>
      <c r="D18" t="s">
        <v>63</v>
      </c>
    </row>
    <row r="19" spans="1:8" x14ac:dyDescent="0.25">
      <c r="B19">
        <f>IF(((1-D_limit_min)/Constants!B12)&lt;Fsw,2,1)</f>
        <v>1</v>
      </c>
      <c r="D19" t="s">
        <v>438</v>
      </c>
    </row>
    <row r="20" spans="1:8" x14ac:dyDescent="0.25">
      <c r="A20" t="s">
        <v>73</v>
      </c>
      <c r="B20" s="1">
        <f>CHOOSE(B19,D_limit_min,(1-Constants!B10*Fsw))</f>
        <v>0.9</v>
      </c>
      <c r="D20" t="s">
        <v>74</v>
      </c>
    </row>
    <row r="22" spans="1:8" x14ac:dyDescent="0.25">
      <c r="A22" t="s">
        <v>80</v>
      </c>
      <c r="B22" s="12">
        <f>50*10^-9</f>
        <v>5.0000000000000004E-8</v>
      </c>
      <c r="C22" t="s">
        <v>51</v>
      </c>
      <c r="D22" t="s">
        <v>81</v>
      </c>
    </row>
    <row r="24" spans="1:8" x14ac:dyDescent="0.25">
      <c r="A24" t="s">
        <v>590</v>
      </c>
      <c r="B24" s="12">
        <f>20*10^-9</f>
        <v>2E-8</v>
      </c>
      <c r="C24" t="s">
        <v>51</v>
      </c>
      <c r="D24" t="s">
        <v>589</v>
      </c>
    </row>
    <row r="25" spans="1:8" ht="15.75" x14ac:dyDescent="0.25">
      <c r="A25" s="27" t="s">
        <v>141</v>
      </c>
    </row>
    <row r="26" spans="1:8" x14ac:dyDescent="0.25">
      <c r="A26" t="s">
        <v>127</v>
      </c>
      <c r="B26" s="12">
        <f>30*10^-6</f>
        <v>2.9999999999999997E-5</v>
      </c>
      <c r="C26" t="s">
        <v>11</v>
      </c>
      <c r="D26" t="s">
        <v>128</v>
      </c>
    </row>
    <row r="27" spans="1:8" x14ac:dyDescent="0.25">
      <c r="A27" t="s">
        <v>129</v>
      </c>
      <c r="B27" s="12">
        <v>3000</v>
      </c>
      <c r="C27" s="2" t="s">
        <v>36</v>
      </c>
      <c r="D27" t="s">
        <v>130</v>
      </c>
      <c r="H27" s="31"/>
    </row>
    <row r="28" spans="1:8" x14ac:dyDescent="0.25">
      <c r="A28" t="s">
        <v>491</v>
      </c>
      <c r="B28" s="12">
        <v>4.4999999999999998E-2</v>
      </c>
      <c r="C28" s="2"/>
    </row>
    <row r="29" spans="1:8" x14ac:dyDescent="0.25">
      <c r="C29" s="2"/>
    </row>
    <row r="30" spans="1:8" x14ac:dyDescent="0.25">
      <c r="A30" t="s">
        <v>132</v>
      </c>
      <c r="B30" s="12">
        <v>0.06</v>
      </c>
      <c r="C30" s="2" t="s">
        <v>10</v>
      </c>
      <c r="D30" t="s">
        <v>133</v>
      </c>
    </row>
    <row r="32" spans="1:8" x14ac:dyDescent="0.25">
      <c r="A32" t="s">
        <v>201</v>
      </c>
      <c r="B32" s="12">
        <v>1</v>
      </c>
      <c r="C32" t="s">
        <v>150</v>
      </c>
      <c r="D32" t="s">
        <v>203</v>
      </c>
    </row>
    <row r="33" spans="1:4" x14ac:dyDescent="0.25">
      <c r="A33" t="s">
        <v>205</v>
      </c>
      <c r="B33" s="12">
        <v>10</v>
      </c>
      <c r="C33" t="s">
        <v>150</v>
      </c>
      <c r="D33" t="s">
        <v>206</v>
      </c>
    </row>
    <row r="35" spans="1:4" x14ac:dyDescent="0.25">
      <c r="A35" s="31" t="s">
        <v>225</v>
      </c>
    </row>
    <row r="36" spans="1:4" x14ac:dyDescent="0.25">
      <c r="A36" t="s">
        <v>244</v>
      </c>
      <c r="B36">
        <v>1</v>
      </c>
      <c r="C36" t="s">
        <v>10</v>
      </c>
      <c r="D36" t="s">
        <v>245</v>
      </c>
    </row>
    <row r="37" spans="1:4" x14ac:dyDescent="0.25">
      <c r="A37" t="s">
        <v>228</v>
      </c>
      <c r="B37">
        <f>(1*10^-3)/1</f>
        <v>1E-3</v>
      </c>
      <c r="C37" t="s">
        <v>230</v>
      </c>
      <c r="D37" t="s">
        <v>229</v>
      </c>
    </row>
    <row r="38" spans="1:4" x14ac:dyDescent="0.25">
      <c r="A38" t="s">
        <v>552</v>
      </c>
      <c r="B38">
        <v>20</v>
      </c>
      <c r="C38" t="s">
        <v>150</v>
      </c>
    </row>
    <row r="39" spans="1:4" x14ac:dyDescent="0.25">
      <c r="A39" t="s">
        <v>553</v>
      </c>
      <c r="B39">
        <v>60</v>
      </c>
      <c r="C39" t="s">
        <v>150</v>
      </c>
    </row>
    <row r="40" spans="1:4" x14ac:dyDescent="0.25">
      <c r="A40" t="s">
        <v>554</v>
      </c>
      <c r="B40">
        <v>100000</v>
      </c>
      <c r="C40" t="s">
        <v>469</v>
      </c>
    </row>
    <row r="41" spans="1:4" x14ac:dyDescent="0.25">
      <c r="A41" t="s">
        <v>555</v>
      </c>
      <c r="B41">
        <v>35000</v>
      </c>
      <c r="C41" t="s">
        <v>469</v>
      </c>
    </row>
    <row r="42" spans="1:4" x14ac:dyDescent="0.25">
      <c r="A42" t="s">
        <v>556</v>
      </c>
      <c r="B42">
        <v>75000</v>
      </c>
      <c r="C42" t="s">
        <v>469</v>
      </c>
    </row>
    <row r="43" spans="1:4" x14ac:dyDescent="0.25">
      <c r="A43" t="s">
        <v>557</v>
      </c>
      <c r="B43">
        <v>20000</v>
      </c>
      <c r="C43" t="s">
        <v>469</v>
      </c>
    </row>
    <row r="46" spans="1:4" x14ac:dyDescent="0.25">
      <c r="A46" s="31" t="s">
        <v>277</v>
      </c>
    </row>
    <row r="47" spans="1:4" x14ac:dyDescent="0.25">
      <c r="A47" t="s">
        <v>278</v>
      </c>
      <c r="B47">
        <f>20*10^-6</f>
        <v>1.9999999999999998E-5</v>
      </c>
      <c r="C47" t="s">
        <v>11</v>
      </c>
      <c r="D47" t="s">
        <v>279</v>
      </c>
    </row>
    <row r="49" spans="1:10" x14ac:dyDescent="0.25">
      <c r="A49" s="31" t="s">
        <v>297</v>
      </c>
    </row>
    <row r="50" spans="1:10" x14ac:dyDescent="0.25">
      <c r="A50" t="s">
        <v>298</v>
      </c>
      <c r="B50">
        <v>1.1000000000000001</v>
      </c>
      <c r="C50" t="s">
        <v>10</v>
      </c>
      <c r="D50" t="s">
        <v>301</v>
      </c>
      <c r="J50" s="31"/>
    </row>
    <row r="51" spans="1:10" x14ac:dyDescent="0.25">
      <c r="A51" t="s">
        <v>299</v>
      </c>
      <c r="B51">
        <v>1.075</v>
      </c>
      <c r="C51" t="s">
        <v>10</v>
      </c>
      <c r="D51" t="s">
        <v>300</v>
      </c>
      <c r="J51" s="31"/>
    </row>
    <row r="52" spans="1:10" x14ac:dyDescent="0.25">
      <c r="A52" t="s">
        <v>304</v>
      </c>
      <c r="B52">
        <f>10*10^-6</f>
        <v>9.9999999999999991E-6</v>
      </c>
      <c r="C52" t="s">
        <v>11</v>
      </c>
      <c r="D52" t="s">
        <v>305</v>
      </c>
      <c r="J52" s="31"/>
    </row>
    <row r="54" spans="1:10" x14ac:dyDescent="0.25">
      <c r="A54" s="31" t="s">
        <v>355</v>
      </c>
    </row>
    <row r="55" spans="1:10" x14ac:dyDescent="0.25">
      <c r="A55" t="s">
        <v>356</v>
      </c>
      <c r="B55">
        <v>5</v>
      </c>
      <c r="C55" t="s">
        <v>10</v>
      </c>
      <c r="D55" t="s">
        <v>357</v>
      </c>
    </row>
    <row r="57" spans="1:10" x14ac:dyDescent="0.25">
      <c r="A57" s="31" t="s">
        <v>373</v>
      </c>
    </row>
    <row r="58" spans="1:10" x14ac:dyDescent="0.25">
      <c r="A58" t="s">
        <v>374</v>
      </c>
      <c r="B58">
        <f>3.3*(10^-6)</f>
        <v>3.2999999999999997E-6</v>
      </c>
      <c r="C58" t="s">
        <v>11</v>
      </c>
      <c r="D58" t="s">
        <v>375</v>
      </c>
    </row>
    <row r="60" spans="1:10" x14ac:dyDescent="0.25">
      <c r="A60" t="s">
        <v>409</v>
      </c>
    </row>
    <row r="61" spans="1:10" x14ac:dyDescent="0.25">
      <c r="A61" t="s">
        <v>410</v>
      </c>
      <c r="B61">
        <v>1.5</v>
      </c>
      <c r="C61" t="s">
        <v>10</v>
      </c>
      <c r="D61" t="s">
        <v>411</v>
      </c>
    </row>
    <row r="62" spans="1:10" x14ac:dyDescent="0.25">
      <c r="A62" t="s">
        <v>413</v>
      </c>
      <c r="B62">
        <v>45</v>
      </c>
      <c r="D62" t="s">
        <v>412</v>
      </c>
    </row>
  </sheetData>
  <mergeCells count="2">
    <mergeCell ref="A1:I1"/>
    <mergeCell ref="E5:H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B3"/>
  <sheetViews>
    <sheetView topLeftCell="B1" zoomScale="70" zoomScaleNormal="70" workbookViewId="0">
      <selection activeCell="P22" sqref="P22"/>
    </sheetView>
  </sheetViews>
  <sheetFormatPr defaultRowHeight="15" x14ac:dyDescent="0.25"/>
  <cols>
    <col min="3" max="3" width="144.85546875" customWidth="1"/>
  </cols>
  <sheetData>
    <row r="2" spans="2:2" x14ac:dyDescent="0.25">
      <c r="B2" t="str">
        <f>"Eff_vs_IOUT"</f>
        <v>Eff_vs_IOUT</v>
      </c>
    </row>
    <row r="3" spans="2:2" ht="379.7" customHeight="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
  <sheetViews>
    <sheetView topLeftCell="A4" workbookViewId="0">
      <selection activeCell="B7" sqref="B7"/>
    </sheetView>
  </sheetViews>
  <sheetFormatPr defaultRowHeight="15" x14ac:dyDescent="0.25"/>
  <cols>
    <col min="1" max="1" width="27.28515625" customWidth="1"/>
    <col min="2" max="2" width="77.140625" customWidth="1"/>
  </cols>
  <sheetData>
    <row r="1" spans="1:8" x14ac:dyDescent="0.25">
      <c r="A1" s="111" t="str">
        <f>IF('Design Converter'!H12= "SKIP", "SCH_1", IF('Design Converter'!H12 = "DEM", "SCH_2", IF('Design Converter'!H12 = "FPWM","SCH_3", "")))</f>
        <v>SCH_2</v>
      </c>
      <c r="F1" t="s">
        <v>604</v>
      </c>
      <c r="G1" t="s">
        <v>605</v>
      </c>
      <c r="H1" t="s">
        <v>606</v>
      </c>
    </row>
    <row r="2" spans="1:8" ht="214.9" customHeight="1" x14ac:dyDescent="0.25">
      <c r="B2" t="s">
        <v>603</v>
      </c>
    </row>
    <row r="5" spans="1:8" ht="214.15" customHeight="1" x14ac:dyDescent="0.25"/>
    <row r="6" spans="1:8" ht="15" customHeight="1" x14ac:dyDescent="0.25"/>
    <row r="7" spans="1:8" ht="213.6" customHeight="1" x14ac:dyDescent="0.25"/>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10242" r:id="rId4">
          <objectPr defaultSize="0" r:id="rId5">
            <anchor moveWithCells="1">
              <from>
                <xdr:col>1</xdr:col>
                <xdr:colOff>0</xdr:colOff>
                <xdr:row>1</xdr:row>
                <xdr:rowOff>0</xdr:rowOff>
              </from>
              <to>
                <xdr:col>2</xdr:col>
                <xdr:colOff>28575</xdr:colOff>
                <xdr:row>2</xdr:row>
                <xdr:rowOff>0</xdr:rowOff>
              </to>
            </anchor>
          </objectPr>
        </oleObject>
      </mc:Choice>
      <mc:Fallback>
        <oleObject progId="Visio.Drawing.15" shapeId="10242" r:id="rId4"/>
      </mc:Fallback>
    </mc:AlternateContent>
    <mc:AlternateContent xmlns:mc="http://schemas.openxmlformats.org/markup-compatibility/2006">
      <mc:Choice Requires="x14">
        <oleObject progId="Visio.Drawing.15" shapeId="10243" r:id="rId6">
          <objectPr defaultSize="0" r:id="rId7">
            <anchor moveWithCells="1">
              <from>
                <xdr:col>1</xdr:col>
                <xdr:colOff>0</xdr:colOff>
                <xdr:row>4</xdr:row>
                <xdr:rowOff>0</xdr:rowOff>
              </from>
              <to>
                <xdr:col>2</xdr:col>
                <xdr:colOff>28575</xdr:colOff>
                <xdr:row>5</xdr:row>
                <xdr:rowOff>9525</xdr:rowOff>
              </to>
            </anchor>
          </objectPr>
        </oleObject>
      </mc:Choice>
      <mc:Fallback>
        <oleObject progId="Visio.Drawing.15" shapeId="10243" r:id="rId6"/>
      </mc:Fallback>
    </mc:AlternateContent>
    <mc:AlternateContent xmlns:mc="http://schemas.openxmlformats.org/markup-compatibility/2006">
      <mc:Choice Requires="x14">
        <oleObject progId="Visio.Drawing.15" shapeId="10246" r:id="rId8">
          <objectPr defaultSize="0" r:id="rId9">
            <anchor moveWithCells="1">
              <from>
                <xdr:col>1</xdr:col>
                <xdr:colOff>0</xdr:colOff>
                <xdr:row>6</xdr:row>
                <xdr:rowOff>0</xdr:rowOff>
              </from>
              <to>
                <xdr:col>2</xdr:col>
                <xdr:colOff>28575</xdr:colOff>
                <xdr:row>7</xdr:row>
                <xdr:rowOff>9525</xdr:rowOff>
              </to>
            </anchor>
          </objectPr>
        </oleObject>
      </mc:Choice>
      <mc:Fallback>
        <oleObject progId="Visio.Drawing.15" shapeId="10246" r:id="rId8"/>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2:F5"/>
  <sheetViews>
    <sheetView workbookViewId="0">
      <selection activeCell="F3" sqref="F3"/>
    </sheetView>
  </sheetViews>
  <sheetFormatPr defaultRowHeight="15" x14ac:dyDescent="0.25"/>
  <sheetData>
    <row r="2" spans="1:6" x14ac:dyDescent="0.25">
      <c r="A2" t="s">
        <v>389</v>
      </c>
    </row>
    <row r="3" spans="1:6" x14ac:dyDescent="0.25">
      <c r="B3">
        <f>VIN_min</f>
        <v>10</v>
      </c>
      <c r="F3" t="str">
        <f>"SKIP"</f>
        <v>SKIP</v>
      </c>
    </row>
    <row r="4" spans="1:6" x14ac:dyDescent="0.25">
      <c r="B4">
        <f>VIN_nom</f>
        <v>3</v>
      </c>
      <c r="D4">
        <v>2.5</v>
      </c>
      <c r="F4" t="str">
        <f>"DEM"</f>
        <v>DEM</v>
      </c>
    </row>
    <row r="5" spans="1:6" x14ac:dyDescent="0.25">
      <c r="B5">
        <f>VIN_max</f>
        <v>16</v>
      </c>
      <c r="F5" t="str">
        <f>"FPWM"</f>
        <v>FPWM</v>
      </c>
    </row>
  </sheetData>
  <dataValidations count="3">
    <dataValidation type="list" allowBlank="1" showInputMessage="1" showErrorMessage="1" sqref="D4" xr:uid="{00000000-0002-0000-0700-000000000000}">
      <formula1>$B$3:$B$5</formula1>
    </dataValidation>
    <dataValidation type="decimal" allowBlank="1" showInputMessage="1" showErrorMessage="1" sqref="F4" xr:uid="{00000000-0002-0000-0700-000001000000}">
      <formula1>B3</formula1>
      <formula2>B5</formula2>
    </dataValidation>
    <dataValidation type="list" showDropDown="1" showInputMessage="1" showErrorMessage="1" sqref="I15" xr:uid="{00000000-0002-0000-0700-000002000000}">
      <formula1>$B$3:$B$5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selection activeCell="C31" sqref="C3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155</vt:i4>
      </vt:variant>
    </vt:vector>
  </HeadingPairs>
  <TitlesOfParts>
    <vt:vector size="164" baseType="lpstr">
      <vt:lpstr>Design Converter</vt:lpstr>
      <vt:lpstr>Variable_Management</vt:lpstr>
      <vt:lpstr>Eff_vs_IOUT</vt:lpstr>
      <vt:lpstr>Loop_Modeling</vt:lpstr>
      <vt:lpstr>Constants</vt:lpstr>
      <vt:lpstr>Plot_Management_Eff</vt:lpstr>
      <vt:lpstr>Plot_Management_Sch</vt:lpstr>
      <vt:lpstr>Lists</vt:lpstr>
      <vt:lpstr>Sheet1</vt:lpstr>
      <vt:lpstr>Acs</vt:lpstr>
      <vt:lpstr>Adc</vt:lpstr>
      <vt:lpstr>Adc_ea</vt:lpstr>
      <vt:lpstr>ADC_VINmin</vt:lpstr>
      <vt:lpstr>CCOMP</vt:lpstr>
      <vt:lpstr>CCOMP_Calc</vt:lpstr>
      <vt:lpstr>CCOMP_calc_CCM</vt:lpstr>
      <vt:lpstr>CCOMP_CALC_DCM</vt:lpstr>
      <vt:lpstr>CHF</vt:lpstr>
      <vt:lpstr>CHF_calc</vt:lpstr>
      <vt:lpstr>CHF_CALC_CCM</vt:lpstr>
      <vt:lpstr>CHF_CALC_DCM</vt:lpstr>
      <vt:lpstr>Comp_calc_CCM</vt:lpstr>
      <vt:lpstr>Cout</vt:lpstr>
      <vt:lpstr>Cout_min</vt:lpstr>
      <vt:lpstr>D_limit_max</vt:lpstr>
      <vt:lpstr>D_limit_min</vt:lpstr>
      <vt:lpstr>D_limit_nom</vt:lpstr>
      <vt:lpstr>DC_DCM_max</vt:lpstr>
      <vt:lpstr>Dc_max_IC</vt:lpstr>
      <vt:lpstr>Dc_max_ideal</vt:lpstr>
      <vt:lpstr>DC_rip</vt:lpstr>
      <vt:lpstr>Dc_rip_max</vt:lpstr>
      <vt:lpstr>Dc_VIN_max</vt:lpstr>
      <vt:lpstr>Dc_VIN_min</vt:lpstr>
      <vt:lpstr>Dc_VIN_nom</vt:lpstr>
      <vt:lpstr>DC_VIN_var_DCM</vt:lpstr>
      <vt:lpstr>EFF_est</vt:lpstr>
      <vt:lpstr>Eff_vs_IOUT</vt:lpstr>
      <vt:lpstr>fcross</vt:lpstr>
      <vt:lpstr>fcross_est</vt:lpstr>
      <vt:lpstr>fp_ea_est</vt:lpstr>
      <vt:lpstr>Fsw</vt:lpstr>
      <vt:lpstr>fz_ea_est</vt:lpstr>
      <vt:lpstr>fz_rhp</vt:lpstr>
      <vt:lpstr>Gcomp</vt:lpstr>
      <vt:lpstr>gfs</vt:lpstr>
      <vt:lpstr>gm_ea</vt:lpstr>
      <vt:lpstr>Gplant_fc_dB</vt:lpstr>
      <vt:lpstr>IIN_33</vt:lpstr>
      <vt:lpstr>IL_avg_VIN_max</vt:lpstr>
      <vt:lpstr>IL_avg_VIN_min</vt:lpstr>
      <vt:lpstr>IL_avg_VIN_nom</vt:lpstr>
      <vt:lpstr>IL_pk</vt:lpstr>
      <vt:lpstr>IL_pk_max</vt:lpstr>
      <vt:lpstr>ILp_VINmax</vt:lpstr>
      <vt:lpstr>ILp_VINmin</vt:lpstr>
      <vt:lpstr>ILp_VINnom</vt:lpstr>
      <vt:lpstr>ILrip</vt:lpstr>
      <vt:lpstr>ILrip_VINmax</vt:lpstr>
      <vt:lpstr>ILrip_VINmin</vt:lpstr>
      <vt:lpstr>ILrip_VINnom</vt:lpstr>
      <vt:lpstr>IOUT</vt:lpstr>
      <vt:lpstr>IOUT_VAR</vt:lpstr>
      <vt:lpstr>Ipk_margin</vt:lpstr>
      <vt:lpstr>Ipk_selected</vt:lpstr>
      <vt:lpstr>IQ</vt:lpstr>
      <vt:lpstr>IRMS_COUT</vt:lpstr>
      <vt:lpstr>Isl</vt:lpstr>
      <vt:lpstr>Iss</vt:lpstr>
      <vt:lpstr>Kd</vt:lpstr>
      <vt:lpstr>Kd_VINmin</vt:lpstr>
      <vt:lpstr>Kex</vt:lpstr>
      <vt:lpstr>Kex_VINmin</vt:lpstr>
      <vt:lpstr>Kfb</vt:lpstr>
      <vt:lpstr>Kfb_high</vt:lpstr>
      <vt:lpstr>Kfb_low</vt:lpstr>
      <vt:lpstr>Km</vt:lpstr>
      <vt:lpstr>Km_VINmin</vt:lpstr>
      <vt:lpstr>Lm</vt:lpstr>
      <vt:lpstr>Lopt_2</vt:lpstr>
      <vt:lpstr>M_L_DCM</vt:lpstr>
      <vt:lpstr>Np</vt:lpstr>
      <vt:lpstr>POUT</vt:lpstr>
      <vt:lpstr>'Design Converter'!Print_Area</vt:lpstr>
      <vt:lpstr>Q</vt:lpstr>
      <vt:lpstr>Q_VINmin</vt:lpstr>
      <vt:lpstr>Qg_tot</vt:lpstr>
      <vt:lpstr>Qg_tot_HS</vt:lpstr>
      <vt:lpstr>Qgd</vt:lpstr>
      <vt:lpstr>Qgs</vt:lpstr>
      <vt:lpstr>Qrr</vt:lpstr>
      <vt:lpstr>R_cs</vt:lpstr>
      <vt:lpstr>R_sl</vt:lpstr>
      <vt:lpstr>RCOMP</vt:lpstr>
      <vt:lpstr>RCOMP_Calc</vt:lpstr>
      <vt:lpstr>Rcomp_calc_CCM</vt:lpstr>
      <vt:lpstr>RCOMP_CALC_DCM</vt:lpstr>
      <vt:lpstr>Rcs_max</vt:lpstr>
      <vt:lpstr>Rcs_wo_sl</vt:lpstr>
      <vt:lpstr>Rdcr</vt:lpstr>
      <vt:lpstr>RDS_on</vt:lpstr>
      <vt:lpstr>RDS_on_HS</vt:lpstr>
      <vt:lpstr>Resr</vt:lpstr>
      <vt:lpstr>RFBB</vt:lpstr>
      <vt:lpstr>RFBB_calc</vt:lpstr>
      <vt:lpstr>RFBT</vt:lpstr>
      <vt:lpstr>Rgate</vt:lpstr>
      <vt:lpstr>Rmax</vt:lpstr>
      <vt:lpstr>Rmax_high</vt:lpstr>
      <vt:lpstr>Rmax_low</vt:lpstr>
      <vt:lpstr>Rmin</vt:lpstr>
      <vt:lpstr>Rmin_high</vt:lpstr>
      <vt:lpstr>Rmin_low</vt:lpstr>
      <vt:lpstr>ROUT</vt:lpstr>
      <vt:lpstr>Rsl_int</vt:lpstr>
      <vt:lpstr>RT</vt:lpstr>
      <vt:lpstr>Ruvlo_bottom_calc</vt:lpstr>
      <vt:lpstr>Ruvlo_top</vt:lpstr>
      <vt:lpstr>Ruvlo_top_calc</vt:lpstr>
      <vt:lpstr>SCH_1</vt:lpstr>
      <vt:lpstr>SCH_2</vt:lpstr>
      <vt:lpstr>SCH_3</vt:lpstr>
      <vt:lpstr>Se_VINmin</vt:lpstr>
      <vt:lpstr>Sn_VINmin</vt:lpstr>
      <vt:lpstr>t_dead</vt:lpstr>
      <vt:lpstr>tf_sw</vt:lpstr>
      <vt:lpstr>tr_sw</vt:lpstr>
      <vt:lpstr>tss</vt:lpstr>
      <vt:lpstr>UV_fall</vt:lpstr>
      <vt:lpstr>UV_I_hyst</vt:lpstr>
      <vt:lpstr>UV_rise</vt:lpstr>
      <vt:lpstr>Vcc</vt:lpstr>
      <vt:lpstr>Vcl</vt:lpstr>
      <vt:lpstr>Vd_rect</vt:lpstr>
      <vt:lpstr>VIN_33</vt:lpstr>
      <vt:lpstr>VIN_max</vt:lpstr>
      <vt:lpstr>VIN_min</vt:lpstr>
      <vt:lpstr>VIN_nom</vt:lpstr>
      <vt:lpstr>VIN_op_max</vt:lpstr>
      <vt:lpstr>VIN_op_min</vt:lpstr>
      <vt:lpstr>VIN_var</vt:lpstr>
      <vt:lpstr>VOUT</vt:lpstr>
      <vt:lpstr>VOUT_range</vt:lpstr>
      <vt:lpstr>Vout_rip_sel</vt:lpstr>
      <vt:lpstr>Vref</vt:lpstr>
      <vt:lpstr>Vsl</vt:lpstr>
      <vt:lpstr>Vth</vt:lpstr>
      <vt:lpstr>VTRK</vt:lpstr>
      <vt:lpstr>Vuvlo_off</vt:lpstr>
      <vt:lpstr>Vuvlo_on</vt:lpstr>
      <vt:lpstr>wp_lf</vt:lpstr>
      <vt:lpstr>wp_lf_DCM</vt:lpstr>
      <vt:lpstr>wp_lf_VINmin</vt:lpstr>
      <vt:lpstr>wp0_ea</vt:lpstr>
      <vt:lpstr>wp1_ea</vt:lpstr>
      <vt:lpstr>wsl</vt:lpstr>
      <vt:lpstr>wsl_VINmin</vt:lpstr>
      <vt:lpstr>wz_ea</vt:lpstr>
      <vt:lpstr>wz_esr</vt:lpstr>
      <vt:lpstr>wz_esr_VINmin</vt:lpstr>
      <vt:lpstr>wz_rhp</vt:lpstr>
      <vt:lpstr>wz_RHP_VINmin</vt:lpstr>
      <vt:lpstr>wz1_dcm</vt:lpstr>
      <vt:lpstr>wz2_dcm</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BMC-BCS</dc:creator>
  <cp:lastModifiedBy>Serban Popovici</cp:lastModifiedBy>
  <cp:lastPrinted>2018-08-09T07:13:51Z</cp:lastPrinted>
  <dcterms:created xsi:type="dcterms:W3CDTF">2018-06-26T09:13:29Z</dcterms:created>
  <dcterms:modified xsi:type="dcterms:W3CDTF">2025-06-19T01:06:33Z</dcterms:modified>
</cp:coreProperties>
</file>