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faks\programiranje\TK\src\tk_dn1_63190277\"/>
    </mc:Choice>
  </mc:AlternateContent>
  <xr:revisionPtr revIDLastSave="0" documentId="13_ncr:1_{A1E9EF8B-E51E-4B48-8FCC-C9E8FBA12371}" xr6:coauthVersionLast="47" xr6:coauthVersionMax="47" xr10:uidLastSave="{00000000-0000-0000-0000-000000000000}"/>
  <bookViews>
    <workbookView xWindow="-120" yWindow="-120" windowWidth="29040" windowHeight="15840" xr2:uid="{2EBF3EAA-E479-4901-BD4B-FC95096E004B}"/>
  </bookViews>
  <sheets>
    <sheet name="Poraba časa" sheetId="1" r:id="rId1"/>
    <sheet name="Opravila" sheetId="3" r:id="rId2"/>
    <sheet name="Napake" sheetId="2" r:id="rId3"/>
    <sheet name="Odpravljene napak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2" i="1"/>
  <c r="P6" i="1"/>
  <c r="P5" i="1"/>
  <c r="P4" i="1"/>
  <c r="P3" i="1"/>
  <c r="P2" i="1"/>
  <c r="J6" i="4"/>
  <c r="I6" i="4"/>
  <c r="G6" i="4"/>
  <c r="F6" i="2"/>
  <c r="K5" i="4"/>
  <c r="K5" i="2"/>
  <c r="K15" i="1"/>
  <c r="E15" i="3"/>
  <c r="F15" i="3" s="1"/>
  <c r="G15" i="3" s="1"/>
  <c r="I15" i="3"/>
  <c r="J15" i="3"/>
  <c r="K4" i="4"/>
  <c r="K4" i="2"/>
  <c r="J16" i="1"/>
  <c r="I16" i="1"/>
  <c r="H16" i="1"/>
  <c r="G16" i="1"/>
  <c r="F16" i="1"/>
  <c r="E16" i="1"/>
  <c r="D16" i="1"/>
  <c r="C16" i="1"/>
  <c r="K14" i="1"/>
  <c r="K3" i="4"/>
  <c r="K3" i="2"/>
  <c r="K13" i="1"/>
  <c r="E13" i="3"/>
  <c r="I13" i="3"/>
  <c r="J13" i="3"/>
  <c r="K12" i="1"/>
  <c r="E12" i="3"/>
  <c r="I12" i="3"/>
  <c r="J12" i="3"/>
  <c r="E14" i="3"/>
  <c r="I14" i="3"/>
  <c r="J14" i="3"/>
  <c r="K11" i="1"/>
  <c r="K10" i="1"/>
  <c r="K9" i="1"/>
  <c r="E9" i="3"/>
  <c r="I9" i="3"/>
  <c r="J9" i="3"/>
  <c r="E10" i="3"/>
  <c r="I10" i="3"/>
  <c r="J10" i="3"/>
  <c r="E11" i="3"/>
  <c r="I11" i="3"/>
  <c r="J11" i="3"/>
  <c r="E8" i="3"/>
  <c r="I8" i="3"/>
  <c r="J8" i="3"/>
  <c r="K8" i="1"/>
  <c r="I2" i="3"/>
  <c r="I16" i="3" s="1"/>
  <c r="I3" i="3"/>
  <c r="I4" i="3"/>
  <c r="I5" i="3"/>
  <c r="I6" i="3"/>
  <c r="I7" i="3"/>
  <c r="E7" i="3"/>
  <c r="J7" i="3"/>
  <c r="K7" i="1"/>
  <c r="E6" i="3"/>
  <c r="J6" i="3"/>
  <c r="K6" i="1"/>
  <c r="K5" i="1"/>
  <c r="E5" i="3"/>
  <c r="J5" i="3"/>
  <c r="C3" i="3"/>
  <c r="C16" i="3" s="1"/>
  <c r="D3" i="3"/>
  <c r="D4" i="3" s="1"/>
  <c r="E4" i="3" s="1"/>
  <c r="K4" i="1"/>
  <c r="J4" i="3"/>
  <c r="E2" i="3"/>
  <c r="K3" i="1"/>
  <c r="J3" i="3"/>
  <c r="J2" i="3"/>
  <c r="J16" i="3" s="1"/>
  <c r="K2" i="4"/>
  <c r="K6" i="4" s="1"/>
  <c r="K2" i="2"/>
  <c r="K6" i="2" s="1"/>
  <c r="K2" i="1"/>
  <c r="H15" i="3" l="1" a="1"/>
  <c r="H15" i="3" s="1"/>
  <c r="F14" i="3"/>
  <c r="G14" i="3" s="1"/>
  <c r="K16" i="1"/>
  <c r="H9" i="3" a="1"/>
  <c r="H9" i="3" s="1"/>
  <c r="H13" i="3" a="1"/>
  <c r="H13" i="3" s="1"/>
  <c r="F11" i="3"/>
  <c r="G11" i="3" s="1"/>
  <c r="F13" i="3"/>
  <c r="G13" i="3" s="1"/>
  <c r="H12" i="3" a="1"/>
  <c r="H12" i="3" s="1"/>
  <c r="F12" i="3"/>
  <c r="G12" i="3" s="1"/>
  <c r="H14" i="3" a="1"/>
  <c r="H14" i="3" s="1"/>
  <c r="F10" i="3"/>
  <c r="G10" i="3" s="1"/>
  <c r="F8" i="3"/>
  <c r="G8" i="3" s="1"/>
  <c r="F9" i="3"/>
  <c r="G9" i="3" s="1"/>
  <c r="H10" i="3" a="1"/>
  <c r="H10" i="3" s="1"/>
  <c r="H11" i="3" a="1"/>
  <c r="H11" i="3" s="1"/>
  <c r="H8" i="3" a="1"/>
  <c r="H8" i="3" s="1"/>
  <c r="D16" i="3"/>
  <c r="F7" i="3"/>
  <c r="G7" i="3" s="1"/>
  <c r="H6" i="3" a="1"/>
  <c r="H6" i="3" s="1"/>
  <c r="H7" i="3" a="1"/>
  <c r="H7" i="3" s="1"/>
  <c r="F6" i="3"/>
  <c r="G6" i="3" s="1"/>
  <c r="F5" i="3"/>
  <c r="G5" i="3" s="1"/>
  <c r="E3" i="3"/>
  <c r="F4" i="3"/>
  <c r="G4" i="3" s="1"/>
  <c r="H5" i="3" a="1"/>
  <c r="H5" i="3" s="1"/>
  <c r="F2" i="3"/>
  <c r="H2" i="3" a="1"/>
  <c r="H2" i="3" s="1"/>
  <c r="H4" i="3" a="1"/>
  <c r="H4" i="3" s="1"/>
  <c r="H3" i="3" l="1" a="1"/>
  <c r="H3" i="3" s="1"/>
  <c r="H16" i="3" s="1"/>
  <c r="E16" i="3"/>
  <c r="G2" i="3"/>
  <c r="F3" i="3"/>
  <c r="G3" i="3" s="1"/>
  <c r="G16" i="3" l="1"/>
  <c r="F16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<sst xmlns="http://schemas.openxmlformats.org/spreadsheetml/2006/main" count="91" uniqueCount="44">
  <si>
    <t>ID</t>
  </si>
  <si>
    <t>Opravilo</t>
  </si>
  <si>
    <t>Planiranje</t>
  </si>
  <si>
    <t>Načrtovanje</t>
  </si>
  <si>
    <t>Testi</t>
  </si>
  <si>
    <t>Programiranje</t>
  </si>
  <si>
    <t>Pregled</t>
  </si>
  <si>
    <t>Prevajanje</t>
  </si>
  <si>
    <t>Testiranje</t>
  </si>
  <si>
    <t>Analiza</t>
  </si>
  <si>
    <t>LOC</t>
  </si>
  <si>
    <t>Skupaj</t>
  </si>
  <si>
    <t>Min/LOC</t>
  </si>
  <si>
    <t>LOC/Uro</t>
  </si>
  <si>
    <t>napake/KLOC</t>
  </si>
  <si>
    <t>Delež odpravljenih napak</t>
  </si>
  <si>
    <t>Razmerje I/O</t>
  </si>
  <si>
    <t>Dodan asList() v Seznam interface</t>
  </si>
  <si>
    <t>Ustvarimo nov razred BinomskaKopica</t>
  </si>
  <si>
    <t>LOC_Testi</t>
  </si>
  <si>
    <t>LOC_Program</t>
  </si>
  <si>
    <t>Implementiramo BinomialHeapNode</t>
  </si>
  <si>
    <t>Metoda add</t>
  </si>
  <si>
    <t>Metoda size</t>
  </si>
  <si>
    <t>Metda asList</t>
  </si>
  <si>
    <t>Metoda asList</t>
  </si>
  <si>
    <t>Vsota</t>
  </si>
  <si>
    <t>Metoda isEmpty</t>
  </si>
  <si>
    <t>Metoda exists</t>
  </si>
  <si>
    <t>Metoda depth</t>
  </si>
  <si>
    <t>Metoda getFirst</t>
  </si>
  <si>
    <t>Razdelimo add metodo na add in fixStrucure</t>
  </si>
  <si>
    <t>Metoda removeFirst</t>
  </si>
  <si>
    <t>Metoda remove</t>
  </si>
  <si>
    <t>Pregled in dodajanje testov</t>
  </si>
  <si>
    <t>Pregled in dodajanje testov/v metodi remove</t>
  </si>
  <si>
    <t>min/loc</t>
  </si>
  <si>
    <t>loc/uro</t>
  </si>
  <si>
    <t>nap/kloc</t>
  </si>
  <si>
    <t>del. Od. Nap.</t>
  </si>
  <si>
    <t>razmerje I/O</t>
  </si>
  <si>
    <t>dej</t>
  </si>
  <si>
    <t>plan</t>
  </si>
  <si>
    <t>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</si>
</sst>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1" fillId="2" borderId="1" xfId="0" applyNumberFormat="1" applyFont="1" applyFill="1" applyBorder="1"/>
    <xf numFmtId="14" fontId="1" fillId="2" borderId="2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NumberFormat="1"/>
  </cellXfs>
  <cellStyles count="1">
    <cellStyle name="Navadno" xfId="0" builtinId="0"/>
  </cellStyles>
  <dxfs count="7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MySqlDefault" pivot="0" table="0" count="2" xr9:uid="{8BF3AA92-35A0-424D-9C59-8562B28CD45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8</v>
    <v>3</v>
    <v>5</v>
  </rv>
  <rv s="1">
    <v>8</v>
    <v>1</v>
  </rv>
</rvData>
</file>

<file path=xl/richData/rdrichvaluestructure.xml><?xml version="1.0" encoding="utf-8"?>
<rvStructures xmlns="http://schemas.microsoft.com/office/spreadsheetml/2017/richdata" count="2">
  <s t="_error">
    <k n="colOffset" t="i"/>
    <k n="errorType" t="i"/>
    <k n="rwOffset" t="i"/>
    <k n="subType" t="i"/>
  </s>
  <s t="_error">
    <k n="errorType" t="i"/>
    <k n="propagated" t="b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CC80E-058F-4EC4-A7E1-0B8B795C9854}" name="Tabela1" displayName="Tabela1" ref="A1:K16" totalsRowCount="1">
  <autoFilter ref="A1:K15" xr:uid="{A02CC80E-058F-4EC4-A7E1-0B8B795C9854}"/>
  <tableColumns count="11">
    <tableColumn id="1" xr3:uid="{A8864C5F-FEB4-453C-963C-B28671126C7C}" name="ID" totalsRowLabel="Vsota"/>
    <tableColumn id="2" xr3:uid="{4D2EA7F0-A70E-498F-945D-EF4EAF60E0FD}" name="Opravilo"/>
    <tableColumn id="3" xr3:uid="{5D9EC9DC-85CA-4953-A228-1E86F973F51A}" name="Planiranje" totalsRowFunction="sum"/>
    <tableColumn id="4" xr3:uid="{30697DE4-51F1-4F59-9F91-9CEFD05A1CFF}" name="Načrtovanje" totalsRowFunction="sum"/>
    <tableColumn id="5" xr3:uid="{2EE0E7B6-B796-48C3-98EE-CDFE528B1206}" name="Testi" totalsRowFunction="sum"/>
    <tableColumn id="6" xr3:uid="{7618E7BF-6AF1-4406-AE00-627FEE17977B}" name="Programiranje" totalsRowFunction="sum"/>
    <tableColumn id="7" xr3:uid="{070C8050-91E0-45F4-B6F2-6510FC53ECA6}" name="Pregled" totalsRowFunction="sum"/>
    <tableColumn id="8" xr3:uid="{3AC7BFAF-A3BE-40E5-8443-006E2972198E}" name="Prevajanje" totalsRowFunction="sum"/>
    <tableColumn id="9" xr3:uid="{11B4867F-BB42-4E5E-8705-74AD46B498CC}" name="Testiranje" totalsRowFunction="sum"/>
    <tableColumn id="10" xr3:uid="{2199358A-2572-4486-9523-2BE83EF3ED84}" name="Analiza" totalsRowFunction="sum"/>
    <tableColumn id="11" xr3:uid="{6133CEA7-2006-4213-8E45-F5813B975C82}" name="Skupaj" totalsRowFunction="sum">
      <calculatedColumnFormula>SUM(Tabela1[[#This Row],[Planiranje]:[Analiza]])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39EBD8-A06C-4A2F-AEC3-E101C4B97AA0}" name="Tabela3" displayName="Tabela3" ref="A1:J16" totalsRowCount="1">
  <autoFilter ref="A1:J15" xr:uid="{7439EBD8-A06C-4A2F-AEC3-E101C4B97AA0}"/>
  <tableColumns count="10">
    <tableColumn id="1" xr3:uid="{A583E26C-D424-43E8-B5AC-B74D11E5B674}" name="ID" totalsRowLabel="Vsota"/>
    <tableColumn id="2" xr3:uid="{CE9E2E39-3909-4ADC-91DC-33694F3C5795}" name="Opravilo"/>
    <tableColumn id="10" xr3:uid="{023FBFC7-EDC5-4F04-9A2B-EB7BB68CAA80}" name="LOC_Testi" totalsRowFunction="sum"/>
    <tableColumn id="9" xr3:uid="{09B45C85-58D3-49B5-AA93-DFFD11CDFA44}" name="LOC_Program" totalsRowFunction="sum"/>
    <tableColumn id="3" xr3:uid="{F0617B90-DBD2-4D5C-91C1-E75944EF4287}" name="LOC" totalsRowFunction="sum" dataDxfId="6">
      <calculatedColumnFormula>SUM(Tabela3[[#This Row],[LOC_Testi]:[LOC_Program]])</calculatedColumnFormula>
    </tableColumn>
    <tableColumn id="4" xr3:uid="{D6927D73-CBC8-47E9-BD56-D3EF2B2799CF}" name="Min/LOC" totalsRowFunction="average">
      <calculatedColumnFormula>SUMIF(Tabela1[ID],Tabela3[[#This Row],[ID]],Tabela1[Skupaj])/Tabela3[[#This Row],[LOC]]</calculatedColumnFormula>
    </tableColumn>
    <tableColumn id="5" xr3:uid="{54E2DA04-A48C-46B9-92FD-F1E3DCFC776B}" name="LOC/Uro" totalsRowFunction="average">
      <calculatedColumnFormula>60/Tabela3[[#This Row],[Min/LOC]]</calculatedColumnFormula>
    </tableColumn>
    <tableColumn id="6" xr3:uid="{FB44A332-6C12-44BE-973B-25E5444E34D0}" name="napake/KLOC" totalsRowFunction="average">
      <calculatedColumnFormula array="1">1000*(Tabela2[Skupaj]/Tabela3[[#This Row],[LOC]])</calculatedColumnFormula>
    </tableColumn>
    <tableColumn id="7" xr3:uid="{B64FC89B-0F74-4D88-A11B-51BB57236FBC}" name="Delež odpravljenih napak" totalsRowFunction="average" dataDxfId="5">
      <calculatedColumnFormula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calculatedColumnFormula>
    </tableColumn>
    <tableColumn id="8" xr3:uid="{223E0760-FF21-466A-A2E8-A87A03650402}" name="Razmerje I/O" totalsRowFunction="average">
      <calculatedColumnFormula>SUMIF(Tabela1[ID],Tabela3[[#This Row],[ID]],Tabela1[Pregled])/(SUMIF(Tabela1[ID],Tabela3[[#This Row],[ID]],Tabela1[Prevajanje])+SUMIF(Tabela1[ID],Tabela3[[#This Row],[ID]],Tabela1[Testiranje]))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5FD3EA-4233-4225-AC21-0FAFF61DE916}" name="Tabela2" displayName="Tabela2" ref="A1:K6" totalsRowCount="1" headerRowDxfId="4" headerRowBorderDxfId="3" tableBorderDxfId="2">
  <autoFilter ref="A1:K5" xr:uid="{E25FD3EA-4233-4225-AC21-0FAFF61DE916}"/>
  <tableColumns count="11">
    <tableColumn id="1" xr3:uid="{6F33A7BB-6D56-4319-9C17-36B417C75F66}" name="ID" totalsRowLabel="Vsota"/>
    <tableColumn id="2" xr3:uid="{51D35727-ACE4-41C5-A92E-613241A72508}" name="Opravilo"/>
    <tableColumn id="3" xr3:uid="{45CF2A95-E173-4FB3-9366-BAA0330B29A6}" name="Planiranje"/>
    <tableColumn id="4" xr3:uid="{FEEDD24B-56E4-4E47-B708-D7B959FC751E}" name="Načrtovanje"/>
    <tableColumn id="5" xr3:uid="{C6A0741D-D0EF-4D9E-AA19-4CA761B5B517}" name="Testi"/>
    <tableColumn id="6" xr3:uid="{540BB8EF-A1F5-4399-9171-4835A2D73B6B}" name="Programiranje" totalsRowFunction="sum"/>
    <tableColumn id="7" xr3:uid="{39AF45EC-D9C5-451C-BD84-67A872C8A95E}" name="Pregled"/>
    <tableColumn id="8" xr3:uid="{0308F2C1-AA3A-41A2-B5A8-2E95AFECE3EF}" name="Prevajanje"/>
    <tableColumn id="9" xr3:uid="{ECB04B1B-9637-4244-8F18-FBB87E17EEBB}" name="Testiranje"/>
    <tableColumn id="10" xr3:uid="{BAC09DBD-DB84-42E5-8D66-C69477B94250}" name="Analiza"/>
    <tableColumn id="11" xr3:uid="{AC939416-5B78-4A98-9502-DBCC88CCDC72}" name="Skupaj" totalsRowFunction="sum">
      <calculatedColumnFormula>SUM(Tabela2[[#This Row],[Planiranje]:[Analiza]])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9923E5-C8DB-4D41-A8F2-3F18C56B7C5A}" name="Tabela5" displayName="Tabela5" ref="A1:K6" totalsRowCount="1">
  <autoFilter ref="A1:K5" xr:uid="{289923E5-C8DB-4D41-A8F2-3F18C56B7C5A}"/>
  <tableColumns count="11">
    <tableColumn id="1" xr3:uid="{24BA900E-2054-4A20-AE15-4C15867E4D74}" name="ID" totalsRowLabel="Vsota"/>
    <tableColumn id="2" xr3:uid="{446A6F87-BFB7-46FB-B479-8817977CC696}" name="Opravilo"/>
    <tableColumn id="3" xr3:uid="{F5890AAE-CC55-4DD8-AEC8-7C6F3308119A}" name="Planiranje"/>
    <tableColumn id="4" xr3:uid="{07240B14-7600-4615-AE27-36731DB69B26}" name="Načrtovanje"/>
    <tableColumn id="5" xr3:uid="{3CD11977-8345-4A75-8AF8-6AC10D05D31B}" name="Testi"/>
    <tableColumn id="6" xr3:uid="{6A270CAE-FA83-4798-9917-3F892D876B39}" name="Programiranje"/>
    <tableColumn id="7" xr3:uid="{22CB8252-CAA0-4435-A521-DDC18CFFBB18}" name="Pregled" totalsRowFunction="sum"/>
    <tableColumn id="8" xr3:uid="{ECC3517D-8562-46CE-96AF-070BE9E22F22}" name="Prevajanje"/>
    <tableColumn id="9" xr3:uid="{CDDFD8EF-7AF8-4F2F-8CF5-55A18CAA688A}" name="Testiranje" totalsRowFunction="sum"/>
    <tableColumn id="10" xr3:uid="{C1A7CF5C-0D70-49B1-8421-B68BADC89E79}" name="Analiza" totalsRowFunction="sum"/>
    <tableColumn id="11" xr3:uid="{6C141E64-B4BE-428B-BA05-BF83371F4C97}" name="Skupaj" totalsRowFunction="sum">
      <calculatedColumnFormula>SUM(Tabela5[[#This Row],[Planiranje]:[Analiza]])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AD0AD-5B82-4C74-A3B2-E92AEA86B03D}">
  <dimension ref="A1:R16"/>
  <sheetViews>
    <sheetView tabSelected="1" workbookViewId="0">
      <selection activeCell="U6" sqref="U6"/>
    </sheetView>
  </sheetViews>
  <sheetFormatPr defaultRowHeight="15" x14ac:dyDescent="0.25"/>
  <cols>
    <col min="1" max="1" width="10.7109375" bestFit="1" customWidth="1"/>
    <col min="2" max="2" width="26.7109375" customWidth="1"/>
    <col min="3" max="3" width="12.140625" customWidth="1"/>
    <col min="4" max="4" width="13.85546875" customWidth="1"/>
    <col min="6" max="6" width="15.7109375" customWidth="1"/>
    <col min="7" max="7" width="10" customWidth="1"/>
    <col min="8" max="8" width="12.5703125" customWidth="1"/>
    <col min="9" max="9" width="12" customWidth="1"/>
    <col min="10" max="10" width="9.5703125" customWidth="1"/>
  </cols>
  <sheetData>
    <row r="1" spans="1:18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P1" t="s">
        <v>41</v>
      </c>
      <c r="Q1" t="s">
        <v>42</v>
      </c>
      <c r="R1" t="s">
        <v>43</v>
      </c>
    </row>
    <row r="2" spans="1:18" x14ac:dyDescent="0.25">
      <c r="A2">
        <v>1</v>
      </c>
      <c r="B2" t="s">
        <v>17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f>SUM(Tabela1[[#This Row],[Planiranje]:[Analiza]])</f>
        <v>1</v>
      </c>
      <c r="O2" t="s">
        <v>36</v>
      </c>
      <c r="P2">
        <f>Tabela1[[#Totals],[Skupaj]]/(376+250)</f>
        <v>0.54313099041533541</v>
      </c>
      <c r="Q2">
        <v>3.0375899999999998</v>
      </c>
      <c r="R2">
        <f>Q2*10+P2</f>
        <v>30.919030990415333</v>
      </c>
    </row>
    <row r="3" spans="1:18" x14ac:dyDescent="0.25">
      <c r="A3">
        <v>2</v>
      </c>
      <c r="B3" t="s">
        <v>18</v>
      </c>
      <c r="C3">
        <v>0</v>
      </c>
      <c r="D3">
        <v>0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  <c r="K3">
        <f>SUM(Tabela1[[#This Row],[Planiranje]:[Analiza]])</f>
        <v>3</v>
      </c>
      <c r="O3" t="s">
        <v>37</v>
      </c>
      <c r="P3">
        <f>60/P2</f>
        <v>110.47058823529413</v>
      </c>
      <c r="Q3">
        <v>19.752500000000001</v>
      </c>
      <c r="R3">
        <f t="shared" ref="R3:R6" si="0">Q3*10+P3</f>
        <v>307.99558823529412</v>
      </c>
    </row>
    <row r="4" spans="1:18" x14ac:dyDescent="0.25">
      <c r="A4">
        <v>3</v>
      </c>
      <c r="B4" t="s">
        <v>21</v>
      </c>
      <c r="C4">
        <v>3</v>
      </c>
      <c r="D4">
        <v>2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f>SUM(Tabela1[[#This Row],[Planiranje]:[Analiza]])</f>
        <v>8</v>
      </c>
      <c r="O4" t="s">
        <v>38</v>
      </c>
      <c r="P4">
        <f>1000*(10/(376+250))</f>
        <v>15.974440894568689</v>
      </c>
      <c r="Q4">
        <v>82.706770000000006</v>
      </c>
      <c r="R4">
        <f t="shared" si="0"/>
        <v>843.04214089456877</v>
      </c>
    </row>
    <row r="5" spans="1:18" x14ac:dyDescent="0.25">
      <c r="A5">
        <v>4</v>
      </c>
      <c r="B5" t="s">
        <v>22</v>
      </c>
      <c r="C5">
        <v>6</v>
      </c>
      <c r="D5">
        <v>6</v>
      </c>
      <c r="E5">
        <v>15</v>
      </c>
      <c r="F5">
        <v>15</v>
      </c>
      <c r="G5">
        <v>2</v>
      </c>
      <c r="H5">
        <v>0</v>
      </c>
      <c r="I5">
        <v>40</v>
      </c>
      <c r="J5">
        <v>3</v>
      </c>
      <c r="K5">
        <f>SUM(Tabela1[[#This Row],[Planiranje]:[Analiza]])</f>
        <v>87</v>
      </c>
      <c r="O5" t="s">
        <v>39</v>
      </c>
      <c r="P5">
        <f>100*4/10</f>
        <v>40</v>
      </c>
      <c r="Q5">
        <v>22.72</v>
      </c>
      <c r="R5">
        <f t="shared" si="0"/>
        <v>267.2</v>
      </c>
    </row>
    <row r="6" spans="1:18" x14ac:dyDescent="0.25">
      <c r="A6">
        <v>5</v>
      </c>
      <c r="B6" t="s">
        <v>23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f>SUM(Tabela1[[#This Row],[Planiranje]:[Analiza]])</f>
        <v>1</v>
      </c>
      <c r="O6" t="s">
        <v>40</v>
      </c>
      <c r="P6">
        <f>24/(0+43)</f>
        <v>0.55813953488372092</v>
      </c>
      <c r="Q6">
        <v>0.10231999999999999</v>
      </c>
      <c r="R6">
        <f t="shared" si="0"/>
        <v>1.5813395348837207</v>
      </c>
    </row>
    <row r="7" spans="1:18" x14ac:dyDescent="0.25">
      <c r="A7">
        <v>6</v>
      </c>
      <c r="B7" t="s">
        <v>24</v>
      </c>
      <c r="C7">
        <v>2</v>
      </c>
      <c r="D7">
        <v>3</v>
      </c>
      <c r="E7">
        <v>0</v>
      </c>
      <c r="F7">
        <v>4</v>
      </c>
      <c r="G7">
        <v>1</v>
      </c>
      <c r="H7">
        <v>0</v>
      </c>
      <c r="I7">
        <v>0</v>
      </c>
      <c r="J7">
        <v>0</v>
      </c>
      <c r="K7">
        <f>SUM(Tabela1[[#This Row],[Planiranje]:[Analiza]])</f>
        <v>10</v>
      </c>
    </row>
    <row r="8" spans="1:18" x14ac:dyDescent="0.25">
      <c r="A8">
        <v>7</v>
      </c>
      <c r="B8" t="s">
        <v>27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f>SUM(Tabela1[[#This Row],[Planiranje]:[Analiza]])</f>
        <v>1</v>
      </c>
    </row>
    <row r="9" spans="1:18" x14ac:dyDescent="0.25">
      <c r="A9">
        <v>8</v>
      </c>
      <c r="B9" t="s">
        <v>28</v>
      </c>
      <c r="C9">
        <v>0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f>SUM(Tabela1[[#This Row],[Planiranje]:[Analiza]])</f>
        <v>3</v>
      </c>
    </row>
    <row r="10" spans="1:18" x14ac:dyDescent="0.25">
      <c r="A10">
        <v>9</v>
      </c>
      <c r="B10" t="s">
        <v>29</v>
      </c>
      <c r="C10">
        <v>2</v>
      </c>
      <c r="D10">
        <v>2</v>
      </c>
      <c r="E10">
        <v>6</v>
      </c>
      <c r="F10">
        <v>1</v>
      </c>
      <c r="G10">
        <v>0</v>
      </c>
      <c r="H10">
        <v>0</v>
      </c>
      <c r="I10">
        <v>0</v>
      </c>
      <c r="J10">
        <v>0</v>
      </c>
      <c r="K10">
        <f>SUM(Tabela1[[#This Row],[Planiranje]:[Analiza]])</f>
        <v>11</v>
      </c>
    </row>
    <row r="11" spans="1:18" x14ac:dyDescent="0.25">
      <c r="A11">
        <v>10</v>
      </c>
      <c r="B11" t="s">
        <v>30</v>
      </c>
      <c r="C11">
        <v>2</v>
      </c>
      <c r="D11">
        <v>0</v>
      </c>
      <c r="E11">
        <v>5</v>
      </c>
      <c r="F11">
        <v>1</v>
      </c>
      <c r="G11">
        <v>0</v>
      </c>
      <c r="H11">
        <v>0</v>
      </c>
      <c r="I11">
        <v>0</v>
      </c>
      <c r="J11">
        <v>0</v>
      </c>
      <c r="K11">
        <f>SUM(Tabela1[[#This Row],[Planiranje]:[Analiza]])</f>
        <v>8</v>
      </c>
    </row>
    <row r="12" spans="1:18" x14ac:dyDescent="0.25">
      <c r="A12">
        <v>11</v>
      </c>
      <c r="B12" t="s">
        <v>31</v>
      </c>
      <c r="C12">
        <v>1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  <c r="K12">
        <f>SUM(Tabela1[[#This Row],[Planiranje]:[Analiza]])</f>
        <v>4</v>
      </c>
    </row>
    <row r="13" spans="1:18" x14ac:dyDescent="0.25">
      <c r="A13">
        <v>12</v>
      </c>
      <c r="B13" t="s">
        <v>32</v>
      </c>
      <c r="C13">
        <v>3</v>
      </c>
      <c r="D13">
        <v>15</v>
      </c>
      <c r="E13">
        <v>3</v>
      </c>
      <c r="F13">
        <v>37</v>
      </c>
      <c r="G13">
        <v>19</v>
      </c>
      <c r="H13">
        <v>0</v>
      </c>
      <c r="I13">
        <v>2</v>
      </c>
      <c r="J13">
        <v>0</v>
      </c>
      <c r="K13">
        <f>SUM(Tabela1[[#This Row],[Planiranje]:[Analiza]])</f>
        <v>79</v>
      </c>
    </row>
    <row r="14" spans="1:18" x14ac:dyDescent="0.25">
      <c r="A14">
        <v>13</v>
      </c>
      <c r="B14" t="s">
        <v>33</v>
      </c>
      <c r="C14">
        <v>6</v>
      </c>
      <c r="D14">
        <v>7</v>
      </c>
      <c r="E14">
        <v>12</v>
      </c>
      <c r="F14">
        <v>20</v>
      </c>
      <c r="G14">
        <v>0</v>
      </c>
      <c r="H14">
        <v>0</v>
      </c>
      <c r="I14">
        <v>7</v>
      </c>
      <c r="J14">
        <v>0</v>
      </c>
      <c r="K14">
        <f>SUM(Tabela1[[#This Row],[Planiranje]:[Analiza]])</f>
        <v>52</v>
      </c>
    </row>
    <row r="15" spans="1:18" x14ac:dyDescent="0.25">
      <c r="A15">
        <v>14</v>
      </c>
      <c r="B15" t="s">
        <v>34</v>
      </c>
      <c r="C15">
        <v>0</v>
      </c>
      <c r="D15">
        <v>0</v>
      </c>
      <c r="E15">
        <v>20</v>
      </c>
      <c r="F15">
        <v>0</v>
      </c>
      <c r="G15">
        <v>2</v>
      </c>
      <c r="H15">
        <v>0</v>
      </c>
      <c r="I15">
        <v>10</v>
      </c>
      <c r="J15">
        <v>40</v>
      </c>
      <c r="K15">
        <f>SUM(Tabela1[[#This Row],[Planiranje]:[Analiza]])</f>
        <v>72</v>
      </c>
    </row>
    <row r="16" spans="1:18" x14ac:dyDescent="0.25">
      <c r="A16" t="s">
        <v>26</v>
      </c>
      <c r="C16">
        <f>SUBTOTAL(109,Tabela1[Planiranje])</f>
        <v>25</v>
      </c>
      <c r="D16">
        <f>SUBTOTAL(109,Tabela1[Načrtovanje])</f>
        <v>36</v>
      </c>
      <c r="E16">
        <f>SUBTOTAL(109,Tabela1[Testi])</f>
        <v>65</v>
      </c>
      <c r="F16">
        <f>SUBTOTAL(109,Tabela1[Programiranje])</f>
        <v>88</v>
      </c>
      <c r="G16">
        <f>SUBTOTAL(109,Tabela1[Pregled])</f>
        <v>24</v>
      </c>
      <c r="H16">
        <f>SUBTOTAL(109,Tabela1[Prevajanje])</f>
        <v>0</v>
      </c>
      <c r="I16">
        <f>SUBTOTAL(109,Tabela1[Testiranje])</f>
        <v>59</v>
      </c>
      <c r="J16">
        <f>SUBTOTAL(109,Tabela1[Analiza])</f>
        <v>43</v>
      </c>
      <c r="K16">
        <f>SUBTOTAL(109,Tabela1[Skupaj])</f>
        <v>340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0E67-7137-42BD-AB48-D44A02DFECF6}">
  <dimension ref="A1:J16"/>
  <sheetViews>
    <sheetView workbookViewId="0">
      <selection activeCell="E15" sqref="E15"/>
    </sheetView>
  </sheetViews>
  <sheetFormatPr defaultRowHeight="15" x14ac:dyDescent="0.25"/>
  <cols>
    <col min="2" max="2" width="29" customWidth="1"/>
    <col min="3" max="3" width="12" bestFit="1" customWidth="1"/>
    <col min="4" max="4" width="15.140625" bestFit="1" customWidth="1"/>
    <col min="6" max="6" width="11" customWidth="1"/>
    <col min="7" max="7" width="10.7109375" customWidth="1"/>
    <col min="8" max="8" width="15" customWidth="1"/>
    <col min="9" max="9" width="25.5703125" customWidth="1"/>
    <col min="10" max="10" width="14.7109375" customWidth="1"/>
  </cols>
  <sheetData>
    <row r="1" spans="1:10" x14ac:dyDescent="0.25">
      <c r="A1" t="s">
        <v>0</v>
      </c>
      <c r="B1" t="s">
        <v>1</v>
      </c>
      <c r="C1" t="s">
        <v>19</v>
      </c>
      <c r="D1" t="s">
        <v>20</v>
      </c>
      <c r="E1" t="s">
        <v>10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5">
      <c r="A2">
        <v>1</v>
      </c>
      <c r="B2" t="s">
        <v>17</v>
      </c>
      <c r="C2">
        <v>0</v>
      </c>
      <c r="D2">
        <v>4</v>
      </c>
      <c r="E2">
        <f>SUM(Tabela3[[#This Row],[LOC_Testi]:[LOC_Program]])</f>
        <v>4</v>
      </c>
      <c r="F2">
        <f>SUMIF(Tabela1[ID],Tabela3[[#This Row],[ID]],Tabela1[Skupaj])/Tabela3[[#This Row],[LOC]]</f>
        <v>0.25</v>
      </c>
      <c r="G2">
        <f>60/Tabela3[[#This Row],[Min/LOC]]</f>
        <v>240</v>
      </c>
      <c r="H2" t="e" cm="1" vm="1">
        <f t="array" aca="1" ref="H2" ca="1">1000*(Tabela2[Skupaj]/Tabela3[[#This Row],[LOC]])</f>
        <v>#VALUE!</v>
      </c>
      <c r="I2" t="e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#DIV/0!</v>
      </c>
      <c r="J2" t="e">
        <f>SUMIF(Tabela1[ID],Tabela3[[#This Row],[ID]],Tabela1[Pregled])/(SUMIF(Tabela1[ID],Tabela3[[#This Row],[ID]],Tabela1[Prevajanje])+SUMIF(Tabela1[ID],Tabela3[[#This Row],[ID]],Tabela1[Testiranje]))</f>
        <v>#DIV/0!</v>
      </c>
    </row>
    <row r="3" spans="1:10" x14ac:dyDescent="0.25">
      <c r="A3">
        <v>2</v>
      </c>
      <c r="B3" t="s">
        <v>18</v>
      </c>
      <c r="C3">
        <f>49-SUM(C2)</f>
        <v>49</v>
      </c>
      <c r="D3">
        <f>52-SUM(D2)</f>
        <v>48</v>
      </c>
      <c r="E3">
        <f>SUM(Tabela3[[#This Row],[LOC_Testi]:[LOC_Program]])</f>
        <v>97</v>
      </c>
      <c r="F3">
        <f>SUMIF(Tabela1[ID],Tabela3[[#This Row],[ID]],Tabela1[Skupaj])/Tabela3[[#This Row],[LOC]]</f>
        <v>3.0927835051546393E-2</v>
      </c>
      <c r="G3">
        <f>60/Tabela3[[#This Row],[Min/LOC]]</f>
        <v>1940</v>
      </c>
      <c r="H3" t="e" cm="1" vm="1">
        <f t="array" aca="1" ref="H3" ca="1">1000*(Tabela2[Skupaj]/Tabela3[[#This Row],[LOC]])</f>
        <v>#VALUE!</v>
      </c>
      <c r="I3" t="e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#DIV/0!</v>
      </c>
      <c r="J3" t="e">
        <f>SUMIF(Tabela1[ID],Tabela3[[#This Row],[ID]],Tabela1[Pregled])/(SUMIF(Tabela1[ID],Tabela3[[#This Row],[ID]],Tabela1[Prevajanje])+SUMIF(Tabela1[ID],Tabela3[[#This Row],[ID]],Tabela1[Testiranje]))</f>
        <v>#DIV/0!</v>
      </c>
    </row>
    <row r="4" spans="1:10" x14ac:dyDescent="0.25">
      <c r="A4">
        <v>3</v>
      </c>
      <c r="B4" t="s">
        <v>21</v>
      </c>
      <c r="D4">
        <f>68-SUM($D$2:D3)</f>
        <v>16</v>
      </c>
      <c r="E4" s="6">
        <f>SUM(Tabela3[[#This Row],[LOC_Testi]:[LOC_Program]])</f>
        <v>16</v>
      </c>
      <c r="F4">
        <f>SUMIF(Tabela1[ID],Tabela3[[#This Row],[ID]],Tabela1[Skupaj])/Tabela3[[#This Row],[LOC]]</f>
        <v>0.5</v>
      </c>
      <c r="G4">
        <f>60/Tabela3[[#This Row],[Min/LOC]]</f>
        <v>120</v>
      </c>
      <c r="H4" t="e" cm="1" vm="1">
        <f t="array" aca="1" ref="H4" ca="1">1000*(Tabela2[Skupaj]/Tabela3[[#This Row],[LOC]])</f>
        <v>#VALUE!</v>
      </c>
      <c r="I4" t="e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#DIV/0!</v>
      </c>
      <c r="J4" t="e">
        <f>SUMIF(Tabela1[ID],Tabela3[[#This Row],[ID]],Tabela1[Pregled])/(SUMIF(Tabela1[ID],Tabela3[[#This Row],[ID]],Tabela1[Prevajanje])+SUMIF(Tabela1[ID],Tabela3[[#This Row],[ID]],Tabela1[Testiranje]))</f>
        <v>#DIV/0!</v>
      </c>
    </row>
    <row r="5" spans="1:10" x14ac:dyDescent="0.25">
      <c r="A5">
        <v>4</v>
      </c>
      <c r="B5" t="s">
        <v>22</v>
      </c>
      <c r="C5">
        <v>42</v>
      </c>
      <c r="D5">
        <v>50</v>
      </c>
      <c r="E5" s="6">
        <f>SUM(Tabela3[[#This Row],[LOC_Testi]:[LOC_Program]])</f>
        <v>92</v>
      </c>
      <c r="F5">
        <f>SUMIF(Tabela1[ID],Tabela3[[#This Row],[ID]],Tabela1[Skupaj])/Tabela3[[#This Row],[LOC]]</f>
        <v>0.94565217391304346</v>
      </c>
      <c r="G5">
        <f>60/Tabela3[[#This Row],[Min/LOC]]</f>
        <v>63.448275862068968</v>
      </c>
      <c r="H5" t="e" cm="1" vm="1">
        <f t="array" aca="1" ref="H5" ca="1">1000*(Tabela2[Skupaj]/Tabela3[[#This Row],[LOC]])</f>
        <v>#VALUE!</v>
      </c>
      <c r="I5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25</v>
      </c>
      <c r="J5">
        <f>SUMIF(Tabela1[ID],Tabela3[[#This Row],[ID]],Tabela1[Pregled])/(SUMIF(Tabela1[ID],Tabela3[[#This Row],[ID]],Tabela1[Prevajanje])+SUMIF(Tabela1[ID],Tabela3[[#This Row],[ID]],Tabela1[Testiranje]))</f>
        <v>0.05</v>
      </c>
    </row>
    <row r="6" spans="1:10" x14ac:dyDescent="0.25">
      <c r="A6">
        <v>5</v>
      </c>
      <c r="B6" t="s">
        <v>23</v>
      </c>
      <c r="C6">
        <v>1</v>
      </c>
      <c r="D6">
        <v>1</v>
      </c>
      <c r="E6" s="6">
        <f>SUM(Tabela3[[#This Row],[LOC_Testi]:[LOC_Program]])</f>
        <v>2</v>
      </c>
      <c r="F6">
        <f>SUMIF(Tabela1[ID],Tabela3[[#This Row],[ID]],Tabela1[Skupaj])/Tabela3[[#This Row],[LOC]]</f>
        <v>0.5</v>
      </c>
      <c r="G6">
        <f>60/Tabela3[[#This Row],[Min/LOC]]</f>
        <v>120</v>
      </c>
      <c r="H6" t="e" cm="1" vm="1">
        <f t="array" aca="1" ref="H6" ca="1">1000*(Tabela2[Skupaj]/Tabela3[[#This Row],[LOC]])</f>
        <v>#VALUE!</v>
      </c>
      <c r="I6" t="e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#DIV/0!</v>
      </c>
      <c r="J6" t="e">
        <f>SUMIF(Tabela1[ID],Tabela3[[#This Row],[ID]],Tabela1[Pregled])/(SUMIF(Tabela1[ID],Tabela3[[#This Row],[ID]],Tabela1[Prevajanje])+SUMIF(Tabela1[ID],Tabela3[[#This Row],[ID]],Tabela1[Testiranje]))</f>
        <v>#DIV/0!</v>
      </c>
    </row>
    <row r="7" spans="1:10" x14ac:dyDescent="0.25">
      <c r="A7">
        <v>6</v>
      </c>
      <c r="B7" t="s">
        <v>25</v>
      </c>
      <c r="C7">
        <v>1</v>
      </c>
      <c r="D7">
        <v>11</v>
      </c>
      <c r="E7" s="6">
        <f>SUM(Tabela3[[#This Row],[LOC_Testi]:[LOC_Program]])</f>
        <v>12</v>
      </c>
      <c r="F7">
        <f>SUMIF(Tabela1[ID],Tabela3[[#This Row],[ID]],Tabela1[Skupaj])/Tabela3[[#This Row],[LOC]]</f>
        <v>0.83333333333333337</v>
      </c>
      <c r="G7">
        <f>60/Tabela3[[#This Row],[Min/LOC]]</f>
        <v>72</v>
      </c>
      <c r="H7" t="e" cm="1" vm="1">
        <f t="array" aca="1" ref="H7" ca="1">1000*(Tabela2[Skupaj]/Tabela3[[#This Row],[LOC]])</f>
        <v>#VALUE!</v>
      </c>
      <c r="I7" t="e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#DIV/0!</v>
      </c>
      <c r="J7" t="e">
        <f>SUMIF(Tabela1[ID],Tabela3[[#This Row],[ID]],Tabela1[Pregled])/(SUMIF(Tabela1[ID],Tabela3[[#This Row],[ID]],Tabela1[Prevajanje])+SUMIF(Tabela1[ID],Tabela3[[#This Row],[ID]],Tabela1[Testiranje]))</f>
        <v>#DIV/0!</v>
      </c>
    </row>
    <row r="8" spans="1:10" x14ac:dyDescent="0.25">
      <c r="A8">
        <v>7</v>
      </c>
      <c r="B8" t="s">
        <v>27</v>
      </c>
      <c r="C8">
        <v>10</v>
      </c>
      <c r="D8">
        <v>4</v>
      </c>
      <c r="E8" s="6">
        <f>SUM(Tabela3[[#This Row],[LOC_Testi]:[LOC_Program]])</f>
        <v>14</v>
      </c>
      <c r="F8">
        <f>SUMIF(Tabela1[ID],Tabela3[[#This Row],[ID]],Tabela1[Skupaj])/Tabela3[[#This Row],[LOC]]</f>
        <v>7.1428571428571425E-2</v>
      </c>
      <c r="G8">
        <f>60/Tabela3[[#This Row],[Min/LOC]]</f>
        <v>840</v>
      </c>
      <c r="H8" t="e" cm="1" vm="1">
        <f t="array" aca="1" ref="H8" ca="1">1000*(Tabela2[Skupaj]/Tabela3[[#This Row],[LOC]])</f>
        <v>#VALUE!</v>
      </c>
      <c r="I8" t="e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#DIV/0!</v>
      </c>
      <c r="J8" t="e">
        <f>SUMIF(Tabela1[ID],Tabela3[[#This Row],[ID]],Tabela1[Pregled])/(SUMIF(Tabela1[ID],Tabela3[[#This Row],[ID]],Tabela1[Prevajanje])+SUMIF(Tabela1[ID],Tabela3[[#This Row],[ID]],Tabela1[Testiranje]))</f>
        <v>#DIV/0!</v>
      </c>
    </row>
    <row r="9" spans="1:10" x14ac:dyDescent="0.25">
      <c r="A9">
        <v>8</v>
      </c>
      <c r="B9" t="s">
        <v>28</v>
      </c>
      <c r="C9">
        <v>30</v>
      </c>
      <c r="D9">
        <v>4</v>
      </c>
      <c r="E9" s="6">
        <f>SUM(Tabela3[[#This Row],[LOC_Testi]:[LOC_Program]])</f>
        <v>34</v>
      </c>
      <c r="F9">
        <f>SUMIF(Tabela1[ID],Tabela3[[#This Row],[ID]],Tabela1[Skupaj])/Tabela3[[#This Row],[LOC]]</f>
        <v>8.8235294117647065E-2</v>
      </c>
      <c r="G9">
        <f>60/Tabela3[[#This Row],[Min/LOC]]</f>
        <v>680</v>
      </c>
      <c r="H9" t="e" cm="1" vm="1">
        <f t="array" aca="1" ref="H9" ca="1">1000*(Tabela2[Skupaj]/Tabela3[[#This Row],[LOC]])</f>
        <v>#VALUE!</v>
      </c>
      <c r="I9" t="e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#DIV/0!</v>
      </c>
      <c r="J9" t="e">
        <f>SUMIF(Tabela1[ID],Tabela3[[#This Row],[ID]],Tabela1[Pregled])/(SUMIF(Tabela1[ID],Tabela3[[#This Row],[ID]],Tabela1[Prevajanje])+SUMIF(Tabela1[ID],Tabela3[[#This Row],[ID]],Tabela1[Testiranje]))</f>
        <v>#DIV/0!</v>
      </c>
    </row>
    <row r="10" spans="1:10" x14ac:dyDescent="0.25">
      <c r="A10">
        <v>9</v>
      </c>
      <c r="B10" t="s">
        <v>29</v>
      </c>
      <c r="C10">
        <v>65</v>
      </c>
      <c r="D10">
        <v>8</v>
      </c>
      <c r="E10" s="6">
        <f>SUM(Tabela3[[#This Row],[LOC_Testi]:[LOC_Program]])</f>
        <v>73</v>
      </c>
      <c r="F10">
        <f>SUMIF(Tabela1[ID],Tabela3[[#This Row],[ID]],Tabela1[Skupaj])/Tabela3[[#This Row],[LOC]]</f>
        <v>0.15068493150684931</v>
      </c>
      <c r="G10">
        <f>60/Tabela3[[#This Row],[Min/LOC]]</f>
        <v>398.18181818181819</v>
      </c>
      <c r="H10" t="e" cm="1" vm="1">
        <f t="array" aca="1" ref="H10" ca="1">1000*(Tabela2[Skupaj]/Tabela3[[#This Row],[LOC]])</f>
        <v>#VALUE!</v>
      </c>
      <c r="I10" t="e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#DIV/0!</v>
      </c>
      <c r="J10" t="e">
        <f>SUMIF(Tabela1[ID],Tabela3[[#This Row],[ID]],Tabela1[Pregled])/(SUMIF(Tabela1[ID],Tabela3[[#This Row],[ID]],Tabela1[Prevajanje])+SUMIF(Tabela1[ID],Tabela3[[#This Row],[ID]],Tabela1[Testiranje]))</f>
        <v>#DIV/0!</v>
      </c>
    </row>
    <row r="11" spans="1:10" x14ac:dyDescent="0.25">
      <c r="A11">
        <v>10</v>
      </c>
      <c r="B11" t="s">
        <v>30</v>
      </c>
      <c r="C11">
        <v>40</v>
      </c>
      <c r="D11">
        <v>12</v>
      </c>
      <c r="E11" s="6">
        <f>SUM(Tabela3[[#This Row],[LOC_Testi]:[LOC_Program]])</f>
        <v>52</v>
      </c>
      <c r="F11">
        <f>SUMIF(Tabela1[ID],Tabela3[[#This Row],[ID]],Tabela1[Skupaj])/Tabela3[[#This Row],[LOC]]</f>
        <v>0.15384615384615385</v>
      </c>
      <c r="G11">
        <f>60/Tabela3[[#This Row],[Min/LOC]]</f>
        <v>390</v>
      </c>
      <c r="H11" t="e" cm="1" vm="1">
        <f t="array" aca="1" ref="H11" ca="1">1000*(Tabela2[Skupaj]/Tabela3[[#This Row],[LOC]])</f>
        <v>#VALUE!</v>
      </c>
      <c r="I11" t="e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#DIV/0!</v>
      </c>
      <c r="J11" t="e">
        <f>SUMIF(Tabela1[ID],Tabela3[[#This Row],[ID]],Tabela1[Pregled])/(SUMIF(Tabela1[ID],Tabela3[[#This Row],[ID]],Tabela1[Prevajanje])+SUMIF(Tabela1[ID],Tabela3[[#This Row],[ID]],Tabela1[Testiranje]))</f>
        <v>#DIV/0!</v>
      </c>
    </row>
    <row r="12" spans="1:10" x14ac:dyDescent="0.25">
      <c r="A12">
        <v>11</v>
      </c>
      <c r="B12" t="s">
        <v>31</v>
      </c>
      <c r="C12">
        <v>0</v>
      </c>
      <c r="D12">
        <v>4</v>
      </c>
      <c r="E12" s="6">
        <f>SUM(Tabela3[[#This Row],[LOC_Testi]:[LOC_Program]])</f>
        <v>4</v>
      </c>
      <c r="F12">
        <f>SUMIF(Tabela1[ID],Tabela3[[#This Row],[ID]],Tabela1[Skupaj])/Tabela3[[#This Row],[LOC]]</f>
        <v>1</v>
      </c>
      <c r="G12">
        <f>60/Tabela3[[#This Row],[Min/LOC]]</f>
        <v>60</v>
      </c>
      <c r="H12" t="e" cm="1" vm="1">
        <f t="array" aca="1" ref="H12" ca="1">1000*(Tabela2[Skupaj]/Tabela3[[#This Row],[LOC]])</f>
        <v>#VALUE!</v>
      </c>
      <c r="I12" t="e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#DIV/0!</v>
      </c>
      <c r="J12" t="e">
        <f>SUMIF(Tabela1[ID],Tabela3[[#This Row],[ID]],Tabela1[Pregled])/(SUMIF(Tabela1[ID],Tabela3[[#This Row],[ID]],Tabela1[Prevajanje])+SUMIF(Tabela1[ID],Tabela3[[#This Row],[ID]],Tabela1[Testiranje]))</f>
        <v>#DIV/0!</v>
      </c>
    </row>
    <row r="13" spans="1:10" x14ac:dyDescent="0.25">
      <c r="A13">
        <v>12</v>
      </c>
      <c r="B13" t="s">
        <v>32</v>
      </c>
      <c r="C13">
        <v>41</v>
      </c>
      <c r="D13">
        <v>75</v>
      </c>
      <c r="E13" s="6">
        <f>SUM(Tabela3[[#This Row],[LOC_Testi]:[LOC_Program]])</f>
        <v>116</v>
      </c>
      <c r="F13">
        <f>SUMIF(Tabela1[ID],Tabela3[[#This Row],[ID]],Tabela1[Skupaj])/Tabela3[[#This Row],[LOC]]</f>
        <v>0.68103448275862066</v>
      </c>
      <c r="G13">
        <f>60/Tabela3[[#This Row],[Min/LOC]]</f>
        <v>88.101265822784811</v>
      </c>
      <c r="H13" t="e" cm="1" vm="1">
        <f t="array" aca="1" ref="H13" ca="1">1000*(Tabela2[Skupaj]/Tabela3[[#This Row],[LOC]])</f>
        <v>#VALUE!</v>
      </c>
      <c r="I13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75</v>
      </c>
      <c r="J13">
        <f>SUMIF(Tabela1[ID],Tabela3[[#This Row],[ID]],Tabela1[Pregled])/(SUMIF(Tabela1[ID],Tabela3[[#This Row],[ID]],Tabela1[Prevajanje])+SUMIF(Tabela1[ID],Tabela3[[#This Row],[ID]],Tabela1[Testiranje]))</f>
        <v>9.5</v>
      </c>
    </row>
    <row r="14" spans="1:10" x14ac:dyDescent="0.25">
      <c r="A14">
        <v>13</v>
      </c>
      <c r="B14" t="s">
        <v>33</v>
      </c>
      <c r="C14">
        <v>63</v>
      </c>
      <c r="D14">
        <v>29</v>
      </c>
      <c r="E14" s="6">
        <f>SUM(Tabela3[[#This Row],[LOC_Testi]:[LOC_Program]])</f>
        <v>92</v>
      </c>
      <c r="F14">
        <f>SUMIF(Tabela1[ID],Tabela3[[#This Row],[ID]],Tabela1[Skupaj])/Tabela3[[#This Row],[LOC]]</f>
        <v>0.56521739130434778</v>
      </c>
      <c r="G14">
        <f>60/Tabela3[[#This Row],[Min/LOC]]</f>
        <v>106.15384615384616</v>
      </c>
      <c r="H14" t="e" cm="1" vm="1">
        <f t="array" aca="1" ref="H14" ca="1">1000*(Tabela2[Skupaj]/Tabela3[[#This Row],[LOC]])</f>
        <v>#VALUE!</v>
      </c>
      <c r="I14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0</v>
      </c>
      <c r="J14">
        <f>SUMIF(Tabela1[ID],Tabela3[[#This Row],[ID]],Tabela1[Pregled])/(SUMIF(Tabela1[ID],Tabela3[[#This Row],[ID]],Tabela1[Prevajanje])+SUMIF(Tabela1[ID],Tabela3[[#This Row],[ID]],Tabela1[Testiranje]))</f>
        <v>0</v>
      </c>
    </row>
    <row r="15" spans="1:10" x14ac:dyDescent="0.25">
      <c r="A15">
        <v>14</v>
      </c>
      <c r="B15" t="s">
        <v>34</v>
      </c>
      <c r="C15">
        <v>7</v>
      </c>
      <c r="D15">
        <v>0</v>
      </c>
      <c r="E15" s="6">
        <f>SUM(Tabela3[[#This Row],[LOC_Testi]:[LOC_Program]])</f>
        <v>7</v>
      </c>
      <c r="F15">
        <f>SUMIF(Tabela1[ID],Tabela3[[#This Row],[ID]],Tabela1[Skupaj])/Tabela3[[#This Row],[LOC]]</f>
        <v>10.285714285714286</v>
      </c>
      <c r="G15">
        <f>60/Tabela3[[#This Row],[Min/LOC]]</f>
        <v>5.833333333333333</v>
      </c>
      <c r="H15" t="e" cm="1" vm="1">
        <f t="array" aca="1" ref="H15" ca="1">1000*(Tabela2[Skupaj]/Tabela3[[#This Row],[LOC]])</f>
        <v>#VALUE!</v>
      </c>
      <c r="I15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0</v>
      </c>
      <c r="J15">
        <f>SUMIF(Tabela1[ID],Tabela3[[#This Row],[ID]],Tabela1[Pregled])/(SUMIF(Tabela1[ID],Tabela3[[#This Row],[ID]],Tabela1[Prevajanje])+SUMIF(Tabela1[ID],Tabela3[[#This Row],[ID]],Tabela1[Testiranje]))</f>
        <v>0.2</v>
      </c>
    </row>
    <row r="16" spans="1:10" x14ac:dyDescent="0.25">
      <c r="A16" t="s">
        <v>26</v>
      </c>
      <c r="C16">
        <f>SUBTOTAL(109,Tabela3[LOC_Testi])</f>
        <v>349</v>
      </c>
      <c r="D16">
        <f>SUBTOTAL(109,Tabela3[LOC_Program])</f>
        <v>266</v>
      </c>
      <c r="E16">
        <f>SUBTOTAL(109,Tabela3[LOC])</f>
        <v>615</v>
      </c>
      <c r="F16">
        <f>SUBTOTAL(101,Tabela3[Min/LOC])</f>
        <v>1.1468624609267428</v>
      </c>
      <c r="G16">
        <f>SUBTOTAL(101,Tabela3[LOC/Uro])</f>
        <v>365.97989566813214</v>
      </c>
      <c r="H16" t="e" vm="2">
        <f ca="1">SUBTOTAL(101,Tabela3[napake/KLOC])</f>
        <v>#VALUE!</v>
      </c>
      <c r="I16" t="e">
        <f>SUBTOTAL(101,Tabela3[Delež odpravljenih napak])</f>
        <v>#DIV/0!</v>
      </c>
      <c r="J16" t="e">
        <f>SUBTOTAL(101,Tabela3[Razmerje I/O])</f>
        <v>#DIV/0!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340E9-BA89-4E22-A618-FED12E15F5E2}">
  <dimension ref="A1:K6"/>
  <sheetViews>
    <sheetView workbookViewId="0">
      <selection activeCell="K14" sqref="K14"/>
    </sheetView>
  </sheetViews>
  <sheetFormatPr defaultRowHeight="15" x14ac:dyDescent="0.25"/>
  <cols>
    <col min="2" max="2" width="23" customWidth="1"/>
    <col min="3" max="3" width="12.140625" customWidth="1"/>
    <col min="4" max="4" width="13.85546875" customWidth="1"/>
    <col min="6" max="6" width="15.7109375" customWidth="1"/>
    <col min="7" max="7" width="10" customWidth="1"/>
    <col min="8" max="8" width="12.5703125" customWidth="1"/>
    <col min="9" max="9" width="12" customWidth="1"/>
    <col min="10" max="10" width="9.5703125" customWidth="1"/>
  </cols>
  <sheetData>
    <row r="1" spans="1:11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 x14ac:dyDescent="0.25">
      <c r="A2">
        <v>4</v>
      </c>
      <c r="B2" t="s">
        <v>22</v>
      </c>
      <c r="C2">
        <v>0</v>
      </c>
      <c r="D2">
        <v>0</v>
      </c>
      <c r="E2">
        <v>0</v>
      </c>
      <c r="F2">
        <v>4</v>
      </c>
      <c r="G2">
        <v>0</v>
      </c>
      <c r="H2">
        <v>0</v>
      </c>
      <c r="I2">
        <v>0</v>
      </c>
      <c r="J2">
        <v>0</v>
      </c>
      <c r="K2">
        <f>SUM(Tabela2[[#This Row],[Planiranje]:[Analiza]])</f>
        <v>4</v>
      </c>
    </row>
    <row r="3" spans="1:11" x14ac:dyDescent="0.25">
      <c r="A3">
        <v>12</v>
      </c>
      <c r="B3" t="s">
        <v>32</v>
      </c>
      <c r="C3">
        <v>0</v>
      </c>
      <c r="D3">
        <v>0</v>
      </c>
      <c r="E3">
        <v>0</v>
      </c>
      <c r="F3">
        <v>4</v>
      </c>
      <c r="G3">
        <v>0</v>
      </c>
      <c r="H3">
        <v>0</v>
      </c>
      <c r="I3">
        <v>0</v>
      </c>
      <c r="J3">
        <v>0</v>
      </c>
      <c r="K3">
        <f>SUM(Tabela2[[#This Row],[Planiranje]:[Analiza]])</f>
        <v>4</v>
      </c>
    </row>
    <row r="4" spans="1:11" x14ac:dyDescent="0.25">
      <c r="A4">
        <v>13</v>
      </c>
      <c r="B4" t="s">
        <v>33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f>SUM(Tabela2[[#This Row],[Planiranje]:[Analiza]])</f>
        <v>1</v>
      </c>
    </row>
    <row r="5" spans="1:11" x14ac:dyDescent="0.25">
      <c r="A5">
        <v>14</v>
      </c>
      <c r="B5" t="s">
        <v>35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f>SUM(Tabela2[[#This Row],[Planiranje]:[Analiza]])</f>
        <v>1</v>
      </c>
    </row>
    <row r="6" spans="1:11" x14ac:dyDescent="0.25">
      <c r="A6" t="s">
        <v>26</v>
      </c>
      <c r="F6">
        <f>SUBTOTAL(109,Tabela2[Programiranje])</f>
        <v>10</v>
      </c>
      <c r="K6">
        <f>SUBTOTAL(109,Tabela2[Skupaj])</f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FAC9-BDF0-4E90-9F43-90EA2ED21369}">
  <dimension ref="A1:K6"/>
  <sheetViews>
    <sheetView workbookViewId="0">
      <selection activeCell="L12" sqref="L12"/>
    </sheetView>
  </sheetViews>
  <sheetFormatPr defaultRowHeight="15" x14ac:dyDescent="0.25"/>
  <cols>
    <col min="2" max="2" width="18.85546875" customWidth="1"/>
    <col min="3" max="3" width="12.140625" customWidth="1"/>
    <col min="4" max="4" width="13.85546875" customWidth="1"/>
    <col min="6" max="6" width="15.7109375" customWidth="1"/>
    <col min="7" max="7" width="10" customWidth="1"/>
    <col min="8" max="8" width="12.5703125" customWidth="1"/>
    <col min="9" max="9" width="12" customWidth="1"/>
    <col min="10" max="10" width="9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</row>
    <row r="2" spans="1:11" x14ac:dyDescent="0.25">
      <c r="A2">
        <v>4</v>
      </c>
      <c r="B2" t="s">
        <v>22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3</v>
      </c>
      <c r="J2">
        <v>0</v>
      </c>
      <c r="K2">
        <f>SUM(Tabela5[[#This Row],[Planiranje]:[Analiza]])</f>
        <v>4</v>
      </c>
    </row>
    <row r="3" spans="1:11" x14ac:dyDescent="0.25">
      <c r="A3">
        <v>12</v>
      </c>
      <c r="B3" t="s">
        <v>32</v>
      </c>
      <c r="C3">
        <v>0</v>
      </c>
      <c r="D3">
        <v>0</v>
      </c>
      <c r="E3">
        <v>0</v>
      </c>
      <c r="F3">
        <v>0</v>
      </c>
      <c r="G3">
        <v>3</v>
      </c>
      <c r="H3">
        <v>0</v>
      </c>
      <c r="I3">
        <v>1</v>
      </c>
      <c r="J3">
        <v>0</v>
      </c>
      <c r="K3">
        <f>SUM(Tabela5[[#This Row],[Planiranje]:[Analiza]])</f>
        <v>4</v>
      </c>
    </row>
    <row r="4" spans="1:11" x14ac:dyDescent="0.25">
      <c r="A4">
        <v>13</v>
      </c>
      <c r="B4" t="s">
        <v>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f>SUM(Tabela5[[#This Row],[Planiranje]:[Analiza]])</f>
        <v>1</v>
      </c>
    </row>
    <row r="5" spans="1:11" x14ac:dyDescent="0.25">
      <c r="A5">
        <v>14</v>
      </c>
      <c r="B5" t="s">
        <v>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f>SUM(Tabela5[[#This Row],[Planiranje]:[Analiza]])</f>
        <v>1</v>
      </c>
    </row>
    <row r="6" spans="1:11" x14ac:dyDescent="0.25">
      <c r="A6" t="s">
        <v>26</v>
      </c>
      <c r="G6">
        <f>SUBTOTAL(109,Tabela5[Pregled])</f>
        <v>4</v>
      </c>
      <c r="I6">
        <f>SUBTOTAL(109,Tabela5[Testiranje])</f>
        <v>5</v>
      </c>
      <c r="J6">
        <f>SUBTOTAL(109,Tabela5[Analiza])</f>
        <v>1</v>
      </c>
      <c r="K6">
        <f>SUBTOTAL(109,Tabela5[Skupaj])</f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4</vt:i4>
      </vt:variant>
    </vt:vector>
  </HeadingPairs>
  <TitlesOfParts>
    <vt:vector size="4" baseType="lpstr">
      <vt:lpstr>Poraba časa</vt:lpstr>
      <vt:lpstr>Opravila</vt:lpstr>
      <vt:lpstr>Napake</vt:lpstr>
      <vt:lpstr>Odpravljene napake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Seruga</cp:lastModifiedBy>
  <dcterms:created xsi:type="dcterms:W3CDTF">2022-05-06T15:25:37Z</dcterms:created>
  <dcterms:modified xsi:type="dcterms:W3CDTF">2022-05-08T21:57:09Z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51155a2b-96d5-4890-8593-245a03e4c13e</vt:lpwstr>
  </property>
</Properties>
</file>