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dzapata\Documents\Nutresa\Modelación\Compras en Oportunidad\Reses\"/>
    </mc:Choice>
  </mc:AlternateContent>
  <xr:revisionPtr revIDLastSave="0" documentId="13_ncr:1_{6CAC0EB8-344B-4048-A1B2-BFBB92E661C4}" xr6:coauthVersionLast="36" xr6:coauthVersionMax="47" xr10:uidLastSave="{00000000-0000-0000-0000-000000000000}"/>
  <bookViews>
    <workbookView xWindow="-60" yWindow="-60" windowWidth="20610" windowHeight="11040" activeTab="1" xr2:uid="{E22285B9-2D93-4CF0-8AE6-2BCF1D496281}"/>
  </bookViews>
  <sheets>
    <sheet name="Hoja1" sheetId="1" r:id="rId1"/>
    <sheet name="Hoja4" sheetId="4" r:id="rId2"/>
    <sheet name="Hoja3" sheetId="3" r:id="rId3"/>
  </sheets>
  <definedNames>
    <definedName name="solver_adj" localSheetId="0" hidden="1">Hoja1!$D$12:$O$12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Hoja1!$D$12:$O$12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Hoja1!$P$20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100%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21" i="4" l="1"/>
  <c r="B15" i="4"/>
  <c r="B11" i="4"/>
  <c r="B14" i="4" s="1"/>
  <c r="B8" i="4"/>
  <c r="B12" i="4" s="1"/>
  <c r="B13" i="4" s="1"/>
  <c r="B10" i="4" l="1"/>
  <c r="E16" i="1"/>
  <c r="E18" i="1"/>
  <c r="F18" i="1"/>
  <c r="G18" i="1"/>
  <c r="H18" i="1"/>
  <c r="I18" i="1"/>
  <c r="J18" i="1"/>
  <c r="K18" i="1"/>
  <c r="L18" i="1"/>
  <c r="M18" i="1"/>
  <c r="N18" i="1"/>
  <c r="O18" i="1"/>
  <c r="D18" i="1"/>
  <c r="C5" i="1"/>
  <c r="C10" i="1" s="1"/>
  <c r="O5" i="1"/>
  <c r="O14" i="1" s="1"/>
  <c r="E5" i="1"/>
  <c r="F5" i="1"/>
  <c r="G5" i="1"/>
  <c r="H5" i="1"/>
  <c r="I5" i="1"/>
  <c r="J5" i="1"/>
  <c r="K5" i="1"/>
  <c r="L5" i="1"/>
  <c r="M5" i="1"/>
  <c r="N5" i="1"/>
  <c r="D5" i="1"/>
  <c r="D10" i="1" s="1"/>
  <c r="F16" i="1"/>
  <c r="D14" i="1" l="1"/>
  <c r="D16" i="1"/>
  <c r="J16" i="1"/>
  <c r="H16" i="1"/>
  <c r="G16" i="1"/>
  <c r="N16" i="1"/>
  <c r="K14" i="1"/>
  <c r="J14" i="1"/>
  <c r="O10" i="1"/>
  <c r="I14" i="1"/>
  <c r="H14" i="1"/>
  <c r="G14" i="1"/>
  <c r="N14" i="1"/>
  <c r="F14" i="1"/>
  <c r="F15" i="1" s="1"/>
  <c r="F20" i="1" s="1"/>
  <c r="F22" i="1" s="1"/>
  <c r="F25" i="1" s="1"/>
  <c r="M14" i="1"/>
  <c r="E14" i="1"/>
  <c r="E15" i="1" s="1"/>
  <c r="E20" i="1" s="1"/>
  <c r="E21" i="1" s="1"/>
  <c r="G10" i="1"/>
  <c r="L14" i="1"/>
  <c r="F17" i="1"/>
  <c r="E17" i="1"/>
  <c r="I10" i="1"/>
  <c r="H10" i="1"/>
  <c r="N10" i="1"/>
  <c r="F10" i="1"/>
  <c r="M10" i="1"/>
  <c r="E10" i="1"/>
  <c r="K10" i="1"/>
  <c r="J10" i="1"/>
  <c r="L10" i="1"/>
  <c r="B17" i="4" l="1"/>
  <c r="N15" i="1"/>
  <c r="N20" i="1" s="1"/>
  <c r="J15" i="1"/>
  <c r="J20" i="1" s="1"/>
  <c r="G15" i="1"/>
  <c r="G20" i="1" s="1"/>
  <c r="H15" i="1"/>
  <c r="H20" i="1" s="1"/>
  <c r="D15" i="1"/>
  <c r="D20" i="1" s="1"/>
  <c r="F21" i="1"/>
  <c r="D17" i="1"/>
  <c r="E22" i="1"/>
  <c r="E25" i="1" s="1"/>
  <c r="N17" i="1"/>
  <c r="G17" i="1"/>
  <c r="H17" i="1"/>
  <c r="J17" i="1"/>
  <c r="O16" i="1"/>
  <c r="I16" i="1"/>
  <c r="K16" i="1"/>
  <c r="M16" i="1"/>
  <c r="L16" i="1"/>
  <c r="H22" i="1" l="1"/>
  <c r="H25" i="1" s="1"/>
  <c r="H21" i="1"/>
  <c r="N21" i="1"/>
  <c r="N22" i="1"/>
  <c r="N25" i="1" s="1"/>
  <c r="G22" i="1"/>
  <c r="G25" i="1" s="1"/>
  <c r="G21" i="1"/>
  <c r="J22" i="1"/>
  <c r="J25" i="1" s="1"/>
  <c r="J21" i="1"/>
  <c r="I15" i="1"/>
  <c r="I20" i="1" s="1"/>
  <c r="L15" i="1"/>
  <c r="L20" i="1" s="1"/>
  <c r="O15" i="1"/>
  <c r="O20" i="1" s="1"/>
  <c r="O21" i="1" s="1"/>
  <c r="M15" i="1"/>
  <c r="M20" i="1" s="1"/>
  <c r="K15" i="1"/>
  <c r="K20" i="1" s="1"/>
  <c r="D21" i="1"/>
  <c r="D22" i="1"/>
  <c r="D25" i="1" s="1"/>
  <c r="L17" i="1"/>
  <c r="M17" i="1"/>
  <c r="K17" i="1"/>
  <c r="O17" i="1"/>
  <c r="I17" i="1"/>
  <c r="B23" i="4" l="1"/>
  <c r="B24" i="4" s="1"/>
  <c r="B25" i="4" s="1"/>
  <c r="I22" i="1"/>
  <c r="I25" i="1" s="1"/>
  <c r="I21" i="1"/>
  <c r="K22" i="1"/>
  <c r="K25" i="1" s="1"/>
  <c r="K21" i="1"/>
  <c r="M22" i="1"/>
  <c r="M25" i="1" s="1"/>
  <c r="M21" i="1"/>
  <c r="L21" i="1"/>
  <c r="L22" i="1"/>
  <c r="L25" i="1" s="1"/>
  <c r="O22" i="1"/>
  <c r="O25" i="1" s="1"/>
  <c r="B19" i="4" l="1"/>
  <c r="B22" i="4" s="1"/>
  <c r="P20" i="1"/>
  <c r="B20" i="4" l="1"/>
</calcChain>
</file>

<file path=xl/sharedStrings.xml><?xml version="1.0" encoding="utf-8"?>
<sst xmlns="http://schemas.openxmlformats.org/spreadsheetml/2006/main" count="40" uniqueCount="38">
  <si>
    <t>Precio Res Flaca</t>
  </si>
  <si>
    <t>Precio Res Gorda</t>
  </si>
  <si>
    <t>Necesidad Reses</t>
  </si>
  <si>
    <t>% Integración</t>
  </si>
  <si>
    <t>Gordas</t>
  </si>
  <si>
    <t>Costo sin Integración</t>
  </si>
  <si>
    <t>Escenario 1</t>
  </si>
  <si>
    <t>Costo Gordas</t>
  </si>
  <si>
    <t>Costo Integrados</t>
  </si>
  <si>
    <t>% de Integración</t>
  </si>
  <si>
    <t>Costo Compra Flaca</t>
  </si>
  <si>
    <t>Costo Capital</t>
  </si>
  <si>
    <t>Costo Operación</t>
  </si>
  <si>
    <t>Beneficio</t>
  </si>
  <si>
    <t>Impuesto de Renta</t>
  </si>
  <si>
    <t>ROIC</t>
  </si>
  <si>
    <t>UODI</t>
  </si>
  <si>
    <t>% Ganancia Peso</t>
  </si>
  <si>
    <t>Valor Res Flaca (Inversión)</t>
  </si>
  <si>
    <t>Valor Res Gorda</t>
  </si>
  <si>
    <t>Utilidad Bruta</t>
  </si>
  <si>
    <t>Utilidad Neta</t>
  </si>
  <si>
    <t xml:space="preserve">Impuesto </t>
  </si>
  <si>
    <t>EVA</t>
  </si>
  <si>
    <t>Costo de Capital 12,5%</t>
  </si>
  <si>
    <t>Costo Servicio Finca</t>
  </si>
  <si>
    <t>Gasto Operativo</t>
  </si>
  <si>
    <t>Costo Res Integrada KG</t>
  </si>
  <si>
    <t>Costo Res Integrada</t>
  </si>
  <si>
    <t>Gasto Tte</t>
  </si>
  <si>
    <t>??????</t>
  </si>
  <si>
    <t xml:space="preserve">%Beneficio </t>
  </si>
  <si>
    <t>Precio KG Res Gorda n+12</t>
  </si>
  <si>
    <t>Precio KG Res Flaca n</t>
  </si>
  <si>
    <t>Peso Inicial Res n</t>
  </si>
  <si>
    <t>Peso Final Res n+12</t>
  </si>
  <si>
    <t>Peso Final final con merma</t>
  </si>
  <si>
    <t>Valor Res Gorda con Merma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</si>
</sst>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* #,##0_-;\-* #,##0_-;_-* &quot;-&quot;??_-;_-@_-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0" fontId="0" fillId="2" borderId="0" xfId="0" applyFill="1"/>
    <xf numFmtId="9" fontId="0" fillId="2" borderId="0" xfId="0" applyNumberFormat="1" applyFill="1"/>
    <xf numFmtId="165" fontId="0" fillId="0" borderId="0" xfId="2" applyNumberFormat="1" applyFont="1"/>
    <xf numFmtId="9" fontId="0" fillId="0" borderId="0" xfId="3" applyFont="1"/>
    <xf numFmtId="166" fontId="0" fillId="0" borderId="0" xfId="3" applyNumberFormat="1" applyFont="1"/>
    <xf numFmtId="164" fontId="0" fillId="2" borderId="0" xfId="2" applyNumberFormat="1" applyFont="1" applyFill="1"/>
    <xf numFmtId="164" fontId="0" fillId="0" borderId="0" xfId="0" applyNumberFormat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A1A-1901-4BF1-87B2-184B52BC66FA}">
  <dimension ref="A1:P25"/>
  <sheetViews>
    <sheetView topLeftCell="B1" workbookViewId="0">
      <selection activeCell="E15" sqref="E15"/>
    </sheetView>
  </sheetViews>
  <sheetFormatPr baseColWidth="10" defaultRowHeight="15" x14ac:dyDescent="0.25"/>
  <cols>
    <col min="2" max="2" width="19.5703125" customWidth="1"/>
    <col min="3" max="3" width="16.28515625" bestFit="1" customWidth="1"/>
    <col min="4" max="4" width="20.28515625" bestFit="1" customWidth="1"/>
    <col min="5" max="5" width="33" bestFit="1" customWidth="1"/>
    <col min="6" max="15" width="31.28515625" bestFit="1" customWidth="1"/>
    <col min="16" max="16" width="27.28515625" bestFit="1" customWidth="1"/>
  </cols>
  <sheetData>
    <row r="1" spans="1:15" x14ac:dyDescent="0.25"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</row>
    <row r="2" spans="1:15" x14ac:dyDescent="0.25">
      <c r="B2" t="s">
        <v>0</v>
      </c>
      <c r="C2">
        <v>8050</v>
      </c>
      <c r="D2">
        <v>8050</v>
      </c>
      <c r="E2" s="2">
        <v>8492.75</v>
      </c>
      <c r="F2" s="2">
        <v>8959.8512499999997</v>
      </c>
      <c r="G2" s="2">
        <v>9452.6430687499997</v>
      </c>
      <c r="H2" s="2">
        <v>9972.5384375312497</v>
      </c>
      <c r="I2" s="2">
        <v>10521.028051595467</v>
      </c>
      <c r="J2" s="2">
        <v>11099.684594433218</v>
      </c>
      <c r="K2" s="2">
        <v>11710.167247127045</v>
      </c>
      <c r="L2" s="2">
        <v>12354.226445719032</v>
      </c>
      <c r="M2" s="2">
        <v>13033.708900233578</v>
      </c>
      <c r="N2" s="2">
        <v>13750.562889746423</v>
      </c>
      <c r="O2" s="2">
        <v>14506.843848682476</v>
      </c>
    </row>
    <row r="3" spans="1:15" x14ac:dyDescent="0.25">
      <c r="B3" t="s">
        <v>1</v>
      </c>
      <c r="C3">
        <v>8800</v>
      </c>
      <c r="D3">
        <v>8800</v>
      </c>
      <c r="E3" s="2">
        <v>9284</v>
      </c>
      <c r="F3" s="2">
        <v>9794.619999999999</v>
      </c>
      <c r="G3" s="2">
        <v>10333.324099999998</v>
      </c>
      <c r="H3" s="2">
        <v>10901.656925499998</v>
      </c>
      <c r="I3" s="2">
        <v>11501.248056402497</v>
      </c>
      <c r="J3" s="2">
        <v>12133.816699504634</v>
      </c>
      <c r="K3" s="2">
        <v>12801.176617977388</v>
      </c>
      <c r="L3" s="2">
        <v>13505.241331966143</v>
      </c>
      <c r="M3" s="2">
        <v>14248.029605224279</v>
      </c>
      <c r="N3" s="2">
        <v>15031.671233511614</v>
      </c>
      <c r="O3" s="2">
        <v>15858.413151354751</v>
      </c>
    </row>
    <row r="5" spans="1:15" x14ac:dyDescent="0.25">
      <c r="B5" t="s">
        <v>2</v>
      </c>
      <c r="C5" s="3">
        <f>8622*12*450</f>
        <v>46558800</v>
      </c>
      <c r="D5" s="3">
        <f>8622*12*450</f>
        <v>46558800</v>
      </c>
      <c r="E5" s="3">
        <f t="shared" ref="E5:N5" si="0">8622*12*450</f>
        <v>46558800</v>
      </c>
      <c r="F5" s="3">
        <f t="shared" si="0"/>
        <v>46558800</v>
      </c>
      <c r="G5" s="3">
        <f t="shared" si="0"/>
        <v>46558800</v>
      </c>
      <c r="H5" s="3">
        <f t="shared" si="0"/>
        <v>46558800</v>
      </c>
      <c r="I5" s="3">
        <f t="shared" si="0"/>
        <v>46558800</v>
      </c>
      <c r="J5" s="3">
        <f t="shared" si="0"/>
        <v>46558800</v>
      </c>
      <c r="K5" s="3">
        <f t="shared" si="0"/>
        <v>46558800</v>
      </c>
      <c r="L5" s="3">
        <f t="shared" si="0"/>
        <v>46558800</v>
      </c>
      <c r="M5" s="3">
        <f t="shared" si="0"/>
        <v>46558800</v>
      </c>
      <c r="N5" s="3">
        <f t="shared" si="0"/>
        <v>46558800</v>
      </c>
      <c r="O5" s="3">
        <f>8622*12*450</f>
        <v>46558800</v>
      </c>
    </row>
    <row r="7" spans="1:15" x14ac:dyDescent="0.25">
      <c r="B7" t="s">
        <v>3</v>
      </c>
    </row>
    <row r="8" spans="1:15" x14ac:dyDescent="0.25">
      <c r="B8" t="s">
        <v>4</v>
      </c>
    </row>
    <row r="10" spans="1:15" x14ac:dyDescent="0.25">
      <c r="B10" t="s">
        <v>5</v>
      </c>
      <c r="C10" s="4">
        <f>C5*C3</f>
        <v>409717440000</v>
      </c>
      <c r="D10" s="4">
        <f t="shared" ref="D10:O10" si="1">D5*D3</f>
        <v>409717440000</v>
      </c>
      <c r="E10" s="4">
        <f t="shared" si="1"/>
        <v>432251899200</v>
      </c>
      <c r="F10" s="4">
        <f t="shared" si="1"/>
        <v>456025753655.99994</v>
      </c>
      <c r="G10" s="4">
        <f t="shared" si="1"/>
        <v>481107170107.0799</v>
      </c>
      <c r="H10" s="4">
        <f t="shared" si="1"/>
        <v>507568064462.9693</v>
      </c>
      <c r="I10" s="4">
        <f t="shared" si="1"/>
        <v>535484308008.43262</v>
      </c>
      <c r="J10" s="4">
        <f t="shared" si="1"/>
        <v>564935944948.89636</v>
      </c>
      <c r="K10" s="4">
        <f t="shared" si="1"/>
        <v>596007421921.08557</v>
      </c>
      <c r="L10" s="4">
        <f t="shared" si="1"/>
        <v>628787830126.74524</v>
      </c>
      <c r="M10" s="4">
        <f t="shared" si="1"/>
        <v>663371160783.71619</v>
      </c>
      <c r="N10" s="4">
        <f t="shared" si="1"/>
        <v>699856574626.82056</v>
      </c>
      <c r="O10" s="4">
        <f t="shared" si="1"/>
        <v>738348686231.29553</v>
      </c>
    </row>
    <row r="12" spans="1:15" x14ac:dyDescent="0.25">
      <c r="B12" t="s">
        <v>9</v>
      </c>
      <c r="C12" s="5"/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</row>
    <row r="14" spans="1:15" x14ac:dyDescent="0.25">
      <c r="A14" s="16" t="s">
        <v>6</v>
      </c>
      <c r="B14" t="s">
        <v>7</v>
      </c>
      <c r="D14" s="1">
        <f>(1-D12)*D5*D3</f>
        <v>0</v>
      </c>
      <c r="E14" s="1">
        <f t="shared" ref="E14:O14" si="2">(1-E12)*E5*E3</f>
        <v>0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  <c r="L14" s="1">
        <f t="shared" si="2"/>
        <v>0</v>
      </c>
      <c r="M14" s="1">
        <f t="shared" si="2"/>
        <v>0</v>
      </c>
      <c r="N14" s="1">
        <f t="shared" si="2"/>
        <v>0</v>
      </c>
      <c r="O14" s="1">
        <f t="shared" si="2"/>
        <v>0</v>
      </c>
    </row>
    <row r="15" spans="1:15" x14ac:dyDescent="0.25">
      <c r="A15" s="16"/>
      <c r="B15" t="s">
        <v>8</v>
      </c>
      <c r="D15" s="4">
        <f>D16+D18+D14</f>
        <v>375182955000</v>
      </c>
      <c r="E15" s="4">
        <f t="shared" ref="E15:O15" si="3">E16+E18+E14</f>
        <v>375182955000</v>
      </c>
      <c r="F15" s="4">
        <f t="shared" si="3"/>
        <v>395796863700</v>
      </c>
      <c r="G15" s="4">
        <f t="shared" si="3"/>
        <v>417544537378.5</v>
      </c>
      <c r="H15" s="4">
        <f t="shared" si="3"/>
        <v>440488333109.3175</v>
      </c>
      <c r="I15" s="4">
        <f t="shared" si="3"/>
        <v>464694037605.32996</v>
      </c>
      <c r="J15" s="4">
        <f t="shared" si="3"/>
        <v>490231055848.62305</v>
      </c>
      <c r="K15" s="4">
        <f t="shared" si="3"/>
        <v>517172610095.2973</v>
      </c>
      <c r="L15" s="4">
        <f t="shared" si="3"/>
        <v>545595949825.53864</v>
      </c>
      <c r="M15" s="4">
        <f t="shared" si="3"/>
        <v>575582573240.94324</v>
      </c>
      <c r="N15" s="4">
        <f t="shared" si="3"/>
        <v>607218460944.19507</v>
      </c>
      <c r="O15" s="4">
        <f t="shared" si="3"/>
        <v>640594322471.12573</v>
      </c>
    </row>
    <row r="16" spans="1:15" x14ac:dyDescent="0.25">
      <c r="B16" t="s">
        <v>10</v>
      </c>
      <c r="D16" s="4">
        <f>(D12*D5*C2)</f>
        <v>374798340000</v>
      </c>
      <c r="E16" s="4">
        <f t="shared" ref="E16:O16" si="4">(E12*E5*D2)</f>
        <v>374798340000</v>
      </c>
      <c r="F16" s="4">
        <f t="shared" si="4"/>
        <v>395412248700</v>
      </c>
      <c r="G16" s="4">
        <f t="shared" si="4"/>
        <v>417159922378.5</v>
      </c>
      <c r="H16" s="4">
        <f t="shared" si="4"/>
        <v>440103718109.3175</v>
      </c>
      <c r="I16" s="4">
        <f t="shared" si="4"/>
        <v>464309422605.32996</v>
      </c>
      <c r="J16" s="4">
        <f t="shared" si="4"/>
        <v>489846440848.62305</v>
      </c>
      <c r="K16" s="4">
        <f t="shared" si="4"/>
        <v>516787995095.2973</v>
      </c>
      <c r="L16" s="4">
        <f t="shared" si="4"/>
        <v>545211334825.53864</v>
      </c>
      <c r="M16" s="4">
        <f t="shared" si="4"/>
        <v>575197958240.94324</v>
      </c>
      <c r="N16" s="4">
        <f t="shared" si="4"/>
        <v>606833845944.19507</v>
      </c>
      <c r="O16" s="4">
        <f t="shared" si="4"/>
        <v>640209707471.12573</v>
      </c>
    </row>
    <row r="17" spans="2:16" x14ac:dyDescent="0.25">
      <c r="B17" t="s">
        <v>11</v>
      </c>
      <c r="D17" s="4">
        <f>D16*12.5%</f>
        <v>46849792500</v>
      </c>
      <c r="E17" s="4">
        <f t="shared" ref="E17:O17" si="5">E16*12.5%</f>
        <v>46849792500</v>
      </c>
      <c r="F17" s="4">
        <f t="shared" si="5"/>
        <v>49426531087.5</v>
      </c>
      <c r="G17" s="4">
        <f t="shared" si="5"/>
        <v>52144990297.3125</v>
      </c>
      <c r="H17" s="4">
        <f t="shared" si="5"/>
        <v>55012964763.664688</v>
      </c>
      <c r="I17" s="4">
        <f t="shared" si="5"/>
        <v>58038677825.666245</v>
      </c>
      <c r="J17" s="4">
        <f t="shared" si="5"/>
        <v>61230805106.077881</v>
      </c>
      <c r="K17" s="4">
        <f t="shared" si="5"/>
        <v>64598499386.912163</v>
      </c>
      <c r="L17" s="4">
        <f t="shared" si="5"/>
        <v>68151416853.192329</v>
      </c>
      <c r="M17" s="4">
        <f t="shared" si="5"/>
        <v>71899744780.117905</v>
      </c>
      <c r="N17" s="4">
        <f t="shared" si="5"/>
        <v>75854230743.024384</v>
      </c>
      <c r="O17" s="4">
        <f t="shared" si="5"/>
        <v>80026213433.890717</v>
      </c>
    </row>
    <row r="18" spans="2:16" x14ac:dyDescent="0.25">
      <c r="B18" t="s">
        <v>12</v>
      </c>
      <c r="D18" s="7">
        <f>384615000*D12</f>
        <v>384615000</v>
      </c>
      <c r="E18" s="7">
        <f t="shared" ref="E18:O18" si="6">384615000*E12</f>
        <v>384615000</v>
      </c>
      <c r="F18" s="7">
        <f t="shared" si="6"/>
        <v>384615000</v>
      </c>
      <c r="G18" s="7">
        <f t="shared" si="6"/>
        <v>384615000</v>
      </c>
      <c r="H18" s="7">
        <f t="shared" si="6"/>
        <v>384615000</v>
      </c>
      <c r="I18" s="7">
        <f t="shared" si="6"/>
        <v>384615000</v>
      </c>
      <c r="J18" s="7">
        <f t="shared" si="6"/>
        <v>384615000</v>
      </c>
      <c r="K18" s="7">
        <f t="shared" si="6"/>
        <v>384615000</v>
      </c>
      <c r="L18" s="7">
        <f t="shared" si="6"/>
        <v>384615000</v>
      </c>
      <c r="M18" s="7">
        <f t="shared" si="6"/>
        <v>384615000</v>
      </c>
      <c r="N18" s="7">
        <f t="shared" si="6"/>
        <v>384615000</v>
      </c>
      <c r="O18" s="7">
        <f t="shared" si="6"/>
        <v>384615000</v>
      </c>
    </row>
    <row r="20" spans="2:16" x14ac:dyDescent="0.25">
      <c r="B20" t="s">
        <v>13</v>
      </c>
      <c r="D20" s="4">
        <f>D10-D15</f>
        <v>34534485000</v>
      </c>
      <c r="E20" s="4">
        <f>E10-E15</f>
        <v>57068944200</v>
      </c>
      <c r="F20" s="4">
        <f t="shared" ref="F20:O20" si="7">F10-F15</f>
        <v>60228889955.999939</v>
      </c>
      <c r="G20" s="4">
        <f t="shared" si="7"/>
        <v>63562632728.579895</v>
      </c>
      <c r="H20" s="4">
        <f t="shared" si="7"/>
        <v>67079731353.651794</v>
      </c>
      <c r="I20" s="4">
        <f t="shared" si="7"/>
        <v>70790270403.102661</v>
      </c>
      <c r="J20" s="4">
        <f t="shared" si="7"/>
        <v>74704889100.273315</v>
      </c>
      <c r="K20" s="4">
        <f t="shared" si="7"/>
        <v>78834811825.788269</v>
      </c>
      <c r="L20" s="4">
        <f t="shared" si="7"/>
        <v>83191880301.206604</v>
      </c>
      <c r="M20" s="4">
        <f t="shared" si="7"/>
        <v>87788587542.772949</v>
      </c>
      <c r="N20" s="4">
        <f t="shared" si="7"/>
        <v>92638113682.625488</v>
      </c>
      <c r="O20" s="4">
        <f t="shared" si="7"/>
        <v>97754363760.1698</v>
      </c>
      <c r="P20" s="4">
        <f>SUM(D20:O20)</f>
        <v>868177599854.17078</v>
      </c>
    </row>
    <row r="21" spans="2:16" x14ac:dyDescent="0.25">
      <c r="B21" t="s">
        <v>14</v>
      </c>
      <c r="D21" s="4">
        <f>D20*30%</f>
        <v>10360345500</v>
      </c>
      <c r="E21" s="4">
        <f>E20*30%</f>
        <v>17120683260</v>
      </c>
      <c r="F21" s="4">
        <f t="shared" ref="F21:O21" si="8">F20*30%</f>
        <v>18068666986.79998</v>
      </c>
      <c r="G21" s="4">
        <f t="shared" si="8"/>
        <v>19068789818.573967</v>
      </c>
      <c r="H21" s="4">
        <f t="shared" si="8"/>
        <v>20123919406.095539</v>
      </c>
      <c r="I21" s="4">
        <f t="shared" si="8"/>
        <v>21237081120.930798</v>
      </c>
      <c r="J21" s="4">
        <f t="shared" si="8"/>
        <v>22411466730.081993</v>
      </c>
      <c r="K21" s="4">
        <f t="shared" si="8"/>
        <v>23650443547.736481</v>
      </c>
      <c r="L21" s="4">
        <f t="shared" si="8"/>
        <v>24957564090.36198</v>
      </c>
      <c r="M21" s="4">
        <f t="shared" si="8"/>
        <v>26336576262.831882</v>
      </c>
      <c r="N21" s="4">
        <f t="shared" si="8"/>
        <v>27791434104.787647</v>
      </c>
      <c r="O21" s="4">
        <f t="shared" si="8"/>
        <v>29326309128.050938</v>
      </c>
    </row>
    <row r="22" spans="2:16" x14ac:dyDescent="0.25">
      <c r="B22" t="s">
        <v>16</v>
      </c>
      <c r="D22" s="4">
        <f>D20*70%</f>
        <v>24174139500</v>
      </c>
      <c r="E22" s="4">
        <f>E20*70%</f>
        <v>39948260940</v>
      </c>
      <c r="F22" s="4">
        <f t="shared" ref="F22:O22" si="9">F20*70%</f>
        <v>42160222969.199951</v>
      </c>
      <c r="G22" s="4">
        <f t="shared" si="9"/>
        <v>44493842910.00592</v>
      </c>
      <c r="H22" s="4">
        <f t="shared" si="9"/>
        <v>46955811947.556252</v>
      </c>
      <c r="I22" s="4">
        <f t="shared" si="9"/>
        <v>49553189282.17186</v>
      </c>
      <c r="J22" s="4">
        <f t="shared" si="9"/>
        <v>52293422370.191315</v>
      </c>
      <c r="K22" s="4">
        <f t="shared" si="9"/>
        <v>55184368278.051788</v>
      </c>
      <c r="L22" s="4">
        <f t="shared" si="9"/>
        <v>58234316210.84462</v>
      </c>
      <c r="M22" s="4">
        <f t="shared" si="9"/>
        <v>61452011279.941063</v>
      </c>
      <c r="N22" s="4">
        <f t="shared" si="9"/>
        <v>64846679577.837837</v>
      </c>
      <c r="O22" s="4">
        <f t="shared" si="9"/>
        <v>68428054632.118858</v>
      </c>
    </row>
    <row r="25" spans="2:16" x14ac:dyDescent="0.25">
      <c r="B25" t="s">
        <v>15</v>
      </c>
      <c r="D25" s="9">
        <f>D22/D16</f>
        <v>6.4499057012899264E-2</v>
      </c>
      <c r="E25" s="9">
        <f>E22/E16</f>
        <v>0.10658601353463838</v>
      </c>
      <c r="F25" s="9">
        <f t="shared" ref="F25:O25" si="10">F22/F16</f>
        <v>0.10662346224177539</v>
      </c>
      <c r="G25" s="9">
        <f t="shared" si="10"/>
        <v>0.10665895864664464</v>
      </c>
      <c r="H25" s="9">
        <f t="shared" si="10"/>
        <v>0.10669260452803737</v>
      </c>
      <c r="I25" s="9">
        <f t="shared" si="10"/>
        <v>0.1067244963587414</v>
      </c>
      <c r="J25" s="9">
        <f t="shared" si="10"/>
        <v>0.10675472558215753</v>
      </c>
      <c r="K25" s="9">
        <f t="shared" si="10"/>
        <v>0.10678337887449499</v>
      </c>
      <c r="L25" s="9">
        <f t="shared" si="10"/>
        <v>0.10681053839329832</v>
      </c>
      <c r="M25" s="9">
        <f t="shared" si="10"/>
        <v>0.10683628201301713</v>
      </c>
      <c r="N25" s="9">
        <f t="shared" si="10"/>
        <v>0.10686068354829567</v>
      </c>
      <c r="O25" s="9">
        <f t="shared" si="10"/>
        <v>0.10688381296562119</v>
      </c>
    </row>
  </sheetData>
  <mergeCells count="1">
    <mergeCell ref="A14:A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10AB-36A8-4264-BAF1-B96C385D7367}">
  <dimension ref="A2:D25"/>
  <sheetViews>
    <sheetView tabSelected="1" topLeftCell="A9" zoomScale="145" zoomScaleNormal="145" workbookViewId="0">
      <selection activeCell="B10" sqref="B10"/>
    </sheetView>
  </sheetViews>
  <sheetFormatPr baseColWidth="10" defaultRowHeight="15" x14ac:dyDescent="0.25"/>
  <cols>
    <col min="1" max="1" width="25.42578125" bestFit="1" customWidth="1"/>
    <col min="2" max="2" width="20.5703125" customWidth="1"/>
    <col min="4" max="4" width="20.28515625" bestFit="1" customWidth="1"/>
  </cols>
  <sheetData>
    <row r="2" spans="1:4" x14ac:dyDescent="0.25">
      <c r="A2" t="s">
        <v>32</v>
      </c>
      <c r="B2" s="10">
        <v>7683</v>
      </c>
    </row>
    <row r="3" spans="1:4" x14ac:dyDescent="0.25">
      <c r="B3" s="11"/>
    </row>
    <row r="4" spans="1:4" x14ac:dyDescent="0.25">
      <c r="A4" t="s">
        <v>33</v>
      </c>
      <c r="B4" s="10">
        <v>7486</v>
      </c>
    </row>
    <row r="5" spans="1:4" x14ac:dyDescent="0.25">
      <c r="A5" t="s">
        <v>34</v>
      </c>
      <c r="B5" s="10">
        <v>250</v>
      </c>
    </row>
    <row r="6" spans="1:4" x14ac:dyDescent="0.25">
      <c r="A6" t="s">
        <v>17</v>
      </c>
      <c r="B6" s="6"/>
    </row>
    <row r="7" spans="1:4" x14ac:dyDescent="0.25">
      <c r="A7" t="s">
        <v>35</v>
      </c>
      <c r="B7" s="10">
        <v>400</v>
      </c>
    </row>
    <row r="8" spans="1:4" x14ac:dyDescent="0.25">
      <c r="A8" t="s">
        <v>36</v>
      </c>
      <c r="B8" s="11">
        <f>+B7*0.935</f>
        <v>374</v>
      </c>
    </row>
    <row r="9" spans="1:4" x14ac:dyDescent="0.25">
      <c r="D9" s="1"/>
    </row>
    <row r="10" spans="1:4" x14ac:dyDescent="0.25">
      <c r="A10" t="s">
        <v>18</v>
      </c>
      <c r="B10" s="2">
        <f>B5*B4</f>
        <v>1871500</v>
      </c>
    </row>
    <row r="11" spans="1:4" x14ac:dyDescent="0.25">
      <c r="A11" t="s">
        <v>19</v>
      </c>
      <c r="B11" s="2">
        <f>B2*B7</f>
        <v>3073200</v>
      </c>
    </row>
    <row r="12" spans="1:4" x14ac:dyDescent="0.25">
      <c r="A12" s="15" t="s">
        <v>37</v>
      </c>
      <c r="B12" s="2">
        <f>B2*B8</f>
        <v>2873442</v>
      </c>
    </row>
    <row r="13" spans="1:4" x14ac:dyDescent="0.25">
      <c r="A13" t="s">
        <v>20</v>
      </c>
      <c r="B13" s="11">
        <f>B12-B10</f>
        <v>1001942</v>
      </c>
    </row>
    <row r="14" spans="1:4" x14ac:dyDescent="0.25">
      <c r="A14" s="15" t="s">
        <v>25</v>
      </c>
      <c r="B14" s="11">
        <f>(B11-B10)*60%</f>
        <v>721020</v>
      </c>
    </row>
    <row r="15" spans="1:4" x14ac:dyDescent="0.25">
      <c r="A15" t="s">
        <v>26</v>
      </c>
      <c r="B15" s="11">
        <f>12*(100000000/47000)</f>
        <v>25531.914893617017</v>
      </c>
      <c r="C15" s="13" t="s">
        <v>30</v>
      </c>
    </row>
    <row r="16" spans="1:4" x14ac:dyDescent="0.25">
      <c r="A16" t="s">
        <v>29</v>
      </c>
      <c r="B16" s="12">
        <v>94000</v>
      </c>
      <c r="C16" s="13"/>
    </row>
    <row r="17" spans="1:4" x14ac:dyDescent="0.25">
      <c r="A17" t="s">
        <v>21</v>
      </c>
      <c r="B17" s="11">
        <f>B13-B14-B15-B16</f>
        <v>161390.08510638299</v>
      </c>
      <c r="D17" s="11"/>
    </row>
    <row r="18" spans="1:4" x14ac:dyDescent="0.25">
      <c r="A18" t="s">
        <v>22</v>
      </c>
      <c r="B18" s="11">
        <f>B17*27%</f>
        <v>43575.322978723409</v>
      </c>
      <c r="D18" s="11"/>
    </row>
    <row r="19" spans="1:4" x14ac:dyDescent="0.25">
      <c r="A19" s="14" t="s">
        <v>16</v>
      </c>
      <c r="B19" s="11">
        <f>B17-B18</f>
        <v>117814.76212765957</v>
      </c>
      <c r="D19" s="8"/>
    </row>
    <row r="20" spans="1:4" x14ac:dyDescent="0.25">
      <c r="A20" s="14" t="s">
        <v>15</v>
      </c>
      <c r="B20" s="8">
        <f>B19/B10</f>
        <v>6.2952050295303E-2</v>
      </c>
      <c r="D20" s="11"/>
    </row>
    <row r="21" spans="1:4" ht="21" customHeight="1" x14ac:dyDescent="0.25">
      <c r="A21" t="s">
        <v>24</v>
      </c>
      <c r="B21" s="11">
        <f>B10*12%</f>
        <v>224580</v>
      </c>
      <c r="D21" s="11"/>
    </row>
    <row r="22" spans="1:4" x14ac:dyDescent="0.25">
      <c r="A22" s="14" t="s">
        <v>23</v>
      </c>
      <c r="B22" s="11">
        <f>B19-B21</f>
        <v>-106765.23787234043</v>
      </c>
      <c r="D22" s="11"/>
    </row>
    <row r="23" spans="1:4" x14ac:dyDescent="0.25">
      <c r="A23" s="15" t="s">
        <v>28</v>
      </c>
      <c r="B23" s="11">
        <f>B10+B14+B15+B18+B16+B21</f>
        <v>2980207.2378723403</v>
      </c>
      <c r="D23" s="11"/>
    </row>
    <row r="24" spans="1:4" x14ac:dyDescent="0.25">
      <c r="A24" t="s">
        <v>27</v>
      </c>
      <c r="B24" s="11">
        <f>B23/B8</f>
        <v>7968.4685504608024</v>
      </c>
      <c r="D24" s="8"/>
    </row>
    <row r="25" spans="1:4" x14ac:dyDescent="0.25">
      <c r="A25" s="14" t="s">
        <v>31</v>
      </c>
      <c r="B25" s="8">
        <f>(B2-B24)/B2</f>
        <v>-3.7155870162801294E-2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E9A1-CA0E-4578-9739-62C12D80B892}">
  <dimension ref="B1:N1"/>
  <sheetViews>
    <sheetView workbookViewId="0">
      <selection activeCell="A2" sqref="A2"/>
    </sheetView>
  </sheetViews>
  <sheetFormatPr baseColWidth="10" defaultRowHeight="15" x14ac:dyDescent="0.25"/>
  <cols>
    <col min="1" max="1" width="28.140625" customWidth="1"/>
  </cols>
  <sheetData>
    <row r="1" spans="2:14" x14ac:dyDescent="0.25">
      <c r="B1">
        <v>2022</v>
      </c>
      <c r="C1">
        <v>2023</v>
      </c>
      <c r="D1">
        <v>2024</v>
      </c>
      <c r="E1">
        <v>2025</v>
      </c>
      <c r="F1">
        <v>2026</v>
      </c>
      <c r="G1">
        <v>2027</v>
      </c>
      <c r="H1">
        <v>2028</v>
      </c>
      <c r="I1">
        <v>2029</v>
      </c>
      <c r="J1">
        <v>2030</v>
      </c>
      <c r="K1">
        <v>2031</v>
      </c>
      <c r="L1">
        <v>2032</v>
      </c>
      <c r="M1">
        <v>2033</v>
      </c>
      <c r="N1">
        <v>2034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Ramirez Garcia</dc:creator>
  <cp:lastModifiedBy>David Zapata Chaves</cp:lastModifiedBy>
  <dcterms:created xsi:type="dcterms:W3CDTF">2023-04-03T18:40:26Z</dcterms:created>
  <dcterms:modified xsi:type="dcterms:W3CDTF">2023-04-04T19:48:11Z</dcterms:modified>
</cp:coreProperties>
</file>