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skazemik\Box\NIOSH R21 Warehousing Project Docs\Data\15 subjects\"/>
    </mc:Choice>
  </mc:AlternateContent>
  <xr:revisionPtr revIDLastSave="0" documentId="13_ncr:1_{CF8D598D-B658-4979-A54B-E94B01DB3A4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7" i="1" l="1"/>
  <c r="H27" i="1"/>
  <c r="G27" i="1"/>
  <c r="F27" i="1"/>
  <c r="E27" i="1"/>
  <c r="D27" i="1"/>
  <c r="I26" i="1"/>
  <c r="H26" i="1"/>
  <c r="G26" i="1"/>
  <c r="F26" i="1"/>
  <c r="E26" i="1"/>
  <c r="D26" i="1"/>
  <c r="D24" i="1"/>
  <c r="I25" i="1"/>
  <c r="H25" i="1"/>
  <c r="G25" i="1"/>
  <c r="F25" i="1"/>
  <c r="E25" i="1"/>
  <c r="D25" i="1"/>
  <c r="I24" i="1"/>
  <c r="H24" i="1"/>
  <c r="G24" i="1"/>
  <c r="F24" i="1"/>
  <c r="E24" i="1"/>
  <c r="D22" i="1"/>
  <c r="I22" i="1"/>
  <c r="I23" i="1"/>
  <c r="I3" i="1"/>
  <c r="I4" i="1"/>
  <c r="I5" i="1"/>
  <c r="I6" i="1"/>
  <c r="I7" i="1"/>
  <c r="I8" i="1"/>
  <c r="I9" i="1"/>
  <c r="I10" i="1"/>
  <c r="I11" i="1"/>
  <c r="I14" i="1"/>
  <c r="I16" i="1"/>
  <c r="I17" i="1"/>
  <c r="I18" i="1"/>
  <c r="I2" i="1"/>
  <c r="H23" i="1"/>
  <c r="G23" i="1"/>
  <c r="F23" i="1"/>
  <c r="E23" i="1"/>
  <c r="D23" i="1"/>
  <c r="E22" i="1"/>
  <c r="F22" i="1"/>
  <c r="G22" i="1"/>
  <c r="H22" i="1"/>
  <c r="H18" i="1"/>
  <c r="G18" i="1"/>
  <c r="H14" i="1" l="1"/>
  <c r="G14" i="1"/>
  <c r="F14" i="1"/>
  <c r="E14" i="1"/>
  <c r="H11" i="1" l="1"/>
  <c r="G11" i="1"/>
  <c r="F11" i="1"/>
  <c r="E11" i="1"/>
  <c r="E8" i="1"/>
  <c r="H9" i="1" l="1"/>
  <c r="G9" i="1"/>
  <c r="H8" i="1"/>
  <c r="G8" i="1"/>
  <c r="F8" i="1"/>
  <c r="H6" i="1"/>
  <c r="G6" i="1"/>
  <c r="F6" i="1"/>
  <c r="E6" i="1"/>
  <c r="E2" i="1"/>
  <c r="H2" i="1"/>
  <c r="G2" i="1"/>
  <c r="F2" i="1"/>
</calcChain>
</file>

<file path=xl/sharedStrings.xml><?xml version="1.0" encoding="utf-8"?>
<sst xmlns="http://schemas.openxmlformats.org/spreadsheetml/2006/main" count="49" uniqueCount="37">
  <si>
    <t>Sub#</t>
  </si>
  <si>
    <t>Gender</t>
  </si>
  <si>
    <t>Age</t>
  </si>
  <si>
    <t>M</t>
  </si>
  <si>
    <t>Session</t>
  </si>
  <si>
    <t>Height (cm)</t>
  </si>
  <si>
    <t>Weight (kg)</t>
  </si>
  <si>
    <t>Waist circumference (cm)</t>
  </si>
  <si>
    <t>Hip circumference (cm)</t>
  </si>
  <si>
    <t>F</t>
  </si>
  <si>
    <t>Sub01</t>
  </si>
  <si>
    <t>Sub02</t>
  </si>
  <si>
    <t>Sub03</t>
  </si>
  <si>
    <t>Sub04</t>
  </si>
  <si>
    <t>Sub05</t>
  </si>
  <si>
    <t>Sub06</t>
  </si>
  <si>
    <t>Sub07</t>
  </si>
  <si>
    <t>Sub08</t>
  </si>
  <si>
    <t>Sub09</t>
  </si>
  <si>
    <t>Sub10</t>
  </si>
  <si>
    <t>Sub11</t>
  </si>
  <si>
    <t>Sub12</t>
  </si>
  <si>
    <t>Sub13</t>
  </si>
  <si>
    <t>Sub14</t>
  </si>
  <si>
    <t>Sub15</t>
  </si>
  <si>
    <t>Sub16</t>
  </si>
  <si>
    <t>Sub17</t>
  </si>
  <si>
    <t>Sub18</t>
  </si>
  <si>
    <t>Sub19</t>
  </si>
  <si>
    <t>Sub20</t>
  </si>
  <si>
    <t>Mean</t>
  </si>
  <si>
    <t>SD</t>
  </si>
  <si>
    <t>BMI</t>
  </si>
  <si>
    <t>Mean-Females</t>
  </si>
  <si>
    <t>SD- Females</t>
  </si>
  <si>
    <t>Mean- Males</t>
  </si>
  <si>
    <t>SD- males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</si>
</sst>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Border="1"/>
    <xf numFmtId="0" fontId="0" fillId="0" borderId="7" xfId="0" applyFill="1" applyBorder="1" applyAlignment="1">
      <alignment horizontal="center" vertical="center"/>
    </xf>
    <xf numFmtId="0" fontId="0" fillId="0" borderId="1" xfId="0" applyBorder="1"/>
    <xf numFmtId="2" fontId="0" fillId="0" borderId="6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0" xfId="0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showGridLines="0" tabSelected="1" workbookViewId="0">
      <selection activeCell="D18" sqref="D18"/>
    </sheetView>
  </sheetViews>
  <sheetFormatPr defaultRowHeight="15" x14ac:dyDescent="0.25"/>
  <cols>
    <col min="1" max="1" width="20.85546875" style="18" customWidth="1"/>
    <col min="4" max="4" width="9.140625" style="18"/>
    <col min="5" max="6" width="10.42578125" style="18" bestFit="1" customWidth="1"/>
    <col min="7" max="7" width="22.42578125" style="18" bestFit="1" customWidth="1"/>
    <col min="8" max="8" width="20.28515625" style="18" bestFit="1" customWidth="1"/>
    <col min="9" max="9" width="18" style="18" bestFit="1" customWidth="1"/>
  </cols>
  <sheetData>
    <row r="1" spans="1:9" x14ac:dyDescent="0.25">
      <c r="A1" s="1" t="s">
        <v>0</v>
      </c>
      <c r="B1" s="2" t="s">
        <v>4</v>
      </c>
      <c r="C1" s="2" t="s">
        <v>1</v>
      </c>
      <c r="D1" s="2" t="s">
        <v>2</v>
      </c>
      <c r="E1" s="2" t="s">
        <v>5</v>
      </c>
      <c r="F1" s="2" t="s">
        <v>6</v>
      </c>
      <c r="G1" s="2" t="s">
        <v>7</v>
      </c>
      <c r="H1" s="2" t="s">
        <v>8</v>
      </c>
      <c r="I1" s="3" t="s">
        <v>32</v>
      </c>
    </row>
    <row r="2" spans="1:9" x14ac:dyDescent="0.25">
      <c r="A2" s="4" t="s">
        <v>10</v>
      </c>
      <c r="B2" s="5">
        <v>1</v>
      </c>
      <c r="C2" s="5" t="s">
        <v>3</v>
      </c>
      <c r="D2" s="5">
        <v>20</v>
      </c>
      <c r="E2" s="5">
        <f>CONVERT(5,"ft","cm")+CONVERT(7,"in","cm")</f>
        <v>170.18</v>
      </c>
      <c r="F2" s="6">
        <f>CONVERT(150,"lbm","kg")</f>
        <v>68.038855500000011</v>
      </c>
      <c r="G2" s="5">
        <f>CONVERT(33.2,"in","cm")</f>
        <v>84.328000000000017</v>
      </c>
      <c r="H2" s="5">
        <f>CONVERT(37,"in","cm")</f>
        <v>93.97999999999999</v>
      </c>
      <c r="I2" s="15">
        <f>F2/(E2/100)^2</f>
        <v>23.493080183977256</v>
      </c>
    </row>
    <row r="3" spans="1:9" x14ac:dyDescent="0.25">
      <c r="A3" s="4" t="s">
        <v>11</v>
      </c>
      <c r="B3" s="5">
        <v>1</v>
      </c>
      <c r="C3" s="5" t="s">
        <v>3</v>
      </c>
      <c r="D3" s="5">
        <v>20</v>
      </c>
      <c r="E3" s="5">
        <v>179</v>
      </c>
      <c r="F3" s="5">
        <v>87</v>
      </c>
      <c r="G3" s="5">
        <v>90</v>
      </c>
      <c r="H3" s="5">
        <v>107</v>
      </c>
      <c r="I3" s="15">
        <f t="shared" ref="I3:I18" si="0">F3/(E3/100)^2</f>
        <v>27.152710589557131</v>
      </c>
    </row>
    <row r="4" spans="1:9" x14ac:dyDescent="0.25">
      <c r="A4" s="4" t="s">
        <v>12</v>
      </c>
      <c r="B4" s="5">
        <v>1</v>
      </c>
      <c r="C4" s="5" t="s">
        <v>9</v>
      </c>
      <c r="D4" s="5">
        <v>28</v>
      </c>
      <c r="E4" s="5">
        <v>163</v>
      </c>
      <c r="F4" s="5">
        <v>72</v>
      </c>
      <c r="G4" s="5">
        <v>69</v>
      </c>
      <c r="H4" s="5">
        <v>112</v>
      </c>
      <c r="I4" s="15">
        <f t="shared" si="0"/>
        <v>27.099251006812452</v>
      </c>
    </row>
    <row r="5" spans="1:9" x14ac:dyDescent="0.25">
      <c r="A5" s="4" t="s">
        <v>13</v>
      </c>
      <c r="B5" s="5">
        <v>1</v>
      </c>
      <c r="C5" s="5" t="s">
        <v>3</v>
      </c>
      <c r="D5" s="5">
        <v>27</v>
      </c>
      <c r="E5" s="5">
        <v>179</v>
      </c>
      <c r="F5" s="5">
        <v>70</v>
      </c>
      <c r="G5" s="5">
        <v>83.5</v>
      </c>
      <c r="H5" s="5">
        <v>93</v>
      </c>
      <c r="I5" s="15">
        <f t="shared" si="0"/>
        <v>21.847008520333322</v>
      </c>
    </row>
    <row r="6" spans="1:9" x14ac:dyDescent="0.25">
      <c r="A6" s="4" t="s">
        <v>14</v>
      </c>
      <c r="B6" s="5">
        <v>1</v>
      </c>
      <c r="C6" s="5" t="s">
        <v>3</v>
      </c>
      <c r="D6" s="5">
        <v>24</v>
      </c>
      <c r="E6" s="5">
        <f>CONVERT(5,"ft","cm")+CONVERT(11,"in","cm")</f>
        <v>180.34</v>
      </c>
      <c r="F6" s="6">
        <f>CONVERT(183,"lbm","kg")</f>
        <v>83.007403710000006</v>
      </c>
      <c r="G6" s="5">
        <f>CONVERT(29.5,"in","cm")</f>
        <v>74.929999999999993</v>
      </c>
      <c r="H6" s="5">
        <f>CONVERT(32,"in","cm")</f>
        <v>81.28</v>
      </c>
      <c r="I6" s="15">
        <f t="shared" si="0"/>
        <v>25.52305754294111</v>
      </c>
    </row>
    <row r="7" spans="1:9" x14ac:dyDescent="0.25">
      <c r="A7" s="4" t="s">
        <v>15</v>
      </c>
      <c r="B7" s="5">
        <v>1</v>
      </c>
      <c r="C7" s="5" t="s">
        <v>9</v>
      </c>
      <c r="D7" s="5">
        <v>30</v>
      </c>
      <c r="E7" s="5">
        <v>164</v>
      </c>
      <c r="F7" s="5">
        <v>52</v>
      </c>
      <c r="G7" s="5">
        <v>71</v>
      </c>
      <c r="H7" s="5">
        <v>98</v>
      </c>
      <c r="I7" s="15">
        <f t="shared" si="0"/>
        <v>19.333729922665082</v>
      </c>
    </row>
    <row r="8" spans="1:9" x14ac:dyDescent="0.25">
      <c r="A8" s="4" t="s">
        <v>16</v>
      </c>
      <c r="B8" s="5">
        <v>1</v>
      </c>
      <c r="C8" s="5" t="s">
        <v>9</v>
      </c>
      <c r="D8" s="5">
        <v>27</v>
      </c>
      <c r="E8" s="5">
        <f>CONVERT(5.5,"ft","cm")</f>
        <v>167.64</v>
      </c>
      <c r="F8" s="6">
        <f>CONVERT(142,"lbm","kg")</f>
        <v>64.410116540000004</v>
      </c>
      <c r="G8" s="5">
        <f>CONVERT(39,"in","cm")</f>
        <v>99.06</v>
      </c>
      <c r="H8" s="5">
        <f>CONVERT(41,"in","cm")</f>
        <v>104.14000000000001</v>
      </c>
      <c r="I8" s="15">
        <f t="shared" si="0"/>
        <v>22.91916444186424</v>
      </c>
    </row>
    <row r="9" spans="1:9" x14ac:dyDescent="0.25">
      <c r="A9" s="4" t="s">
        <v>17</v>
      </c>
      <c r="B9" s="5">
        <v>1</v>
      </c>
      <c r="C9" s="5" t="s">
        <v>9</v>
      </c>
      <c r="D9" s="5">
        <v>29</v>
      </c>
      <c r="E9" s="5">
        <v>164</v>
      </c>
      <c r="F9" s="5">
        <v>50</v>
      </c>
      <c r="G9" s="5">
        <f>CONVERT(26,"in","cm")</f>
        <v>66.039999999999992</v>
      </c>
      <c r="H9" s="5">
        <f>CONVERT(34.5,"in","cm")</f>
        <v>87.63</v>
      </c>
      <c r="I9" s="15">
        <f t="shared" si="0"/>
        <v>18.590124925639504</v>
      </c>
    </row>
    <row r="10" spans="1:9" x14ac:dyDescent="0.25">
      <c r="A10" s="4" t="s">
        <v>18</v>
      </c>
      <c r="B10" s="5">
        <v>1</v>
      </c>
      <c r="C10" s="5" t="s">
        <v>3</v>
      </c>
      <c r="D10" s="5">
        <v>32</v>
      </c>
      <c r="E10" s="5">
        <v>183</v>
      </c>
      <c r="F10" s="5">
        <v>83</v>
      </c>
      <c r="G10" s="5">
        <v>97</v>
      </c>
      <c r="H10" s="5">
        <v>103</v>
      </c>
      <c r="I10" s="15">
        <f t="shared" si="0"/>
        <v>24.784257517393769</v>
      </c>
    </row>
    <row r="11" spans="1:9" x14ac:dyDescent="0.25">
      <c r="A11" s="4" t="s">
        <v>19</v>
      </c>
      <c r="B11" s="5">
        <v>1</v>
      </c>
      <c r="C11" s="5" t="s">
        <v>9</v>
      </c>
      <c r="D11" s="5">
        <v>21</v>
      </c>
      <c r="E11" s="5">
        <f>CONVERT(55,"in","cm")</f>
        <v>139.69999999999999</v>
      </c>
      <c r="F11" s="6">
        <f>CONVERT(125,"lbm","kg")</f>
        <v>56.699046250000002</v>
      </c>
      <c r="G11" s="5">
        <f>CONVERT(32,"in","cm")</f>
        <v>81.28</v>
      </c>
      <c r="H11" s="5">
        <f>CONVERT(38,"in","cm")</f>
        <v>96.52</v>
      </c>
      <c r="I11" s="15">
        <f t="shared" si="0"/>
        <v>29.052461968560308</v>
      </c>
    </row>
    <row r="12" spans="1:9" x14ac:dyDescent="0.25">
      <c r="A12" s="4" t="s">
        <v>20</v>
      </c>
      <c r="B12" s="5"/>
      <c r="C12" s="5"/>
      <c r="D12" s="5"/>
      <c r="E12" s="5"/>
      <c r="F12" s="5"/>
      <c r="G12" s="5"/>
      <c r="H12" s="5"/>
      <c r="I12" s="15"/>
    </row>
    <row r="13" spans="1:9" x14ac:dyDescent="0.25">
      <c r="A13" s="4" t="s">
        <v>21</v>
      </c>
      <c r="B13" s="5"/>
      <c r="C13" s="5"/>
      <c r="D13" s="5"/>
      <c r="E13" s="5"/>
      <c r="F13" s="5"/>
      <c r="G13" s="5"/>
      <c r="H13" s="5"/>
      <c r="I13" s="15"/>
    </row>
    <row r="14" spans="1:9" x14ac:dyDescent="0.25">
      <c r="A14" s="4" t="s">
        <v>22</v>
      </c>
      <c r="B14" s="5">
        <v>2</v>
      </c>
      <c r="C14" s="5" t="s">
        <v>9</v>
      </c>
      <c r="D14" s="5">
        <v>22</v>
      </c>
      <c r="E14" s="5">
        <f>CONVERT(5.3,"ft","cm")</f>
        <v>161.54400000000001</v>
      </c>
      <c r="F14" s="6">
        <f>CONVERT(150,"lbm","kg")</f>
        <v>68.038855500000011</v>
      </c>
      <c r="G14" s="5">
        <f>CONVERT(33,"in","cm")</f>
        <v>83.82</v>
      </c>
      <c r="H14" s="5">
        <f>CONVERT(42,"in","cm")</f>
        <v>106.67999999999999</v>
      </c>
      <c r="I14" s="15">
        <f t="shared" si="0"/>
        <v>26.072059290048326</v>
      </c>
    </row>
    <row r="15" spans="1:9" x14ac:dyDescent="0.25">
      <c r="A15" s="4" t="s">
        <v>23</v>
      </c>
      <c r="B15" s="5"/>
      <c r="C15" s="5"/>
      <c r="D15" s="5"/>
      <c r="E15" s="5"/>
      <c r="F15" s="6"/>
      <c r="G15" s="5"/>
      <c r="H15" s="5"/>
      <c r="I15" s="15"/>
    </row>
    <row r="16" spans="1:9" x14ac:dyDescent="0.25">
      <c r="A16" s="4" t="s">
        <v>24</v>
      </c>
      <c r="B16" s="5">
        <v>1</v>
      </c>
      <c r="C16" s="5" t="s">
        <v>9</v>
      </c>
      <c r="D16" s="5">
        <v>31</v>
      </c>
      <c r="E16" s="5">
        <v>165</v>
      </c>
      <c r="F16" s="5">
        <v>81</v>
      </c>
      <c r="G16" s="5">
        <v>93</v>
      </c>
      <c r="H16" s="5">
        <v>116</v>
      </c>
      <c r="I16" s="15">
        <f t="shared" si="0"/>
        <v>29.752066115702483</v>
      </c>
    </row>
    <row r="17" spans="1:9" x14ac:dyDescent="0.25">
      <c r="A17" s="4" t="s">
        <v>25</v>
      </c>
      <c r="B17" s="5">
        <v>1</v>
      </c>
      <c r="C17" s="5" t="s">
        <v>3</v>
      </c>
      <c r="D17" s="5">
        <v>32</v>
      </c>
      <c r="E17" s="5">
        <v>170</v>
      </c>
      <c r="F17" s="5">
        <v>125</v>
      </c>
      <c r="G17" s="5">
        <v>125</v>
      </c>
      <c r="H17" s="5">
        <v>131</v>
      </c>
      <c r="I17" s="15">
        <f t="shared" si="0"/>
        <v>43.252595155709351</v>
      </c>
    </row>
    <row r="18" spans="1:9" x14ac:dyDescent="0.25">
      <c r="A18" s="4" t="s">
        <v>26</v>
      </c>
      <c r="B18" s="5">
        <v>1</v>
      </c>
      <c r="C18" s="5" t="s">
        <v>3</v>
      </c>
      <c r="D18" s="5">
        <v>32</v>
      </c>
      <c r="E18" s="5">
        <v>191</v>
      </c>
      <c r="F18" s="5">
        <v>87</v>
      </c>
      <c r="G18" s="5">
        <f>CONVERT(37.6,"in","cm")</f>
        <v>95.504000000000005</v>
      </c>
      <c r="H18" s="5">
        <f>CONVERT(44,"in","cm")</f>
        <v>111.75999999999999</v>
      </c>
      <c r="I18" s="15">
        <f t="shared" si="0"/>
        <v>23.848030481620569</v>
      </c>
    </row>
    <row r="19" spans="1:9" x14ac:dyDescent="0.25">
      <c r="A19" s="4" t="s">
        <v>27</v>
      </c>
      <c r="B19" s="5"/>
      <c r="C19" s="5"/>
      <c r="D19" s="5"/>
      <c r="E19" s="5"/>
      <c r="F19" s="5"/>
      <c r="G19" s="5"/>
      <c r="H19" s="5"/>
      <c r="I19" s="7"/>
    </row>
    <row r="20" spans="1:9" x14ac:dyDescent="0.25">
      <c r="A20" s="4" t="s">
        <v>28</v>
      </c>
      <c r="B20" s="5"/>
      <c r="C20" s="5"/>
      <c r="D20" s="5"/>
      <c r="E20" s="5"/>
      <c r="F20" s="5"/>
      <c r="G20" s="5"/>
      <c r="H20" s="5"/>
      <c r="I20" s="7"/>
    </row>
    <row r="21" spans="1:9" x14ac:dyDescent="0.25">
      <c r="A21" s="8" t="s">
        <v>29</v>
      </c>
      <c r="B21" s="9"/>
      <c r="C21" s="9"/>
      <c r="D21" s="9"/>
      <c r="E21" s="9"/>
      <c r="F21" s="9"/>
      <c r="G21" s="9"/>
      <c r="H21" s="9"/>
      <c r="I21" s="10"/>
    </row>
    <row r="22" spans="1:9" x14ac:dyDescent="0.25">
      <c r="A22" s="11" t="s">
        <v>30</v>
      </c>
      <c r="B22" s="12"/>
      <c r="C22" s="12"/>
      <c r="D22" s="19">
        <f>AVERAGE(D2:D11,D14,D16:D18)</f>
        <v>26.785714285714285</v>
      </c>
      <c r="E22" s="19">
        <f t="shared" ref="E22:H22" si="1">AVERAGE(E2:E11,E14,E16:E18)</f>
        <v>169.81457142857144</v>
      </c>
      <c r="F22" s="19">
        <f t="shared" si="1"/>
        <v>74.799591250000006</v>
      </c>
      <c r="G22" s="19">
        <f t="shared" si="1"/>
        <v>86.675857142857126</v>
      </c>
      <c r="H22" s="19">
        <f t="shared" si="1"/>
        <v>102.99928571428572</v>
      </c>
      <c r="I22" s="16">
        <f t="shared" ref="I22:I26" si="2">AVERAGE(I2:I11,I14,I16:I18)</f>
        <v>25.908542690201781</v>
      </c>
    </row>
    <row r="23" spans="1:9" x14ac:dyDescent="0.25">
      <c r="A23" s="13" t="s">
        <v>31</v>
      </c>
      <c r="B23" s="14"/>
      <c r="C23" s="14"/>
      <c r="D23" s="20">
        <f>_xlfn.STDEV.S(D2:D11,D14,D16:D18)</f>
        <v>4.5771770176113433</v>
      </c>
      <c r="E23" s="20">
        <f t="shared" ref="E23:H23" si="3">_xlfn.STDEV.S(E2:E11,E14,E16:E18)</f>
        <v>12.464195377864648</v>
      </c>
      <c r="F23" s="20">
        <f t="shared" si="3"/>
        <v>18.980844246830369</v>
      </c>
      <c r="G23" s="20">
        <f t="shared" si="3"/>
        <v>15.273198092672885</v>
      </c>
      <c r="H23" s="20">
        <f t="shared" si="3"/>
        <v>12.703499496223312</v>
      </c>
      <c r="I23" s="17">
        <f t="shared" ref="I23:I27" si="4">_xlfn.STDEV.S(I2:I11,I14,I16:I18)</f>
        <v>5.962563746936465</v>
      </c>
    </row>
    <row r="24" spans="1:9" x14ac:dyDescent="0.25">
      <c r="A24" s="11" t="s">
        <v>33</v>
      </c>
      <c r="B24" s="12"/>
      <c r="C24" s="12"/>
      <c r="D24" s="19">
        <f>AVERAGEIF($C$2:$C$21,"F",D$2:D$21)</f>
        <v>26.857142857142858</v>
      </c>
      <c r="E24" s="19">
        <f t="shared" ref="E24:I24" si="5">AVERAGEIF($C$2:$C$21,"F",E$2:E$21)</f>
        <v>160.69771428571428</v>
      </c>
      <c r="F24" s="19">
        <f t="shared" si="5"/>
        <v>63.449716898571424</v>
      </c>
      <c r="G24" s="19">
        <f t="shared" si="5"/>
        <v>80.45714285714287</v>
      </c>
      <c r="H24" s="19">
        <f t="shared" si="5"/>
        <v>102.99571428571427</v>
      </c>
      <c r="I24" s="16">
        <f t="shared" si="5"/>
        <v>24.688408238756058</v>
      </c>
    </row>
    <row r="25" spans="1:9" x14ac:dyDescent="0.25">
      <c r="A25" s="21" t="s">
        <v>34</v>
      </c>
      <c r="B25" s="14"/>
      <c r="C25" s="14"/>
      <c r="D25" s="20">
        <f>_xlfn.STDEV.S(D$4,D$7:D$9,D$11,D$14,D$16)</f>
        <v>3.8913824205360732</v>
      </c>
      <c r="E25" s="20">
        <f t="shared" ref="E25:I25" si="6">_xlfn.STDEV.S(E$4,E$7:E$9,E$11,E$14,E$16)</f>
        <v>9.4466563699241544</v>
      </c>
      <c r="F25" s="20">
        <f t="shared" si="6"/>
        <v>11.259549980230693</v>
      </c>
      <c r="G25" s="20">
        <f t="shared" si="6"/>
        <v>12.54281429648819</v>
      </c>
      <c r="H25" s="20">
        <f t="shared" si="6"/>
        <v>9.7302721050387522</v>
      </c>
      <c r="I25" s="17">
        <f t="shared" si="6"/>
        <v>4.4982239455164059</v>
      </c>
    </row>
    <row r="26" spans="1:9" x14ac:dyDescent="0.25">
      <c r="A26" s="22" t="s">
        <v>35</v>
      </c>
      <c r="B26" s="12"/>
      <c r="C26" s="12"/>
      <c r="D26" s="19">
        <f>AVERAGEIF($C$2:$C$21,"M",D$2:D$21)</f>
        <v>26.714285714285715</v>
      </c>
      <c r="E26" s="19">
        <f t="shared" ref="E26:I26" si="7">AVERAGEIF($C$2:$C$21,"M",E$2:E$21)</f>
        <v>178.93142857142857</v>
      </c>
      <c r="F26" s="19">
        <f t="shared" si="7"/>
        <v>86.149465601428574</v>
      </c>
      <c r="G26" s="19">
        <f t="shared" si="7"/>
        <v>92.894571428571439</v>
      </c>
      <c r="H26" s="19">
        <f t="shared" si="7"/>
        <v>103.00285714285714</v>
      </c>
      <c r="I26" s="16">
        <f>AVERAGEIF($C$2:$C$21,"M",I$2:I$21)</f>
        <v>27.128677141647497</v>
      </c>
    </row>
    <row r="27" spans="1:9" x14ac:dyDescent="0.25">
      <c r="A27" s="21" t="s">
        <v>36</v>
      </c>
      <c r="B27" s="14"/>
      <c r="C27" s="14"/>
      <c r="D27" s="20">
        <f>_xlfn.STDEV.S(D$2:D$3,D$5:D$6,D$10,D$17:D$18)</f>
        <v>5.4989176424179389</v>
      </c>
      <c r="E27" s="20">
        <f t="shared" ref="E27:I27" si="8">_xlfn.STDEV.S(E$2:E$3,E$5:E$6,E$10,E$17:E$18)</f>
        <v>7.3092987091134534</v>
      </c>
      <c r="F27" s="20">
        <f t="shared" si="8"/>
        <v>18.794511453004592</v>
      </c>
      <c r="G27" s="20">
        <f t="shared" si="8"/>
        <v>16.058075298295044</v>
      </c>
      <c r="H27" s="20">
        <f t="shared" si="8"/>
        <v>15.967969725135955</v>
      </c>
      <c r="I27" s="17">
        <f t="shared" si="8"/>
        <v>7.302189837908057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Kazemi Kheiri, Setareh</cp:lastModifiedBy>
  <dcterms:created xsi:type="dcterms:W3CDTF">2021-11-01T11:07:34Z</dcterms:created>
  <dcterms:modified xsi:type="dcterms:W3CDTF">2022-05-09T14:42:41Z</dcterms:modified>
</cp:coreProperties>
</file>