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EWB-BusinessProjectGroup27/Shared Documents/General/"/>
    </mc:Choice>
  </mc:AlternateContent>
  <xr:revisionPtr revIDLastSave="568" documentId="13_ncr:1_{52723057-40C6-445A-871A-B9D9C20377E0}" xr6:coauthVersionLast="47" xr6:coauthVersionMax="47" xr10:uidLastSave="{309760EC-1E2F-45EF-A797-8B9E0264C8EA}"/>
  <bookViews>
    <workbookView xWindow="-108" yWindow="-108" windowWidth="23256" windowHeight="12576" xr2:uid="{7455540C-64CA-43A9-9749-85B22191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85" i="1" l="1"/>
  <c r="AH93" i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X7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S55" i="1"/>
  <c r="BQ54" i="1"/>
  <c r="BP54" i="1"/>
  <c r="BP57" i="1" s="1"/>
  <c r="BO54" i="1"/>
  <c r="BO57" i="1" s="1"/>
  <c r="BN54" i="1"/>
  <c r="BN57" i="1" s="1"/>
  <c r="BM54" i="1"/>
  <c r="BM57" i="1" s="1"/>
  <c r="BL54" i="1"/>
  <c r="BL57" i="1" s="1"/>
  <c r="BK54" i="1"/>
  <c r="BJ54" i="1"/>
  <c r="BJ57" i="1" s="1"/>
  <c r="BI54" i="1"/>
  <c r="BI57" i="1" s="1"/>
  <c r="BH54" i="1"/>
  <c r="BH57" i="1" s="1"/>
  <c r="BG54" i="1"/>
  <c r="BG57" i="1" s="1"/>
  <c r="BF54" i="1"/>
  <c r="BF57" i="1" s="1"/>
  <c r="BE54" i="1"/>
  <c r="BE57" i="1" s="1"/>
  <c r="BD54" i="1"/>
  <c r="BD57" i="1" s="1"/>
  <c r="BC54" i="1"/>
  <c r="BC57" i="1" s="1"/>
  <c r="BB54" i="1"/>
  <c r="BB57" i="1" s="1"/>
  <c r="BA54" i="1"/>
  <c r="BA57" i="1" s="1"/>
  <c r="AZ54" i="1"/>
  <c r="AZ57" i="1" s="1"/>
  <c r="AY54" i="1"/>
  <c r="AY57" i="1" s="1"/>
  <c r="AX54" i="1"/>
  <c r="AX57" i="1" s="1"/>
  <c r="AW54" i="1"/>
  <c r="AW57" i="1" s="1"/>
  <c r="AV54" i="1"/>
  <c r="AV57" i="1" s="1"/>
  <c r="AU54" i="1"/>
  <c r="AU57" i="1" s="1"/>
  <c r="AT54" i="1"/>
  <c r="AT57" i="1" s="1"/>
  <c r="AS54" i="1"/>
  <c r="AS52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T50" i="1"/>
  <c r="AU50" i="1" s="1"/>
  <c r="AT47" i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BM47" i="1" s="1"/>
  <c r="BN47" i="1" s="1"/>
  <c r="BO47" i="1" s="1"/>
  <c r="BP47" i="1" s="1"/>
  <c r="BQ47" i="1" s="1"/>
  <c r="BQ57" i="1" l="1"/>
  <c r="AU52" i="1"/>
  <c r="AU58" i="1" s="1"/>
  <c r="BK57" i="1"/>
  <c r="AT52" i="1"/>
  <c r="AT58" i="1" s="1"/>
  <c r="AS57" i="1"/>
  <c r="AS58" i="1" s="1"/>
  <c r="AS60" i="1" s="1"/>
  <c r="AV50" i="1"/>
  <c r="AV52" i="1" s="1"/>
  <c r="AV58" i="1" s="1"/>
  <c r="Q87" i="1"/>
  <c r="R87" i="1" s="1"/>
  <c r="S87" i="1" s="1"/>
  <c r="AN79" i="1"/>
  <c r="AN78" i="1"/>
  <c r="AN75" i="1"/>
  <c r="AM79" i="1"/>
  <c r="AM78" i="1"/>
  <c r="AM75" i="1"/>
  <c r="AL79" i="1"/>
  <c r="AL78" i="1"/>
  <c r="AL75" i="1"/>
  <c r="AK79" i="1"/>
  <c r="AK78" i="1"/>
  <c r="AK75" i="1"/>
  <c r="AJ79" i="1"/>
  <c r="AJ78" i="1"/>
  <c r="AJ75" i="1"/>
  <c r="AI79" i="1"/>
  <c r="AI78" i="1"/>
  <c r="AI75" i="1"/>
  <c r="AH79" i="1"/>
  <c r="AH78" i="1"/>
  <c r="AH75" i="1"/>
  <c r="AG79" i="1"/>
  <c r="AG78" i="1"/>
  <c r="AG75" i="1"/>
  <c r="AF79" i="1"/>
  <c r="AF78" i="1"/>
  <c r="AF75" i="1"/>
  <c r="Z75" i="1"/>
  <c r="AA75" i="1"/>
  <c r="AB75" i="1"/>
  <c r="AC75" i="1"/>
  <c r="AD75" i="1"/>
  <c r="AE75" i="1"/>
  <c r="Y75" i="1"/>
  <c r="W75" i="1"/>
  <c r="V75" i="1"/>
  <c r="U75" i="1"/>
  <c r="T75" i="1"/>
  <c r="S75" i="1"/>
  <c r="R75" i="1"/>
  <c r="Q75" i="1"/>
  <c r="X35" i="1"/>
  <c r="S79" i="1" s="1"/>
  <c r="AE79" i="1"/>
  <c r="AE78" i="1"/>
  <c r="AD79" i="1"/>
  <c r="AD78" i="1"/>
  <c r="AC79" i="1"/>
  <c r="AC78" i="1"/>
  <c r="AB79" i="1"/>
  <c r="AB78" i="1"/>
  <c r="Q71" i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Q74" i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F81" i="1" l="1"/>
  <c r="AT59" i="1"/>
  <c r="AW50" i="1"/>
  <c r="AW52" i="1" s="1"/>
  <c r="AW58" i="1" s="1"/>
  <c r="AT60" i="1"/>
  <c r="AU59" i="1" s="1"/>
  <c r="AU60" i="1" s="1"/>
  <c r="AV59" i="1" s="1"/>
  <c r="AV60" i="1" s="1"/>
  <c r="AW59" i="1" s="1"/>
  <c r="AK81" i="1"/>
  <c r="AD81" i="1"/>
  <c r="AI81" i="1"/>
  <c r="AM81" i="1"/>
  <c r="AN81" i="1"/>
  <c r="AG81" i="1"/>
  <c r="AH81" i="1"/>
  <c r="AL81" i="1"/>
  <c r="AF76" i="1"/>
  <c r="AF82" i="1" s="1"/>
  <c r="AF88" i="1" s="1"/>
  <c r="AG74" i="1"/>
  <c r="AH74" i="1" s="1"/>
  <c r="R79" i="1"/>
  <c r="AB81" i="1"/>
  <c r="AJ81" i="1"/>
  <c r="T87" i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E81" i="1"/>
  <c r="AC81" i="1"/>
  <c r="AB76" i="1"/>
  <c r="AD76" i="1"/>
  <c r="AD82" i="1" s="1"/>
  <c r="AD88" i="1" s="1"/>
  <c r="AC76" i="1"/>
  <c r="U138" i="1"/>
  <c r="AE76" i="1"/>
  <c r="L53" i="1"/>
  <c r="M57" i="1" s="1"/>
  <c r="Q35" i="1"/>
  <c r="AA79" i="1"/>
  <c r="AA78" i="1"/>
  <c r="Z79" i="1"/>
  <c r="Z78" i="1"/>
  <c r="Y79" i="1"/>
  <c r="Y78" i="1"/>
  <c r="X79" i="1"/>
  <c r="X78" i="1"/>
  <c r="M46" i="1"/>
  <c r="W79" i="1"/>
  <c r="W78" i="1"/>
  <c r="V79" i="1"/>
  <c r="V78" i="1"/>
  <c r="U79" i="1"/>
  <c r="U78" i="1"/>
  <c r="T79" i="1"/>
  <c r="T78" i="1"/>
  <c r="U140" i="1"/>
  <c r="U141" i="1"/>
  <c r="U142" i="1"/>
  <c r="U143" i="1"/>
  <c r="U144" i="1"/>
  <c r="U145" i="1"/>
  <c r="U139" i="1"/>
  <c r="AX50" i="1" l="1"/>
  <c r="AY50" i="1" s="1"/>
  <c r="U81" i="1"/>
  <c r="W81" i="1"/>
  <c r="AW60" i="1"/>
  <c r="AX59" i="1" s="1"/>
  <c r="AX52" i="1"/>
  <c r="AX58" i="1" s="1"/>
  <c r="AG76" i="1"/>
  <c r="AG82" i="1" s="1"/>
  <c r="AG88" i="1" s="1"/>
  <c r="AB82" i="1"/>
  <c r="AB88" i="1" s="1"/>
  <c r="AH76" i="1"/>
  <c r="AH82" i="1" s="1"/>
  <c r="AH88" i="1" s="1"/>
  <c r="AI74" i="1"/>
  <c r="AE82" i="1"/>
  <c r="AE88" i="1" s="1"/>
  <c r="AC82" i="1"/>
  <c r="AC88" i="1" s="1"/>
  <c r="Y81" i="1"/>
  <c r="X81" i="1"/>
  <c r="Z81" i="1"/>
  <c r="T81" i="1"/>
  <c r="V81" i="1"/>
  <c r="AA81" i="1"/>
  <c r="T76" i="1"/>
  <c r="S78" i="1"/>
  <c r="S76" i="1"/>
  <c r="R78" i="1"/>
  <c r="Q78" i="1"/>
  <c r="P78" i="1"/>
  <c r="M85" i="1"/>
  <c r="R76" i="1"/>
  <c r="Q76" i="1"/>
  <c r="K132" i="1"/>
  <c r="P79" i="1" s="1"/>
  <c r="P76" i="1"/>
  <c r="M105" i="1"/>
  <c r="M103" i="1"/>
  <c r="M97" i="1"/>
  <c r="M91" i="1"/>
  <c r="L82" i="1"/>
  <c r="L81" i="1"/>
  <c r="L80" i="1"/>
  <c r="M73" i="1"/>
  <c r="M74" i="1" s="1"/>
  <c r="M33" i="1"/>
  <c r="AX60" i="1" l="1"/>
  <c r="AY59" i="1" s="1"/>
  <c r="AY52" i="1"/>
  <c r="AY58" i="1" s="1"/>
  <c r="AZ50" i="1"/>
  <c r="AI76" i="1"/>
  <c r="AI82" i="1" s="1"/>
  <c r="AI88" i="1" s="1"/>
  <c r="AJ74" i="1"/>
  <c r="T82" i="1"/>
  <c r="T88" i="1" s="1"/>
  <c r="S81" i="1"/>
  <c r="S82" i="1" s="1"/>
  <c r="S88" i="1" s="1"/>
  <c r="U76" i="1"/>
  <c r="U82" i="1" s="1"/>
  <c r="U88" i="1" s="1"/>
  <c r="R81" i="1"/>
  <c r="R82" i="1" s="1"/>
  <c r="R88" i="1" s="1"/>
  <c r="Q81" i="1"/>
  <c r="Q82" i="1" s="1"/>
  <c r="Q88" i="1" s="1"/>
  <c r="P81" i="1"/>
  <c r="P82" i="1" s="1"/>
  <c r="M83" i="1"/>
  <c r="M114" i="1" s="1"/>
  <c r="M116" i="1" s="1"/>
  <c r="M118" i="1" s="1"/>
  <c r="H44" i="1"/>
  <c r="I44" i="1"/>
  <c r="U133" i="1"/>
  <c r="U134" i="1"/>
  <c r="U135" i="1"/>
  <c r="U136" i="1"/>
  <c r="U137" i="1"/>
  <c r="S134" i="1"/>
  <c r="S135" i="1"/>
  <c r="S136" i="1"/>
  <c r="S137" i="1"/>
  <c r="S133" i="1"/>
  <c r="U132" i="1"/>
  <c r="AY60" i="1" l="1"/>
  <c r="AZ59" i="1" s="1"/>
  <c r="AZ52" i="1"/>
  <c r="AZ58" i="1" s="1"/>
  <c r="BA50" i="1"/>
  <c r="P88" i="1"/>
  <c r="AJ76" i="1"/>
  <c r="AJ82" i="1" s="1"/>
  <c r="AK74" i="1"/>
  <c r="V76" i="1"/>
  <c r="V82" i="1" s="1"/>
  <c r="V88" i="1" s="1"/>
  <c r="P84" i="1"/>
  <c r="Q83" i="1"/>
  <c r="Q84" i="1" s="1"/>
  <c r="R83" i="1" s="1"/>
  <c r="R84" i="1" s="1"/>
  <c r="S83" i="1" s="1"/>
  <c r="S84" i="1" s="1"/>
  <c r="T83" i="1" s="1"/>
  <c r="T84" i="1" s="1"/>
  <c r="U83" i="1" s="1"/>
  <c r="U84" i="1" s="1"/>
  <c r="V83" i="1" s="1"/>
  <c r="H39" i="1"/>
  <c r="H43" i="1"/>
  <c r="I43" i="1"/>
  <c r="I40" i="1"/>
  <c r="I38" i="1"/>
  <c r="I37" i="1"/>
  <c r="H37" i="1"/>
  <c r="I42" i="1"/>
  <c r="I41" i="1"/>
  <c r="AZ60" i="1" l="1"/>
  <c r="BA59" i="1" s="1"/>
  <c r="BA52" i="1"/>
  <c r="BA58" i="1" s="1"/>
  <c r="BB50" i="1"/>
  <c r="AK76" i="1"/>
  <c r="AK82" i="1" s="1"/>
  <c r="AK88" i="1" s="1"/>
  <c r="AL74" i="1"/>
  <c r="AJ88" i="1"/>
  <c r="W76" i="1"/>
  <c r="W82" i="1" s="1"/>
  <c r="W88" i="1" s="1"/>
  <c r="V84" i="1"/>
  <c r="W83" i="1" s="1"/>
  <c r="N59" i="1"/>
  <c r="I45" i="1" s="1"/>
  <c r="M51" i="1"/>
  <c r="H42" i="1" s="1"/>
  <c r="H41" i="1"/>
  <c r="M38" i="1"/>
  <c r="H40" i="1" s="1"/>
  <c r="L31" i="1"/>
  <c r="L30" i="1"/>
  <c r="L29" i="1"/>
  <c r="BA60" i="1" l="1"/>
  <c r="BB59" i="1" s="1"/>
  <c r="BB52" i="1"/>
  <c r="BB58" i="1" s="1"/>
  <c r="BC50" i="1"/>
  <c r="AL76" i="1"/>
  <c r="AL82" i="1" s="1"/>
  <c r="AL88" i="1" s="1"/>
  <c r="AM74" i="1"/>
  <c r="W84" i="1"/>
  <c r="X83" i="1" s="1"/>
  <c r="X76" i="1"/>
  <c r="X82" i="1" s="1"/>
  <c r="X88" i="1" s="1"/>
  <c r="M32" i="1"/>
  <c r="BB60" i="1" l="1"/>
  <c r="BC59" i="1" s="1"/>
  <c r="BC52" i="1"/>
  <c r="BC58" i="1" s="1"/>
  <c r="BD50" i="1"/>
  <c r="AN74" i="1"/>
  <c r="AN76" i="1" s="1"/>
  <c r="AN82" i="1" s="1"/>
  <c r="AM76" i="1"/>
  <c r="AM82" i="1" s="1"/>
  <c r="AM88" i="1" s="1"/>
  <c r="X84" i="1"/>
  <c r="Y83" i="1" s="1"/>
  <c r="Y76" i="1"/>
  <c r="Y82" i="1" s="1"/>
  <c r="Y88" i="1" s="1"/>
  <c r="H38" i="1"/>
  <c r="M59" i="1"/>
  <c r="H45" i="1" s="1"/>
  <c r="BC60" i="1" l="1"/>
  <c r="BD59" i="1" s="1"/>
  <c r="BE50" i="1"/>
  <c r="BD52" i="1"/>
  <c r="BD58" i="1" s="1"/>
  <c r="AN88" i="1"/>
  <c r="Y84" i="1"/>
  <c r="Z83" i="1" s="1"/>
  <c r="Z76" i="1"/>
  <c r="Z82" i="1" s="1"/>
  <c r="AA76" i="1"/>
  <c r="AA82" i="1" s="1"/>
  <c r="AA88" i="1" s="1"/>
  <c r="E30" i="1"/>
  <c r="B30" i="1"/>
  <c r="C30" i="1"/>
  <c r="D30" i="1"/>
  <c r="BD60" i="1" l="1"/>
  <c r="BE59" i="1" s="1"/>
  <c r="BE52" i="1"/>
  <c r="BE58" i="1" s="1"/>
  <c r="BF50" i="1"/>
  <c r="Z88" i="1"/>
  <c r="P93" i="1" s="1" a="1"/>
  <c r="Z84" i="1"/>
  <c r="AA83" i="1" s="1"/>
  <c r="AA84" i="1" s="1"/>
  <c r="AB83" i="1" s="1"/>
  <c r="AB84" i="1" s="1"/>
  <c r="AC83" i="1" s="1"/>
  <c r="AC84" i="1" s="1"/>
  <c r="AD83" i="1" s="1"/>
  <c r="AD84" i="1" s="1"/>
  <c r="AE83" i="1" s="1"/>
  <c r="AE84" i="1" s="1"/>
  <c r="AF83" i="1" s="1"/>
  <c r="AF84" i="1" s="1"/>
  <c r="AG83" i="1" s="1"/>
  <c r="AG84" i="1" s="1"/>
  <c r="AH83" i="1" s="1"/>
  <c r="AH84" i="1" s="1"/>
  <c r="AI83" i="1" s="1"/>
  <c r="AI84" i="1" s="1"/>
  <c r="AJ83" i="1" s="1"/>
  <c r="AJ84" i="1" s="1"/>
  <c r="AK83" i="1" s="1"/>
  <c r="AK84" i="1" s="1"/>
  <c r="AL83" i="1" s="1"/>
  <c r="AL84" i="1" s="1"/>
  <c r="AM83" i="1" s="1"/>
  <c r="AM84" i="1" s="1"/>
  <c r="AN83" i="1" s="1"/>
  <c r="AN84" i="1" s="1"/>
  <c r="C31" i="1"/>
  <c r="B31" i="1"/>
  <c r="B44" i="1" s="1"/>
  <c r="E19" i="1"/>
  <c r="C19" i="1"/>
  <c r="B19" i="1"/>
  <c r="D19" i="1"/>
  <c r="BE60" i="1" l="1"/>
  <c r="BF59" i="1" s="1"/>
  <c r="BF52" i="1"/>
  <c r="BF58" i="1" s="1"/>
  <c r="BG50" i="1"/>
  <c r="P116" i="1"/>
  <c r="Q106" i="1"/>
  <c r="Q111" i="1"/>
  <c r="Q98" i="1"/>
  <c r="Q117" i="1"/>
  <c r="P93" i="1"/>
  <c r="P100" i="1"/>
  <c r="Q103" i="1"/>
  <c r="P99" i="1"/>
  <c r="P104" i="1"/>
  <c r="Q107" i="1"/>
  <c r="P103" i="1"/>
  <c r="P110" i="1"/>
  <c r="Q113" i="1"/>
  <c r="P109" i="1"/>
  <c r="P106" i="1"/>
  <c r="Q109" i="1"/>
  <c r="P105" i="1"/>
  <c r="Q108" i="1"/>
  <c r="Q114" i="1"/>
  <c r="Q95" i="1"/>
  <c r="Q116" i="1"/>
  <c r="P96" i="1"/>
  <c r="Q99" i="1"/>
  <c r="P95" i="1"/>
  <c r="P102" i="1"/>
  <c r="Q105" i="1"/>
  <c r="P101" i="1"/>
  <c r="P98" i="1"/>
  <c r="Q101" i="1"/>
  <c r="P97" i="1"/>
  <c r="Q96" i="1"/>
  <c r="P115" i="1"/>
  <c r="Q100" i="1"/>
  <c r="Q102" i="1"/>
  <c r="Q104" i="1"/>
  <c r="Q112" i="1"/>
  <c r="P94" i="1"/>
  <c r="Q97" i="1"/>
  <c r="Q110" i="1"/>
  <c r="Q93" i="1"/>
  <c r="P108" i="1"/>
  <c r="P107" i="1"/>
  <c r="P112" i="1"/>
  <c r="Q115" i="1"/>
  <c r="P111" i="1"/>
  <c r="Q94" i="1"/>
  <c r="P117" i="1"/>
  <c r="P114" i="1"/>
  <c r="P113" i="1"/>
  <c r="C20" i="1"/>
  <c r="B20" i="1"/>
  <c r="C7" i="1"/>
  <c r="D7" i="1"/>
  <c r="B7" i="1"/>
  <c r="BF60" i="1" l="1"/>
  <c r="BG59" i="1" s="1"/>
  <c r="BH50" i="1"/>
  <c r="BG52" i="1"/>
  <c r="BG58" i="1" s="1"/>
  <c r="Q118" i="1"/>
  <c r="C21" i="1"/>
  <c r="B8" i="1"/>
  <c r="C8" i="1"/>
  <c r="BG60" i="1" l="1"/>
  <c r="BH59" i="1" s="1"/>
  <c r="BH52" i="1"/>
  <c r="BH58" i="1" s="1"/>
  <c r="BI50" i="1"/>
  <c r="BH60" i="1" l="1"/>
  <c r="BI59" i="1" s="1"/>
  <c r="BI52" i="1"/>
  <c r="BI58" i="1" s="1"/>
  <c r="BJ50" i="1"/>
  <c r="BI60" i="1" l="1"/>
  <c r="BJ59" i="1" s="1"/>
  <c r="BJ52" i="1"/>
  <c r="BJ58" i="1" s="1"/>
  <c r="BK50" i="1"/>
  <c r="BJ60" i="1" l="1"/>
  <c r="BK59" i="1" s="1"/>
  <c r="BK52" i="1"/>
  <c r="BK58" i="1" s="1"/>
  <c r="BL50" i="1"/>
  <c r="BK60" i="1" l="1"/>
  <c r="BL59" i="1" s="1"/>
  <c r="BL52" i="1"/>
  <c r="BL58" i="1" s="1"/>
  <c r="BM50" i="1"/>
  <c r="BL60" i="1" l="1"/>
  <c r="BM59" i="1" s="1"/>
  <c r="BM52" i="1"/>
  <c r="BM58" i="1" s="1"/>
  <c r="BM60" i="1" s="1"/>
  <c r="BN59" i="1" s="1"/>
  <c r="BN50" i="1"/>
  <c r="BN52" i="1" l="1"/>
  <c r="BN58" i="1" s="1"/>
  <c r="BN60" i="1" s="1"/>
  <c r="BO59" i="1" s="1"/>
  <c r="BO50" i="1"/>
  <c r="BP50" i="1" l="1"/>
  <c r="BO52" i="1"/>
  <c r="BO58" i="1" s="1"/>
  <c r="BO60" i="1" s="1"/>
  <c r="BP59" i="1" s="1"/>
  <c r="BP52" i="1" l="1"/>
  <c r="BP58" i="1" s="1"/>
  <c r="BP60" i="1" s="1"/>
  <c r="BQ59" i="1" s="1"/>
  <c r="BQ50" i="1"/>
  <c r="BQ52" i="1" s="1"/>
  <c r="BQ58" i="1" s="1"/>
  <c r="BQ61" i="1" s="1"/>
  <c r="BQ60" i="1" l="1"/>
</calcChain>
</file>

<file path=xl/sharedStrings.xml><?xml version="1.0" encoding="utf-8"?>
<sst xmlns="http://schemas.openxmlformats.org/spreadsheetml/2006/main" count="201" uniqueCount="93">
  <si>
    <t>Machine</t>
  </si>
  <si>
    <t>Shredder</t>
  </si>
  <si>
    <t>Price (New)</t>
  </si>
  <si>
    <t>Price (Scraps)</t>
  </si>
  <si>
    <t>Power Requirements (kW)</t>
  </si>
  <si>
    <t>Motor</t>
  </si>
  <si>
    <t>Extrusion</t>
  </si>
  <si>
    <t>Injection</t>
  </si>
  <si>
    <t>Compression</t>
  </si>
  <si>
    <t>Total</t>
  </si>
  <si>
    <t>Total (with motor)</t>
  </si>
  <si>
    <t>Shredder (Pro)</t>
  </si>
  <si>
    <t>Extrusion (Pro)</t>
  </si>
  <si>
    <t>Sheetpress</t>
  </si>
  <si>
    <t>Total (Scraps and New)</t>
  </si>
  <si>
    <t>Volatge (V)</t>
  </si>
  <si>
    <t>Amperage (A)</t>
  </si>
  <si>
    <t>Average</t>
  </si>
  <si>
    <t>Low</t>
  </si>
  <si>
    <t>High</t>
  </si>
  <si>
    <t>Salaries (monthly):</t>
  </si>
  <si>
    <t>Security</t>
  </si>
  <si>
    <t>Fences</t>
  </si>
  <si>
    <t>Total cost</t>
  </si>
  <si>
    <t>Costs</t>
  </si>
  <si>
    <t>Machines</t>
  </si>
  <si>
    <t>Salaries</t>
  </si>
  <si>
    <t>Total (£)</t>
  </si>
  <si>
    <t>Fencing</t>
  </si>
  <si>
    <t>GBP</t>
  </si>
  <si>
    <t>Sol</t>
  </si>
  <si>
    <t>Solar Panels</t>
  </si>
  <si>
    <t>Collection Points</t>
  </si>
  <si>
    <t>Item</t>
  </si>
  <si>
    <t xml:space="preserve">Perimeter </t>
  </si>
  <si>
    <t>Gate</t>
  </si>
  <si>
    <t>Corners</t>
  </si>
  <si>
    <t>Fencing (with installation)</t>
  </si>
  <si>
    <t>Salaries (for the pilot scheme)</t>
  </si>
  <si>
    <t>Bins</t>
  </si>
  <si>
    <t>Water bottles</t>
  </si>
  <si>
    <t>Key chain</t>
  </si>
  <si>
    <t>Protractor</t>
  </si>
  <si>
    <t>Ruler</t>
  </si>
  <si>
    <t>Face shield</t>
  </si>
  <si>
    <t>Main collection point at the factory</t>
  </si>
  <si>
    <t>Four bins scatered across the town</t>
  </si>
  <si>
    <t>Main bin at the factory</t>
  </si>
  <si>
    <t>Shipping (estimate)</t>
  </si>
  <si>
    <t xml:space="preserve">Net </t>
  </si>
  <si>
    <t>Litter Pickers</t>
  </si>
  <si>
    <t>Advertising</t>
  </si>
  <si>
    <t>Product</t>
  </si>
  <si>
    <t>Amount to make</t>
  </si>
  <si>
    <t>Average cost (£)</t>
  </si>
  <si>
    <t>Misc</t>
  </si>
  <si>
    <t>Vehicle Rental (stages 1-3)</t>
  </si>
  <si>
    <t>Month 1</t>
  </si>
  <si>
    <t>Income</t>
  </si>
  <si>
    <t>Grants</t>
  </si>
  <si>
    <t>Expenditure</t>
  </si>
  <si>
    <t>Molds</t>
  </si>
  <si>
    <t>Vehicle Rental</t>
  </si>
  <si>
    <t>Net Cash Flow</t>
  </si>
  <si>
    <t>Opening Balance</t>
  </si>
  <si>
    <t>Closing Balance</t>
  </si>
  <si>
    <t>Sales Revenue</t>
  </si>
  <si>
    <t>Payroll</t>
  </si>
  <si>
    <t>Moulds</t>
  </si>
  <si>
    <t>Nets</t>
  </si>
  <si>
    <t>Fixed Assets</t>
  </si>
  <si>
    <t>Donations</t>
  </si>
  <si>
    <t>Surfer Necklaces</t>
  </si>
  <si>
    <t>Peruvian Symbol - Pucara Bull</t>
  </si>
  <si>
    <t>Wax comb for surfboards</t>
  </si>
  <si>
    <t>Buckets, spades and other beach toys</t>
  </si>
  <si>
    <t>Frisbees</t>
  </si>
  <si>
    <t>Bat and ball</t>
  </si>
  <si>
    <t>Water collection tanks</t>
  </si>
  <si>
    <t>Molds (stage 1 and 2)</t>
  </si>
  <si>
    <t>Month</t>
  </si>
  <si>
    <t>NPV</t>
  </si>
  <si>
    <t>Flippers</t>
  </si>
  <si>
    <t>Stage 1</t>
  </si>
  <si>
    <t>Stage 2</t>
  </si>
  <si>
    <t>Stage 3</t>
  </si>
  <si>
    <t>Stage 4</t>
  </si>
  <si>
    <t xml:space="preserve">Average Mould cost </t>
  </si>
  <si>
    <t>PV</t>
  </si>
  <si>
    <t>Months</t>
  </si>
  <si>
    <t>Molds (stage 1 - 2)</t>
  </si>
  <si>
    <t>IRR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</si>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</sst>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£&quot;#,##0;[Red]\-&quot;£&quot;#,##0"/>
    <numFmt numFmtId="8" formatCode="&quot;£&quot;#,##0.00;[Red]\-&quot;£&quot;#,##0.00"/>
    <numFmt numFmtId="164" formatCode="[$€-1809]#,##0.00"/>
    <numFmt numFmtId="165" formatCode="[$€-2]\ #,##0.00"/>
    <numFmt numFmtId="166" formatCode="&quot;£&quot;#,##0.00"/>
    <numFmt numFmtId="167" formatCode="[$S/-C6B]\ #,##0.00"/>
    <numFmt numFmtId="168" formatCode="[$S/-280A]#,##0.00"/>
    <numFmt numFmtId="169" formatCode="[$S/-280A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 applyAlignment="1">
      <alignment horizontal="left"/>
    </xf>
    <xf numFmtId="166" fontId="0" fillId="0" borderId="0" xfId="0" applyNumberFormat="1"/>
    <xf numFmtId="166" fontId="0" fillId="0" borderId="1" xfId="0" applyNumberFormat="1" applyBorder="1"/>
    <xf numFmtId="167" fontId="0" fillId="0" borderId="1" xfId="0" applyNumberFormat="1" applyBorder="1"/>
    <xf numFmtId="166" fontId="1" fillId="0" borderId="1" xfId="0" applyNumberFormat="1" applyFont="1" applyBorder="1"/>
    <xf numFmtId="4" fontId="1" fillId="0" borderId="1" xfId="0" applyNumberFormat="1" applyFont="1" applyBorder="1"/>
    <xf numFmtId="166" fontId="0" fillId="0" borderId="1" xfId="0" applyNumberFormat="1" applyFont="1" applyBorder="1"/>
    <xf numFmtId="167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8" fontId="0" fillId="0" borderId="1" xfId="0" applyNumberFormat="1" applyBorder="1"/>
    <xf numFmtId="167" fontId="0" fillId="0" borderId="1" xfId="0" applyNumberFormat="1" applyBorder="1" applyAlignment="1">
      <alignment horizontal="left"/>
    </xf>
    <xf numFmtId="8" fontId="0" fillId="0" borderId="1" xfId="0" applyNumberFormat="1" applyBorder="1"/>
    <xf numFmtId="6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2" fontId="1" fillId="0" borderId="1" xfId="0" applyNumberFormat="1" applyFont="1" applyBorder="1"/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  <xf numFmtId="0" fontId="3" fillId="6" borderId="1" xfId="0" applyFont="1" applyFill="1" applyBorder="1"/>
    <xf numFmtId="166" fontId="4" fillId="6" borderId="1" xfId="0" applyNumberFormat="1" applyFont="1" applyFill="1" applyBorder="1"/>
    <xf numFmtId="0" fontId="4" fillId="6" borderId="1" xfId="0" applyFont="1" applyFill="1" applyBorder="1"/>
    <xf numFmtId="164" fontId="1" fillId="7" borderId="1" xfId="0" applyNumberFormat="1" applyFont="1" applyFill="1" applyBorder="1"/>
    <xf numFmtId="166" fontId="0" fillId="7" borderId="1" xfId="0" applyNumberFormat="1" applyFill="1" applyBorder="1"/>
    <xf numFmtId="0" fontId="0" fillId="7" borderId="1" xfId="0" applyFill="1" applyBorder="1"/>
    <xf numFmtId="6" fontId="0" fillId="7" borderId="1" xfId="0" applyNumberFormat="1" applyFill="1" applyBorder="1"/>
    <xf numFmtId="0" fontId="1" fillId="7" borderId="1" xfId="0" applyFont="1" applyFill="1" applyBorder="1"/>
    <xf numFmtId="164" fontId="1" fillId="8" borderId="1" xfId="0" applyNumberFormat="1" applyFont="1" applyFill="1" applyBorder="1"/>
    <xf numFmtId="0" fontId="1" fillId="8" borderId="1" xfId="0" applyFont="1" applyFill="1" applyBorder="1"/>
    <xf numFmtId="166" fontId="0" fillId="7" borderId="1" xfId="0" applyNumberFormat="1" applyFont="1" applyFill="1" applyBorder="1"/>
    <xf numFmtId="0" fontId="0" fillId="0" borderId="0" xfId="0" applyFont="1" applyFill="1" applyBorder="1" applyAlignment="1">
      <alignment horizontal="left"/>
    </xf>
    <xf numFmtId="166" fontId="5" fillId="6" borderId="1" xfId="0" applyNumberFormat="1" applyFont="1" applyFill="1" applyBorder="1"/>
    <xf numFmtId="2" fontId="0" fillId="0" borderId="1" xfId="0" applyNumberFormat="1" applyFill="1" applyBorder="1"/>
    <xf numFmtId="0" fontId="0" fillId="0" borderId="1" xfId="0" applyFont="1" applyBorder="1"/>
    <xf numFmtId="166" fontId="4" fillId="7" borderId="1" xfId="0" applyNumberFormat="1" applyFont="1" applyFill="1" applyBorder="1"/>
    <xf numFmtId="9" fontId="0" fillId="9" borderId="1" xfId="0" applyNumberFormat="1" applyFill="1" applyBorder="1"/>
    <xf numFmtId="0" fontId="0" fillId="8" borderId="1" xfId="0" applyNumberFormat="1" applyFill="1" applyBorder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0" fillId="10" borderId="1" xfId="1" applyFont="1" applyFill="1" applyBorder="1"/>
    <xf numFmtId="0" fontId="0" fillId="10" borderId="1" xfId="3" applyFont="1" applyFill="1" applyBorder="1"/>
    <xf numFmtId="0" fontId="0" fillId="10" borderId="1" xfId="2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4">
    <cellStyle name="60% - Accent2" xfId="1" builtinId="36"/>
    <cellStyle name="60% - Accent5" xfId="2" builtinId="48"/>
    <cellStyle name="60% - Accent6" xfId="3" builtinId="52"/>
    <cellStyle name="Normal" xfId="0" builtinId="0"/>
  </cellStyles>
  <dxfs count="6"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C66"/>
      <color rgb="FF99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Sheet1!$H$36</c:f>
              <c:strCache>
                <c:ptCount val="1"/>
                <c:pt idx="0">
                  <c:v>GBP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AF5-4DB8-A880-5CDBF9D5F3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F5-4DB8-A880-5CDBF9D5F3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AF5-4DB8-A880-5CDBF9D5F3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F5-4DB8-A880-5CDBF9D5F3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AF5-4DB8-A880-5CDBF9D5F3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F5-4DB8-A880-5CDBF9D5F3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AF5-4DB8-A880-5CDBF9D5F33C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CCA-4B5D-B78D-7226F54CB1AA}"/>
              </c:ext>
            </c:extLst>
          </c:dPt>
          <c:dLbls>
            <c:dLbl>
              <c:idx val="0"/>
              <c:layout>
                <c:manualLayout>
                  <c:x val="-0.10104307174601372"/>
                  <c:y val="7.710020220892213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AF5-4DB8-A880-5CDBF9D5F33C}"/>
                </c:ext>
              </c:extLst>
            </c:dLbl>
            <c:dLbl>
              <c:idx val="1"/>
              <c:layout>
                <c:manualLayout>
                  <c:x val="-7.74915162788056E-2"/>
                  <c:y val="-0.100733986474921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AF5-4DB8-A880-5CDBF9D5F33C}"/>
                </c:ext>
              </c:extLst>
            </c:dLbl>
            <c:dLbl>
              <c:idx val="2"/>
              <c:layout>
                <c:manualLayout>
                  <c:x val="5.5946414119183857E-3"/>
                  <c:y val="-0.1412523607964188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AF5-4DB8-A880-5CDBF9D5F33C}"/>
                </c:ext>
              </c:extLst>
            </c:dLbl>
            <c:dLbl>
              <c:idx val="3"/>
              <c:layout>
                <c:manualLayout>
                  <c:x val="7.6114952647346926E-2"/>
                  <c:y val="-7.661397243344077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F5-4DB8-A880-5CDBF9D5F33C}"/>
                </c:ext>
              </c:extLst>
            </c:dLbl>
            <c:dLbl>
              <c:idx val="4"/>
              <c:layout>
                <c:manualLayout>
                  <c:x val="8.5802368342586144E-2"/>
                  <c:y val="-3.806865819729440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F5-4DB8-A880-5CDBF9D5F33C}"/>
                </c:ext>
              </c:extLst>
            </c:dLbl>
            <c:dLbl>
              <c:idx val="5"/>
              <c:layout>
                <c:manualLayout>
                  <c:x val="8.3241988385466231E-2"/>
                  <c:y val="-2.3638426077698125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F5-4DB8-A880-5CDBF9D5F33C}"/>
                </c:ext>
              </c:extLst>
            </c:dLbl>
            <c:dLbl>
              <c:idx val="6"/>
              <c:layout>
                <c:manualLayout>
                  <c:x val="7.9241688538932584E-2"/>
                  <c:y val="0.1623191892680081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F5-4DB8-A880-5CDBF9D5F33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Sheet1!$G$37:$G$44</c:f>
              <c:strCache>
                <c:ptCount val="8"/>
                <c:pt idx="0">
                  <c:v>Solar Panels</c:v>
                </c:pt>
                <c:pt idx="1">
                  <c:v>Fencing</c:v>
                </c:pt>
                <c:pt idx="2">
                  <c:v>Salaries</c:v>
                </c:pt>
                <c:pt idx="3">
                  <c:v>Machines</c:v>
                </c:pt>
                <c:pt idx="4">
                  <c:v>Molds (stage 1 - 2)</c:v>
                </c:pt>
                <c:pt idx="5">
                  <c:v>Collection Points</c:v>
                </c:pt>
                <c:pt idx="6">
                  <c:v>Shipping (estimate)</c:v>
                </c:pt>
                <c:pt idx="7">
                  <c:v>Misc</c:v>
                </c:pt>
              </c:strCache>
            </c:strRef>
          </c:cat>
          <c:val>
            <c:numRef>
              <c:f>Sheet1!$H$37:$H$44</c:f>
              <c:numCache>
                <c:formatCode>"£"#,##0.00</c:formatCode>
                <c:ptCount val="8"/>
                <c:pt idx="0">
                  <c:v>19810.97</c:v>
                </c:pt>
                <c:pt idx="1">
                  <c:v>5744.1500000000005</c:v>
                </c:pt>
                <c:pt idx="2">
                  <c:v>12102.24</c:v>
                </c:pt>
                <c:pt idx="3">
                  <c:v>4333.22</c:v>
                </c:pt>
                <c:pt idx="4">
                  <c:v>3389.82</c:v>
                </c:pt>
                <c:pt idx="5">
                  <c:v>1439.65</c:v>
                </c:pt>
                <c:pt idx="6">
                  <c:v>15000</c:v>
                </c:pt>
                <c:pt idx="7">
                  <c:v>3415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5-4DB8-A880-5CDBF9D5F33C}"/>
            </c:ext>
          </c:extLst>
        </c:ser>
        <c:ser>
          <c:idx val="1"/>
          <c:order val="1"/>
          <c:tx>
            <c:strRef>
              <c:f>Sheet1!$I$36</c:f>
              <c:strCache>
                <c:ptCount val="1"/>
                <c:pt idx="0">
                  <c:v>Sol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773-4C90-A36B-6CE39DC849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773-4C90-A36B-6CE39DC849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773-4C90-A36B-6CE39DC849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773-4C90-A36B-6CE39DC849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773-4C90-A36B-6CE39DC849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773-4C90-A36B-6CE39DC849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773-4C90-A36B-6CE39DC849E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CCA-4B5D-B78D-7226F54CB1A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Sheet1!$G$37:$G$44</c:f>
              <c:strCache>
                <c:ptCount val="8"/>
                <c:pt idx="0">
                  <c:v>Solar Panels</c:v>
                </c:pt>
                <c:pt idx="1">
                  <c:v>Fencing</c:v>
                </c:pt>
                <c:pt idx="2">
                  <c:v>Salaries</c:v>
                </c:pt>
                <c:pt idx="3">
                  <c:v>Machines</c:v>
                </c:pt>
                <c:pt idx="4">
                  <c:v>Molds (stage 1 - 2)</c:v>
                </c:pt>
                <c:pt idx="5">
                  <c:v>Collection Points</c:v>
                </c:pt>
                <c:pt idx="6">
                  <c:v>Shipping (estimate)</c:v>
                </c:pt>
                <c:pt idx="7">
                  <c:v>Misc</c:v>
                </c:pt>
              </c:strCache>
            </c:strRef>
          </c:cat>
          <c:val>
            <c:numRef>
              <c:f>Sheet1!$I$37:$I$44</c:f>
              <c:numCache>
                <c:formatCode>[$S/-C6B]\ #,##0.00</c:formatCode>
                <c:ptCount val="8"/>
                <c:pt idx="0">
                  <c:v>94819.09</c:v>
                </c:pt>
                <c:pt idx="1">
                  <c:v>27492.6</c:v>
                </c:pt>
                <c:pt idx="2">
                  <c:v>57508.86</c:v>
                </c:pt>
                <c:pt idx="3">
                  <c:v>20739.62</c:v>
                </c:pt>
                <c:pt idx="4">
                  <c:v>16224.33</c:v>
                </c:pt>
                <c:pt idx="5">
                  <c:v>6890.44</c:v>
                </c:pt>
                <c:pt idx="6">
                  <c:v>47519.19</c:v>
                </c:pt>
                <c:pt idx="7">
                  <c:v>1995.53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5-4DB8-A880-5CDBF9D5F33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158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Closing</a:t>
            </a:r>
            <a:r>
              <a:rPr lang="en-GB" baseline="0"/>
              <a:t> </a:t>
            </a:r>
            <a:r>
              <a:rPr lang="en-GB"/>
              <a:t>Monthly</a:t>
            </a:r>
            <a:r>
              <a:rPr lang="en-GB" baseline="0"/>
              <a:t> Balance vs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Sheet1!$P$71:$AN$71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Sheet1!$P$84:$AN$84</c:f>
              <c:numCache>
                <c:formatCode>"£"#,##0.00</c:formatCode>
                <c:ptCount val="25"/>
                <c:pt idx="0">
                  <c:v>-50846.890000000007</c:v>
                </c:pt>
                <c:pt idx="1">
                  <c:v>-55974.3</c:v>
                </c:pt>
                <c:pt idx="2">
                  <c:v>-58745.601999999999</c:v>
                </c:pt>
                <c:pt idx="3">
                  <c:v>-61628.76</c:v>
                </c:pt>
                <c:pt idx="4">
                  <c:v>-61286.17</c:v>
                </c:pt>
                <c:pt idx="5">
                  <c:v>-59643.58</c:v>
                </c:pt>
                <c:pt idx="6">
                  <c:v>-56550.990000000005</c:v>
                </c:pt>
                <c:pt idx="7">
                  <c:v>-52958.400000000009</c:v>
                </c:pt>
                <c:pt idx="8">
                  <c:v>-48015.810000000012</c:v>
                </c:pt>
                <c:pt idx="9">
                  <c:v>-41828.220000000016</c:v>
                </c:pt>
                <c:pt idx="10">
                  <c:v>-35140.630000000019</c:v>
                </c:pt>
                <c:pt idx="11">
                  <c:v>-27953.040000000019</c:v>
                </c:pt>
                <c:pt idx="12">
                  <c:v>-20265.450000000019</c:v>
                </c:pt>
                <c:pt idx="13">
                  <c:v>-12077.860000000019</c:v>
                </c:pt>
                <c:pt idx="14">
                  <c:v>-3390.2700000000186</c:v>
                </c:pt>
                <c:pt idx="15">
                  <c:v>5797.3199999999815</c:v>
                </c:pt>
                <c:pt idx="16">
                  <c:v>15484.909999999982</c:v>
                </c:pt>
                <c:pt idx="17">
                  <c:v>25672.499999999982</c:v>
                </c:pt>
                <c:pt idx="18">
                  <c:v>36360.089999999982</c:v>
                </c:pt>
                <c:pt idx="19">
                  <c:v>47547.679999999978</c:v>
                </c:pt>
                <c:pt idx="20">
                  <c:v>59235.269999999975</c:v>
                </c:pt>
                <c:pt idx="21">
                  <c:v>71422.859999999971</c:v>
                </c:pt>
                <c:pt idx="22">
                  <c:v>84110.449999999968</c:v>
                </c:pt>
                <c:pt idx="23">
                  <c:v>97298.039999999964</c:v>
                </c:pt>
                <c:pt idx="24">
                  <c:v>110985.62999999996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8-4766-9885-6EC53A021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16911"/>
        <c:axId val="312297615"/>
      </c:scatterChart>
      <c:valAx>
        <c:axId val="475316911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(Months)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97615"/>
        <c:crosses val="autoZero"/>
        <c:crossBetween val="midCat"/>
      </c:valAx>
      <c:valAx>
        <c:axId val="312297615"/>
        <c:scaling>
          <c:orientation val="minMax"/>
          <c:max val="120000"/>
          <c:min val="-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Closing Balance</a:t>
                </a:r>
                <a:endParaRPr lang="en-GB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1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472888</xdr:colOff>
      <xdr:row>46</xdr:row>
      <xdr:rowOff>17929</xdr:rowOff>
    </xdr:from>
    <xdr:to>
      <xdr:col>8</xdr:col>
      <xdr:colOff>851649</xdr:colOff>
      <xdr:row>64</xdr:row>
      <xdr:rowOff>145675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2E193-0138-464C-9C5C-19D6A73E1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1027967</xdr:colOff>
      <xdr:row>91</xdr:row>
      <xdr:rowOff>36918</xdr:rowOff>
    </xdr:from>
    <xdr:to>
      <xdr:col>28</xdr:col>
      <xdr:colOff>283285</xdr:colOff>
      <xdr:row>120</xdr:row>
      <xdr:rowOff>140013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E95C19-7D7B-4EF5-B98F-D793D5552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CF24-BB02-427A-AA3F-BF96BAE5CCAA}">
  <dimension ref="A1:BQ145"/>
  <sheetViews>
    <sheetView tabSelected="1" zoomScale="65" zoomScaleNormal="70" workbookViewId="0">
      <selection activeCell="M85" sqref="M85"/>
    </sheetView>
  </sheetViews>
  <sheetFormatPr defaultRowHeight="14.4" x14ac:dyDescent="0.3"/>
  <cols>
    <col min="1" max="1" width="20.5546875" style="1" bestFit="1" customWidth="1"/>
    <col min="2" max="2" width="10.6640625" style="2" bestFit="1" customWidth="1"/>
    <col min="3" max="3" width="18.109375" style="2" bestFit="1" customWidth="1"/>
    <col min="4" max="4" width="9.77734375" style="3" bestFit="1" customWidth="1"/>
    <col min="5" max="5" width="23.33203125" bestFit="1" customWidth="1"/>
    <col min="6" max="6" width="10.6640625" bestFit="1" customWidth="1"/>
    <col min="7" max="7" width="18.44140625" bestFit="1" customWidth="1"/>
    <col min="8" max="8" width="10.6640625" bestFit="1" customWidth="1"/>
    <col min="9" max="9" width="13" bestFit="1" customWidth="1"/>
    <col min="10" max="10" width="15.5546875" bestFit="1" customWidth="1"/>
    <col min="11" max="11" width="31.33203125" bestFit="1" customWidth="1"/>
    <col min="12" max="12" width="9.77734375" bestFit="1" customWidth="1"/>
    <col min="13" max="13" width="10.88671875" bestFit="1" customWidth="1"/>
    <col min="14" max="14" width="12.77734375" bestFit="1" customWidth="1"/>
    <col min="15" max="15" width="16.109375" bestFit="1" customWidth="1"/>
    <col min="16" max="16" width="17.44140625" bestFit="1" customWidth="1"/>
    <col min="17" max="17" width="11.5546875" bestFit="1" customWidth="1"/>
    <col min="18" max="18" width="26.109375" customWidth="1"/>
    <col min="19" max="19" width="33.5546875" bestFit="1" customWidth="1"/>
    <col min="20" max="20" width="16" bestFit="1" customWidth="1"/>
    <col min="21" max="21" width="16.21875" bestFit="1" customWidth="1"/>
    <col min="22" max="22" width="11.5546875" bestFit="1" customWidth="1"/>
    <col min="23" max="23" width="18.88671875" bestFit="1" customWidth="1"/>
    <col min="24" max="30" width="11.5546875" bestFit="1" customWidth="1"/>
    <col min="31" max="31" width="10.33203125" bestFit="1" customWidth="1"/>
    <col min="32" max="34" width="10.88671875" bestFit="1" customWidth="1"/>
    <col min="35" max="35" width="11.6640625" bestFit="1" customWidth="1"/>
    <col min="36" max="39" width="10.88671875" bestFit="1" customWidth="1"/>
    <col min="40" max="40" width="12" bestFit="1" customWidth="1"/>
    <col min="44" max="44" width="15.21875" bestFit="1" customWidth="1"/>
    <col min="45" max="52" width="10.21875" bestFit="1" customWidth="1"/>
    <col min="53" max="53" width="9.5546875" bestFit="1" customWidth="1"/>
    <col min="54" max="62" width="10.6640625" bestFit="1" customWidth="1"/>
    <col min="63" max="63" width="10" bestFit="1" customWidth="1"/>
    <col min="64" max="69" width="11" bestFit="1" customWidth="1"/>
  </cols>
  <sheetData>
    <row r="1" spans="1:5" s="1" customFormat="1" x14ac:dyDescent="0.3">
      <c r="A1" s="4" t="s">
        <v>0</v>
      </c>
      <c r="B1" s="4" t="s">
        <v>2</v>
      </c>
      <c r="C1" s="5" t="s">
        <v>3</v>
      </c>
      <c r="D1" s="6" t="s">
        <v>5</v>
      </c>
      <c r="E1" s="4" t="s">
        <v>4</v>
      </c>
    </row>
    <row r="2" spans="1:5" x14ac:dyDescent="0.3">
      <c r="A2" s="4" t="s">
        <v>1</v>
      </c>
      <c r="B2" s="7">
        <v>500</v>
      </c>
      <c r="C2" s="7">
        <v>400</v>
      </c>
      <c r="D2" s="8">
        <v>350</v>
      </c>
      <c r="E2" s="9">
        <v>1.5</v>
      </c>
    </row>
    <row r="3" spans="1:5" x14ac:dyDescent="0.3">
      <c r="A3" s="4" t="s">
        <v>6</v>
      </c>
      <c r="B3" s="7">
        <v>500</v>
      </c>
      <c r="C3" s="7">
        <v>200</v>
      </c>
      <c r="D3" s="8">
        <v>350</v>
      </c>
      <c r="E3" s="9">
        <v>1.5</v>
      </c>
    </row>
    <row r="4" spans="1:5" x14ac:dyDescent="0.3">
      <c r="A4" s="4" t="s">
        <v>7</v>
      </c>
      <c r="B4" s="7">
        <v>300</v>
      </c>
      <c r="C4" s="7">
        <v>150</v>
      </c>
      <c r="D4" s="8">
        <v>0</v>
      </c>
      <c r="E4" s="9"/>
    </row>
    <row r="5" spans="1:5" x14ac:dyDescent="0.3">
      <c r="A5" s="4" t="s">
        <v>8</v>
      </c>
      <c r="B5" s="7">
        <v>350</v>
      </c>
      <c r="C5" s="7">
        <v>150</v>
      </c>
      <c r="D5" s="8">
        <v>0</v>
      </c>
      <c r="E5" s="9"/>
    </row>
    <row r="6" spans="1:5" x14ac:dyDescent="0.3">
      <c r="A6" s="4"/>
      <c r="B6" s="7"/>
      <c r="C6" s="7"/>
      <c r="D6" s="8"/>
      <c r="E6" s="9"/>
    </row>
    <row r="7" spans="1:5" x14ac:dyDescent="0.3">
      <c r="A7" s="4" t="s">
        <v>9</v>
      </c>
      <c r="B7" s="7">
        <f>SUM(B2:B5)</f>
        <v>1650</v>
      </c>
      <c r="C7" s="7">
        <f t="shared" ref="C7:D7" si="0">SUM(C2:C5)</f>
        <v>900</v>
      </c>
      <c r="D7" s="7">
        <f t="shared" si="0"/>
        <v>700</v>
      </c>
      <c r="E7" s="9"/>
    </row>
    <row r="8" spans="1:5" x14ac:dyDescent="0.3">
      <c r="A8" s="4" t="s">
        <v>10</v>
      </c>
      <c r="B8" s="7">
        <f>B7+D7</f>
        <v>2350</v>
      </c>
      <c r="C8" s="7">
        <f>C7+D7</f>
        <v>1600</v>
      </c>
      <c r="D8" s="8"/>
      <c r="E8" s="9"/>
    </row>
    <row r="12" spans="1:5" x14ac:dyDescent="0.3">
      <c r="A12" s="4" t="s">
        <v>0</v>
      </c>
      <c r="B12" s="4" t="s">
        <v>2</v>
      </c>
      <c r="C12" s="5" t="s">
        <v>3</v>
      </c>
      <c r="D12" s="6" t="s">
        <v>5</v>
      </c>
      <c r="E12" s="4" t="s">
        <v>4</v>
      </c>
    </row>
    <row r="13" spans="1:5" x14ac:dyDescent="0.3">
      <c r="A13" s="4" t="s">
        <v>11</v>
      </c>
      <c r="B13" s="7">
        <v>2200</v>
      </c>
      <c r="C13" s="7">
        <v>0</v>
      </c>
      <c r="D13" s="8">
        <v>350</v>
      </c>
      <c r="E13" s="9">
        <v>4</v>
      </c>
    </row>
    <row r="14" spans="1:5" x14ac:dyDescent="0.3">
      <c r="A14" s="4" t="s">
        <v>12</v>
      </c>
      <c r="B14" s="7">
        <v>2000</v>
      </c>
      <c r="C14" s="7">
        <v>0</v>
      </c>
      <c r="D14" s="8">
        <v>0</v>
      </c>
      <c r="E14" s="9">
        <v>5</v>
      </c>
    </row>
    <row r="15" spans="1:5" x14ac:dyDescent="0.3">
      <c r="A15" s="4" t="s">
        <v>13</v>
      </c>
      <c r="B15" s="7">
        <v>2550</v>
      </c>
      <c r="C15" s="7">
        <v>860</v>
      </c>
      <c r="D15" s="8">
        <v>0</v>
      </c>
      <c r="E15" s="9">
        <v>15</v>
      </c>
    </row>
    <row r="16" spans="1:5" x14ac:dyDescent="0.3">
      <c r="A16" s="4" t="s">
        <v>7</v>
      </c>
      <c r="B16" s="7">
        <v>300</v>
      </c>
      <c r="C16" s="7">
        <v>150</v>
      </c>
      <c r="D16" s="8">
        <v>0</v>
      </c>
      <c r="E16" s="9">
        <v>0.8</v>
      </c>
    </row>
    <row r="17" spans="1:17" x14ac:dyDescent="0.3">
      <c r="A17" s="4" t="s">
        <v>8</v>
      </c>
      <c r="B17" s="7">
        <v>350</v>
      </c>
      <c r="C17" s="7">
        <v>150</v>
      </c>
      <c r="D17" s="8">
        <v>0</v>
      </c>
      <c r="E17" s="9">
        <v>2.8</v>
      </c>
    </row>
    <row r="18" spans="1:17" x14ac:dyDescent="0.3">
      <c r="A18" s="4"/>
      <c r="B18" s="7"/>
      <c r="C18" s="7"/>
      <c r="D18" s="8"/>
      <c r="E18" s="9"/>
    </row>
    <row r="19" spans="1:17" x14ac:dyDescent="0.3">
      <c r="A19" s="4" t="s">
        <v>9</v>
      </c>
      <c r="B19" s="7">
        <f>SUM(B13:B17)</f>
        <v>7400</v>
      </c>
      <c r="C19" s="7">
        <f>SUM(C13:C17)</f>
        <v>1160</v>
      </c>
      <c r="D19" s="7">
        <f>SUM(D13:D17)</f>
        <v>350</v>
      </c>
      <c r="E19" s="9">
        <f>SUM(E13:E17)</f>
        <v>27.6</v>
      </c>
    </row>
    <row r="20" spans="1:17" x14ac:dyDescent="0.3">
      <c r="A20" s="4" t="s">
        <v>10</v>
      </c>
      <c r="B20" s="7">
        <f>B19+D19</f>
        <v>7750</v>
      </c>
      <c r="C20" s="7">
        <f>C19+D19</f>
        <v>1510</v>
      </c>
      <c r="D20" s="8"/>
      <c r="E20" s="9"/>
    </row>
    <row r="21" spans="1:17" x14ac:dyDescent="0.3">
      <c r="A21" s="4" t="s">
        <v>14</v>
      </c>
      <c r="B21" s="7"/>
      <c r="C21" s="7">
        <f>B20-C20</f>
        <v>6240</v>
      </c>
      <c r="D21" s="8"/>
      <c r="E21" s="9"/>
    </row>
    <row r="25" spans="1:17" x14ac:dyDescent="0.3">
      <c r="A25" s="4" t="s">
        <v>0</v>
      </c>
      <c r="B25" s="4" t="s">
        <v>2</v>
      </c>
      <c r="C25" s="5" t="s">
        <v>3</v>
      </c>
      <c r="D25" s="6" t="s">
        <v>5</v>
      </c>
      <c r="E25" s="4" t="s">
        <v>4</v>
      </c>
      <c r="F25" s="13" t="s">
        <v>15</v>
      </c>
      <c r="G25" s="12" t="s">
        <v>16</v>
      </c>
    </row>
    <row r="26" spans="1:17" x14ac:dyDescent="0.3">
      <c r="A26" s="4" t="s">
        <v>11</v>
      </c>
      <c r="B26" s="7">
        <v>2200</v>
      </c>
      <c r="C26" s="7">
        <v>0</v>
      </c>
      <c r="D26" s="8">
        <v>350</v>
      </c>
      <c r="E26" s="11">
        <v>4</v>
      </c>
      <c r="F26" s="9">
        <v>400</v>
      </c>
      <c r="G26" s="9">
        <v>16</v>
      </c>
      <c r="K26" s="4" t="s">
        <v>33</v>
      </c>
      <c r="L26" s="25" t="s">
        <v>29</v>
      </c>
      <c r="M26" s="24" t="s">
        <v>29</v>
      </c>
      <c r="N26" s="4" t="s">
        <v>30</v>
      </c>
      <c r="P26" t="s">
        <v>31</v>
      </c>
      <c r="Q26" s="22">
        <v>19810.97</v>
      </c>
    </row>
    <row r="27" spans="1:17" x14ac:dyDescent="0.3">
      <c r="A27" s="4" t="s">
        <v>12</v>
      </c>
      <c r="B27" s="7">
        <v>2000</v>
      </c>
      <c r="C27" s="7">
        <v>0</v>
      </c>
      <c r="D27" s="8">
        <v>0</v>
      </c>
      <c r="E27" s="9">
        <v>5</v>
      </c>
      <c r="F27" s="9">
        <v>400</v>
      </c>
      <c r="G27" s="9">
        <v>16</v>
      </c>
      <c r="K27" s="4" t="s">
        <v>31</v>
      </c>
      <c r="L27" s="22"/>
      <c r="M27" s="22">
        <v>19810.97</v>
      </c>
      <c r="N27" s="32">
        <v>94819.09</v>
      </c>
      <c r="P27" t="s">
        <v>28</v>
      </c>
      <c r="Q27">
        <v>5744.1500000000005</v>
      </c>
    </row>
    <row r="28" spans="1:17" x14ac:dyDescent="0.3">
      <c r="A28" s="4" t="s">
        <v>7</v>
      </c>
      <c r="B28" s="7">
        <v>300</v>
      </c>
      <c r="C28" s="7">
        <v>150</v>
      </c>
      <c r="D28" s="8">
        <v>0</v>
      </c>
      <c r="E28" s="9">
        <v>0.8</v>
      </c>
      <c r="F28" s="9">
        <v>230</v>
      </c>
      <c r="G28" s="9">
        <v>3.5</v>
      </c>
      <c r="K28" s="14" t="s">
        <v>37</v>
      </c>
      <c r="L28" s="22"/>
      <c r="M28" s="22"/>
      <c r="N28" s="32"/>
      <c r="P28" t="s">
        <v>25</v>
      </c>
      <c r="Q28">
        <v>4333.22</v>
      </c>
    </row>
    <row r="29" spans="1:17" x14ac:dyDescent="0.3">
      <c r="A29" s="4"/>
      <c r="B29" s="7"/>
      <c r="C29" s="7"/>
      <c r="D29" s="8"/>
      <c r="E29" s="9"/>
      <c r="F29" s="9"/>
      <c r="G29" s="9"/>
      <c r="K29" s="30" t="s">
        <v>34</v>
      </c>
      <c r="L29" s="22">
        <f>112.95*33</f>
        <v>3727.35</v>
      </c>
      <c r="M29" s="22"/>
      <c r="N29" s="32"/>
      <c r="P29" t="s">
        <v>68</v>
      </c>
      <c r="Q29">
        <v>929.82</v>
      </c>
    </row>
    <row r="30" spans="1:17" x14ac:dyDescent="0.3">
      <c r="A30" s="4" t="s">
        <v>9</v>
      </c>
      <c r="B30" s="7">
        <f>SUM(B26:B28)</f>
        <v>4500</v>
      </c>
      <c r="C30" s="7">
        <f>SUM(C26:C28)</f>
        <v>150</v>
      </c>
      <c r="D30" s="7">
        <f t="shared" ref="D30" si="1">SUM(D26:D28)</f>
        <v>350</v>
      </c>
      <c r="E30" s="10">
        <f>SUM(E26:E28)</f>
        <v>9.8000000000000007</v>
      </c>
      <c r="F30" s="9"/>
      <c r="G30" s="9"/>
      <c r="K30" s="31" t="s">
        <v>35</v>
      </c>
      <c r="L30" s="22">
        <f>1645</f>
        <v>1645</v>
      </c>
      <c r="M30" s="22"/>
      <c r="N30" s="32"/>
      <c r="P30" t="s">
        <v>32</v>
      </c>
      <c r="Q30">
        <v>1439.65</v>
      </c>
    </row>
    <row r="31" spans="1:17" x14ac:dyDescent="0.3">
      <c r="A31" s="4" t="s">
        <v>10</v>
      </c>
      <c r="B31" s="7">
        <f>B30+D30</f>
        <v>4850</v>
      </c>
      <c r="C31" s="7">
        <f>C30+D30</f>
        <v>500</v>
      </c>
      <c r="D31" s="8"/>
      <c r="E31" s="9"/>
      <c r="F31" s="9"/>
      <c r="G31" s="9"/>
      <c r="K31" s="31" t="s">
        <v>36</v>
      </c>
      <c r="L31" s="22">
        <f>92.95*4</f>
        <v>371.8</v>
      </c>
      <c r="M31" s="22"/>
      <c r="N31" s="32"/>
      <c r="P31" t="s">
        <v>69</v>
      </c>
      <c r="Q31" s="34">
        <v>155</v>
      </c>
    </row>
    <row r="32" spans="1:17" x14ac:dyDescent="0.3">
      <c r="A32" s="4" t="s">
        <v>27</v>
      </c>
      <c r="B32" s="22">
        <v>4382.6899999999996</v>
      </c>
      <c r="C32" s="22">
        <v>451.82</v>
      </c>
      <c r="D32" s="21"/>
      <c r="K32" s="13" t="s">
        <v>9</v>
      </c>
      <c r="L32" s="26"/>
      <c r="M32" s="26">
        <f>SUM(L29:L31)</f>
        <v>5744.1500000000005</v>
      </c>
      <c r="N32" s="32">
        <v>27492.6</v>
      </c>
      <c r="P32" t="s">
        <v>50</v>
      </c>
      <c r="Q32" s="22">
        <v>100</v>
      </c>
    </row>
    <row r="33" spans="1:69" x14ac:dyDescent="0.3">
      <c r="K33" s="14" t="s">
        <v>38</v>
      </c>
      <c r="L33" s="22"/>
      <c r="M33" s="22">
        <f>((B35)*4*3)+(2400*3)</f>
        <v>12102.24</v>
      </c>
      <c r="N33" s="32">
        <v>23463.06</v>
      </c>
      <c r="P33" t="s">
        <v>51</v>
      </c>
      <c r="Q33" s="22">
        <v>40</v>
      </c>
    </row>
    <row r="34" spans="1:69" x14ac:dyDescent="0.3">
      <c r="A34" s="14" t="s">
        <v>20</v>
      </c>
      <c r="B34" s="16" t="s">
        <v>18</v>
      </c>
      <c r="C34" s="16" t="s">
        <v>17</v>
      </c>
      <c r="D34" s="17" t="s">
        <v>19</v>
      </c>
      <c r="K34" s="14" t="s">
        <v>0</v>
      </c>
      <c r="L34" s="24"/>
      <c r="M34" s="22"/>
      <c r="N34" s="32"/>
      <c r="P34" t="s">
        <v>48</v>
      </c>
      <c r="Q34" s="22">
        <v>15000</v>
      </c>
    </row>
    <row r="35" spans="1:69" x14ac:dyDescent="0.3">
      <c r="A35" s="14"/>
      <c r="B35" s="15">
        <v>408.52</v>
      </c>
      <c r="C35" s="15">
        <v>1612.69</v>
      </c>
      <c r="D35" s="15">
        <v>7207.92</v>
      </c>
      <c r="K35" s="30" t="s">
        <v>11</v>
      </c>
      <c r="L35" s="22">
        <v>2278.29</v>
      </c>
      <c r="M35" s="22"/>
      <c r="N35" s="32"/>
      <c r="P35" t="s">
        <v>9</v>
      </c>
      <c r="Q35" s="21">
        <f>SUM(Q26:Q34)</f>
        <v>47552.810000000005</v>
      </c>
      <c r="W35" t="s">
        <v>87</v>
      </c>
      <c r="X35" s="21">
        <f>AVERAGE(L40:L44)</f>
        <v>277.96400000000006</v>
      </c>
    </row>
    <row r="36" spans="1:69" x14ac:dyDescent="0.3">
      <c r="G36" s="4" t="s">
        <v>24</v>
      </c>
      <c r="H36" s="24" t="s">
        <v>29</v>
      </c>
      <c r="I36" s="4" t="s">
        <v>30</v>
      </c>
      <c r="K36" s="30" t="s">
        <v>12</v>
      </c>
      <c r="L36" s="22">
        <v>1786.9</v>
      </c>
      <c r="M36" s="22"/>
      <c r="N36" s="32"/>
    </row>
    <row r="37" spans="1:69" x14ac:dyDescent="0.3">
      <c r="A37" s="4" t="s">
        <v>21</v>
      </c>
      <c r="B37" s="5" t="s">
        <v>22</v>
      </c>
      <c r="C37" s="18"/>
      <c r="D37" s="19"/>
      <c r="G37" s="4" t="s">
        <v>31</v>
      </c>
      <c r="H37" s="15">
        <f>M27</f>
        <v>19810.97</v>
      </c>
      <c r="I37" s="33">
        <f>N27</f>
        <v>94819.09</v>
      </c>
      <c r="K37" s="30" t="s">
        <v>7</v>
      </c>
      <c r="L37" s="22">
        <v>268.02999999999997</v>
      </c>
      <c r="M37" s="22"/>
      <c r="N37" s="32"/>
    </row>
    <row r="38" spans="1:69" x14ac:dyDescent="0.3">
      <c r="A38" s="4"/>
      <c r="B38" s="15">
        <v>4049.9</v>
      </c>
      <c r="C38" s="20"/>
      <c r="D38" s="19"/>
      <c r="G38" s="4" t="s">
        <v>28</v>
      </c>
      <c r="H38" s="15">
        <f>M32</f>
        <v>5744.1500000000005</v>
      </c>
      <c r="I38" s="33">
        <f>N32</f>
        <v>27492.6</v>
      </c>
      <c r="K38" s="14" t="s">
        <v>9</v>
      </c>
      <c r="L38" s="22"/>
      <c r="M38" s="22">
        <f>SUM(L35:L37)</f>
        <v>4333.22</v>
      </c>
      <c r="N38" s="32">
        <v>20739.62</v>
      </c>
    </row>
    <row r="39" spans="1:69" x14ac:dyDescent="0.3">
      <c r="C39" s="18"/>
      <c r="D39" s="19"/>
      <c r="G39" s="4" t="s">
        <v>26</v>
      </c>
      <c r="H39" s="15">
        <f>M33</f>
        <v>12102.24</v>
      </c>
      <c r="I39" s="33">
        <v>57508.86</v>
      </c>
      <c r="K39" s="14" t="s">
        <v>79</v>
      </c>
      <c r="L39" s="22"/>
      <c r="M39" s="22"/>
      <c r="N39" s="32"/>
    </row>
    <row r="40" spans="1:69" x14ac:dyDescent="0.3">
      <c r="G40" s="4" t="s">
        <v>25</v>
      </c>
      <c r="H40" s="15">
        <f>M38</f>
        <v>4333.22</v>
      </c>
      <c r="I40" s="33">
        <f>N38</f>
        <v>20739.62</v>
      </c>
      <c r="K40" s="30" t="s">
        <v>44</v>
      </c>
      <c r="L40" s="22">
        <v>383.87</v>
      </c>
      <c r="M40" s="22"/>
      <c r="N40" s="32"/>
      <c r="W40" s="22">
        <v>60</v>
      </c>
    </row>
    <row r="41" spans="1:69" x14ac:dyDescent="0.3">
      <c r="G41" s="4" t="s">
        <v>90</v>
      </c>
      <c r="H41" s="15">
        <f>M46</f>
        <v>3389.82</v>
      </c>
      <c r="I41" s="33">
        <f>N46</f>
        <v>16224.33</v>
      </c>
      <c r="K41" s="30" t="s">
        <v>43</v>
      </c>
      <c r="L41" s="22">
        <v>162.08000000000001</v>
      </c>
      <c r="M41" s="22"/>
      <c r="N41" s="32"/>
      <c r="W41" s="22">
        <v>2000</v>
      </c>
    </row>
    <row r="42" spans="1:69" x14ac:dyDescent="0.3">
      <c r="G42" s="4" t="s">
        <v>32</v>
      </c>
      <c r="H42" s="15">
        <f>M51</f>
        <v>1439.65</v>
      </c>
      <c r="I42" s="33">
        <f>N51</f>
        <v>6890.44</v>
      </c>
      <c r="K42" s="30" t="s">
        <v>42</v>
      </c>
      <c r="L42" s="22">
        <v>383.87</v>
      </c>
      <c r="M42" s="22"/>
      <c r="N42" s="32"/>
      <c r="W42" s="22">
        <v>400</v>
      </c>
    </row>
    <row r="43" spans="1:69" x14ac:dyDescent="0.3">
      <c r="G43" s="13" t="s">
        <v>48</v>
      </c>
      <c r="H43" s="15">
        <f>M58</f>
        <v>15000</v>
      </c>
      <c r="I43" s="33">
        <f>N58</f>
        <v>47519.19</v>
      </c>
      <c r="K43" s="30" t="s">
        <v>41</v>
      </c>
      <c r="L43" s="22">
        <v>60</v>
      </c>
      <c r="M43" s="22"/>
      <c r="N43" s="32"/>
    </row>
    <row r="44" spans="1:69" x14ac:dyDescent="0.3">
      <c r="A44" s="4" t="s">
        <v>23</v>
      </c>
      <c r="B44" s="15">
        <f>B31+B35+B38</f>
        <v>9308.42</v>
      </c>
      <c r="G44" s="13" t="s">
        <v>55</v>
      </c>
      <c r="H44" s="21">
        <f>L53+L54+L55+L56</f>
        <v>3415</v>
      </c>
      <c r="I44" s="33">
        <f>N53+N54+N55+N56</f>
        <v>1995.53</v>
      </c>
      <c r="K44" s="30" t="s">
        <v>39</v>
      </c>
      <c r="L44" s="22">
        <v>400</v>
      </c>
      <c r="M44" s="22"/>
      <c r="N44" s="32"/>
    </row>
    <row r="45" spans="1:69" x14ac:dyDescent="0.3">
      <c r="G45" s="4" t="s">
        <v>9</v>
      </c>
      <c r="H45" s="39">
        <f>M59</f>
        <v>65235.05</v>
      </c>
      <c r="I45" s="40">
        <f>N59</f>
        <v>239143.86</v>
      </c>
      <c r="K45" s="30" t="s">
        <v>40</v>
      </c>
      <c r="L45" s="22">
        <v>2000</v>
      </c>
      <c r="M45" s="22"/>
      <c r="N45" s="32"/>
    </row>
    <row r="46" spans="1:69" x14ac:dyDescent="0.3">
      <c r="K46" s="14" t="s">
        <v>9</v>
      </c>
      <c r="L46" s="22"/>
      <c r="M46" s="22">
        <f>SUM(L40:L45)</f>
        <v>3389.82</v>
      </c>
      <c r="N46" s="32">
        <v>16224.33</v>
      </c>
      <c r="AR46" s="43"/>
      <c r="AS46" s="71" t="s">
        <v>80</v>
      </c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</row>
    <row r="47" spans="1:69" x14ac:dyDescent="0.3">
      <c r="K47" s="14" t="s">
        <v>32</v>
      </c>
      <c r="L47" s="22"/>
      <c r="M47" s="22"/>
      <c r="N47" s="32"/>
      <c r="AR47" s="44"/>
      <c r="AS47" s="42">
        <v>0</v>
      </c>
      <c r="AT47" s="42">
        <f>AS47+1</f>
        <v>1</v>
      </c>
      <c r="AU47" s="42">
        <f t="shared" ref="AU47" si="2">AT47+1</f>
        <v>2</v>
      </c>
      <c r="AV47" s="42">
        <f t="shared" ref="AV47" si="3">AU47+1</f>
        <v>3</v>
      </c>
      <c r="AW47" s="42">
        <f>AV47+1</f>
        <v>4</v>
      </c>
      <c r="AX47" s="42">
        <f t="shared" ref="AX47" si="4">AW47+1</f>
        <v>5</v>
      </c>
      <c r="AY47" s="42">
        <f>AX47+1</f>
        <v>6</v>
      </c>
      <c r="AZ47" s="42">
        <f t="shared" ref="AZ47" si="5">AY47+1</f>
        <v>7</v>
      </c>
      <c r="BA47" s="42">
        <f t="shared" ref="BA47" si="6">AZ47+1</f>
        <v>8</v>
      </c>
      <c r="BB47" s="42">
        <f t="shared" ref="BB47" si="7">BA47+1</f>
        <v>9</v>
      </c>
      <c r="BC47" s="42">
        <f t="shared" ref="BC47" si="8">BB47+1</f>
        <v>10</v>
      </c>
      <c r="BD47" s="42">
        <f t="shared" ref="BD47" si="9">BC47+1</f>
        <v>11</v>
      </c>
      <c r="BE47" s="42">
        <f t="shared" ref="BE47" si="10">BD47+1</f>
        <v>12</v>
      </c>
      <c r="BF47" s="42">
        <f t="shared" ref="BF47" si="11">BE47+1</f>
        <v>13</v>
      </c>
      <c r="BG47" s="42">
        <f t="shared" ref="BG47" si="12">BF47+1</f>
        <v>14</v>
      </c>
      <c r="BH47" s="42">
        <f t="shared" ref="BH47" si="13">BG47+1</f>
        <v>15</v>
      </c>
      <c r="BI47" s="42">
        <f t="shared" ref="BI47" si="14">BH47+1</f>
        <v>16</v>
      </c>
      <c r="BJ47" s="42">
        <f t="shared" ref="BJ47" si="15">BI47+1</f>
        <v>17</v>
      </c>
      <c r="BK47" s="42">
        <f t="shared" ref="BK47" si="16">BJ47+1</f>
        <v>18</v>
      </c>
      <c r="BL47" s="42">
        <f t="shared" ref="BL47" si="17">BK47+1</f>
        <v>19</v>
      </c>
      <c r="BM47" s="42">
        <f t="shared" ref="BM47" si="18">BL47+1</f>
        <v>20</v>
      </c>
      <c r="BN47" s="42">
        <f t="shared" ref="BN47" si="19">BM47+1</f>
        <v>21</v>
      </c>
      <c r="BO47" s="42">
        <f t="shared" ref="BO47" si="20">BN47+1</f>
        <v>22</v>
      </c>
      <c r="BP47" s="42">
        <f t="shared" ref="BP47" si="21">BO47+1</f>
        <v>23</v>
      </c>
      <c r="BQ47" s="42">
        <f t="shared" ref="BQ47" si="22">BP47+1</f>
        <v>24</v>
      </c>
    </row>
    <row r="48" spans="1:69" x14ac:dyDescent="0.3">
      <c r="K48" s="28" t="s">
        <v>45</v>
      </c>
      <c r="L48" s="22">
        <v>900.51</v>
      </c>
      <c r="M48" s="22"/>
      <c r="N48" s="32"/>
      <c r="AR48" s="48" t="s">
        <v>58</v>
      </c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</row>
    <row r="49" spans="11:69" x14ac:dyDescent="0.3">
      <c r="K49" s="28" t="s">
        <v>46</v>
      </c>
      <c r="L49" s="22">
        <v>138.69</v>
      </c>
      <c r="M49" s="22"/>
      <c r="N49" s="32"/>
      <c r="AR49" s="50" t="s">
        <v>59</v>
      </c>
      <c r="AS49" s="49">
        <v>0</v>
      </c>
      <c r="AT49" s="49">
        <v>0</v>
      </c>
      <c r="AU49" s="49">
        <v>0</v>
      </c>
      <c r="AV49" s="49">
        <v>0</v>
      </c>
      <c r="AW49" s="49">
        <v>0</v>
      </c>
      <c r="AX49" s="49">
        <v>0</v>
      </c>
      <c r="AY49" s="49">
        <v>0</v>
      </c>
      <c r="AZ49" s="49">
        <v>0</v>
      </c>
      <c r="BA49" s="49">
        <v>0</v>
      </c>
      <c r="BB49" s="49">
        <v>0</v>
      </c>
      <c r="BC49" s="49">
        <v>0</v>
      </c>
      <c r="BD49" s="49">
        <v>0</v>
      </c>
      <c r="BE49" s="49">
        <v>0</v>
      </c>
      <c r="BF49" s="49">
        <v>0</v>
      </c>
      <c r="BG49" s="49">
        <v>0</v>
      </c>
      <c r="BH49" s="49">
        <v>0</v>
      </c>
      <c r="BI49" s="49">
        <v>0</v>
      </c>
      <c r="BJ49" s="49">
        <v>0</v>
      </c>
      <c r="BK49" s="49">
        <v>0</v>
      </c>
      <c r="BL49" s="49">
        <v>0</v>
      </c>
      <c r="BM49" s="49">
        <v>0</v>
      </c>
      <c r="BN49" s="49">
        <v>0</v>
      </c>
      <c r="BO49" s="49">
        <v>0</v>
      </c>
      <c r="BP49" s="49">
        <v>0</v>
      </c>
      <c r="BQ49" s="49">
        <v>0</v>
      </c>
    </row>
    <row r="50" spans="11:69" x14ac:dyDescent="0.3">
      <c r="K50" s="29" t="s">
        <v>47</v>
      </c>
      <c r="L50" s="34">
        <v>400.45</v>
      </c>
      <c r="M50" s="22"/>
      <c r="N50" s="32"/>
      <c r="AR50" s="50" t="s">
        <v>71</v>
      </c>
      <c r="AS50" s="51">
        <v>1000</v>
      </c>
      <c r="AT50" s="51">
        <f>AS50+500</f>
        <v>1500</v>
      </c>
      <c r="AU50" s="51">
        <f t="shared" ref="AU50" si="23">AT50+500</f>
        <v>2000</v>
      </c>
      <c r="AV50" s="51">
        <f t="shared" ref="AV50" si="24">AU50+500</f>
        <v>2500</v>
      </c>
      <c r="AW50" s="51">
        <f>AV50+500</f>
        <v>3000</v>
      </c>
      <c r="AX50" s="51">
        <f t="shared" ref="AX50" si="25">AW50+500</f>
        <v>3500</v>
      </c>
      <c r="AY50" s="51">
        <f>AX50+500</f>
        <v>4000</v>
      </c>
      <c r="AZ50" s="51">
        <f t="shared" ref="AZ50" si="26">AY50+500</f>
        <v>4500</v>
      </c>
      <c r="BA50" s="51">
        <f t="shared" ref="BA50" si="27">AZ50+500</f>
        <v>5000</v>
      </c>
      <c r="BB50" s="51">
        <f t="shared" ref="BB50" si="28">BA50+500</f>
        <v>5500</v>
      </c>
      <c r="BC50" s="51">
        <f t="shared" ref="BC50" si="29">BB50+500</f>
        <v>6000</v>
      </c>
      <c r="BD50" s="51">
        <f t="shared" ref="BD50" si="30">BC50+500</f>
        <v>6500</v>
      </c>
      <c r="BE50" s="51">
        <f t="shared" ref="BE50" si="31">BD50+500</f>
        <v>7000</v>
      </c>
      <c r="BF50" s="51">
        <f t="shared" ref="BF50" si="32">BE50+500</f>
        <v>7500</v>
      </c>
      <c r="BG50" s="51">
        <f t="shared" ref="BG50" si="33">BF50+500</f>
        <v>8000</v>
      </c>
      <c r="BH50" s="51">
        <f t="shared" ref="BH50" si="34">BG50+500</f>
        <v>8500</v>
      </c>
      <c r="BI50" s="51">
        <f t="shared" ref="BI50" si="35">BH50+500</f>
        <v>9000</v>
      </c>
      <c r="BJ50" s="51">
        <f t="shared" ref="BJ50" si="36">BI50+500</f>
        <v>9500</v>
      </c>
      <c r="BK50" s="51">
        <f t="shared" ref="BK50" si="37">BJ50+500</f>
        <v>10000</v>
      </c>
      <c r="BL50" s="51">
        <f t="shared" ref="BL50" si="38">BK50+500</f>
        <v>10500</v>
      </c>
      <c r="BM50" s="51">
        <f t="shared" ref="BM50" si="39">BL50+500</f>
        <v>11000</v>
      </c>
      <c r="BN50" s="51">
        <f t="shared" ref="BN50" si="40">BM50+500</f>
        <v>11500</v>
      </c>
      <c r="BO50" s="51">
        <f t="shared" ref="BO50" si="41">BN50+500</f>
        <v>12000</v>
      </c>
      <c r="BP50" s="51">
        <f t="shared" ref="BP50" si="42">BO50+500</f>
        <v>12500</v>
      </c>
      <c r="BQ50" s="51">
        <f t="shared" ref="BQ50" si="43">BP50+500</f>
        <v>13000</v>
      </c>
    </row>
    <row r="51" spans="11:69" x14ac:dyDescent="0.3">
      <c r="K51" s="13" t="s">
        <v>9</v>
      </c>
      <c r="L51" s="9"/>
      <c r="M51" s="22">
        <f>SUM(L48:L50)</f>
        <v>1439.65</v>
      </c>
      <c r="N51" s="23">
        <v>6890.44</v>
      </c>
      <c r="AR51" s="50" t="s">
        <v>66</v>
      </c>
      <c r="AS51" s="49">
        <v>0</v>
      </c>
      <c r="AT51" s="49">
        <f>15*$T$135+5*$T$136</f>
        <v>105</v>
      </c>
      <c r="AU51" s="49">
        <f>(30*$T$135)+(10*$T$136)+($T$138*5)</f>
        <v>335</v>
      </c>
      <c r="AV51" s="49">
        <f>(30*$T$135)+(10*$T$136)+($T$138*5)+(15*$T$139)+(15*$T$140)+($T$141*20)+($T$142*10)+($T$143*5)+($T$144*5)</f>
        <v>835</v>
      </c>
      <c r="AW51" s="49">
        <f>(50*$T$135)+(20*$T$136)+($T$138*10)+(25*$T$139)+(30*$T$140)+($T$141*40)+($T$142*20)+($T$143*15)+($T$144*10)</f>
        <v>1615</v>
      </c>
      <c r="AX51" s="49">
        <f>(60*$T$135)+(30*$T$136)+($T$138*20)+(35*$T$139)+(40*$T$140)+($T$141*50)+($T$142*30)+($T$143*25)+($T$144*20)</f>
        <v>2415</v>
      </c>
      <c r="AY51" s="49">
        <f>(70*$T$135)+(40*$T$136)+($T$138*30)+(45*$T$139)+(50*$T$140)+($T$141*60)+($T$142*70)+($T$143*35)+($T$144*30)</f>
        <v>3365</v>
      </c>
      <c r="AZ51" s="49">
        <f>(70*$T$135)+(40*$T$136)+($T$138*30)+(45*$T$139)+(50*$T$140)+($T$141*60)+($T$142*70)+($T$143*35)+($T$144*30)</f>
        <v>3365</v>
      </c>
      <c r="BA51" s="49">
        <f>(80*$T$135)+(50*$T$136)+($T$138*40)+(60*$T$139)+(60*$T$140)+($T$141*70)+($T$142*80)+($T$143*45)+($T$144*40)</f>
        <v>4215</v>
      </c>
      <c r="BB51" s="49">
        <f t="shared" ref="BB51:BQ51" si="44">(100*$T$135)+(55*$T$136)+($T$138*50)+(70*$T$139)+(70*$T$140)+($T$141*80)+($T$142*90)+($T$143*50)+($T$144*50)</f>
        <v>4960</v>
      </c>
      <c r="BC51" s="49">
        <f t="shared" si="44"/>
        <v>4960</v>
      </c>
      <c r="BD51" s="49">
        <f t="shared" si="44"/>
        <v>4960</v>
      </c>
      <c r="BE51" s="49">
        <f t="shared" si="44"/>
        <v>4960</v>
      </c>
      <c r="BF51" s="49">
        <f t="shared" si="44"/>
        <v>4960</v>
      </c>
      <c r="BG51" s="49">
        <f t="shared" si="44"/>
        <v>4960</v>
      </c>
      <c r="BH51" s="49">
        <f t="shared" si="44"/>
        <v>4960</v>
      </c>
      <c r="BI51" s="49">
        <f t="shared" si="44"/>
        <v>4960</v>
      </c>
      <c r="BJ51" s="49">
        <f t="shared" si="44"/>
        <v>4960</v>
      </c>
      <c r="BK51" s="49">
        <f t="shared" si="44"/>
        <v>4960</v>
      </c>
      <c r="BL51" s="49">
        <f t="shared" si="44"/>
        <v>4960</v>
      </c>
      <c r="BM51" s="49">
        <f t="shared" si="44"/>
        <v>4960</v>
      </c>
      <c r="BN51" s="49">
        <f t="shared" si="44"/>
        <v>4960</v>
      </c>
      <c r="BO51" s="49">
        <f t="shared" si="44"/>
        <v>4960</v>
      </c>
      <c r="BP51" s="49">
        <f t="shared" si="44"/>
        <v>4960</v>
      </c>
      <c r="BQ51" s="49">
        <f t="shared" si="44"/>
        <v>4960</v>
      </c>
    </row>
    <row r="52" spans="11:69" x14ac:dyDescent="0.3">
      <c r="K52" s="13" t="s">
        <v>55</v>
      </c>
      <c r="L52" s="9"/>
      <c r="M52" s="22"/>
      <c r="N52" s="23"/>
      <c r="AR52" s="52" t="s">
        <v>9</v>
      </c>
      <c r="AS52" s="49">
        <f t="shared" ref="AS52:BQ52" si="45">SUM(AS49:AS51)</f>
        <v>1000</v>
      </c>
      <c r="AT52" s="49">
        <f t="shared" si="45"/>
        <v>1605</v>
      </c>
      <c r="AU52" s="49">
        <f t="shared" si="45"/>
        <v>2335</v>
      </c>
      <c r="AV52" s="49">
        <f t="shared" si="45"/>
        <v>3335</v>
      </c>
      <c r="AW52" s="49">
        <f t="shared" si="45"/>
        <v>4615</v>
      </c>
      <c r="AX52" s="49">
        <f t="shared" si="45"/>
        <v>5915</v>
      </c>
      <c r="AY52" s="49">
        <f t="shared" si="45"/>
        <v>7365</v>
      </c>
      <c r="AZ52" s="49">
        <f t="shared" si="45"/>
        <v>7865</v>
      </c>
      <c r="BA52" s="49">
        <f t="shared" si="45"/>
        <v>9215</v>
      </c>
      <c r="BB52" s="49">
        <f t="shared" si="45"/>
        <v>10460</v>
      </c>
      <c r="BC52" s="49">
        <f t="shared" si="45"/>
        <v>10960</v>
      </c>
      <c r="BD52" s="49">
        <f t="shared" si="45"/>
        <v>11460</v>
      </c>
      <c r="BE52" s="49">
        <f t="shared" si="45"/>
        <v>11960</v>
      </c>
      <c r="BF52" s="49">
        <f t="shared" si="45"/>
        <v>12460</v>
      </c>
      <c r="BG52" s="49">
        <f t="shared" si="45"/>
        <v>12960</v>
      </c>
      <c r="BH52" s="49">
        <f t="shared" si="45"/>
        <v>13460</v>
      </c>
      <c r="BI52" s="49">
        <f t="shared" si="45"/>
        <v>13960</v>
      </c>
      <c r="BJ52" s="49">
        <f t="shared" si="45"/>
        <v>14460</v>
      </c>
      <c r="BK52" s="49">
        <f t="shared" si="45"/>
        <v>14960</v>
      </c>
      <c r="BL52" s="49">
        <f t="shared" si="45"/>
        <v>15460</v>
      </c>
      <c r="BM52" s="49">
        <f t="shared" si="45"/>
        <v>15960</v>
      </c>
      <c r="BN52" s="49">
        <f t="shared" si="45"/>
        <v>16460</v>
      </c>
      <c r="BO52" s="49">
        <f t="shared" si="45"/>
        <v>16960</v>
      </c>
      <c r="BP52" s="49">
        <f t="shared" si="45"/>
        <v>17460</v>
      </c>
      <c r="BQ52" s="49">
        <f t="shared" si="45"/>
        <v>17960</v>
      </c>
    </row>
    <row r="53" spans="11:69" x14ac:dyDescent="0.3">
      <c r="K53" s="31" t="s">
        <v>56</v>
      </c>
      <c r="L53" s="35">
        <f>52*60</f>
        <v>3120</v>
      </c>
      <c r="M53" s="9"/>
      <c r="N53" s="41">
        <v>577.02</v>
      </c>
      <c r="AR53" s="45" t="s">
        <v>60</v>
      </c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</row>
    <row r="54" spans="11:69" x14ac:dyDescent="0.3">
      <c r="K54" s="31" t="s">
        <v>49</v>
      </c>
      <c r="L54" s="34">
        <v>155</v>
      </c>
      <c r="M54" s="9"/>
      <c r="N54" s="41">
        <v>745.32</v>
      </c>
      <c r="AR54" s="47" t="s">
        <v>67</v>
      </c>
      <c r="AS54" s="46">
        <f>2400+(AE11*4)</f>
        <v>2400</v>
      </c>
      <c r="AT54" s="46">
        <f>2400+(AE11*4)</f>
        <v>2400</v>
      </c>
      <c r="AU54" s="46">
        <f>2400+(AE11*4)</f>
        <v>2400</v>
      </c>
      <c r="AV54" s="46">
        <f t="shared" ref="AV54:BQ54" si="46">2400+(408.52*4)</f>
        <v>4034.08</v>
      </c>
      <c r="AW54" s="46">
        <f t="shared" si="46"/>
        <v>4034.08</v>
      </c>
      <c r="AX54" s="46">
        <f t="shared" si="46"/>
        <v>4034.08</v>
      </c>
      <c r="AY54" s="46">
        <f t="shared" si="46"/>
        <v>4034.08</v>
      </c>
      <c r="AZ54" s="46">
        <f t="shared" si="46"/>
        <v>4034.08</v>
      </c>
      <c r="BA54" s="46">
        <f t="shared" si="46"/>
        <v>4034.08</v>
      </c>
      <c r="BB54" s="46">
        <f t="shared" si="46"/>
        <v>4034.08</v>
      </c>
      <c r="BC54" s="46">
        <f t="shared" si="46"/>
        <v>4034.08</v>
      </c>
      <c r="BD54" s="46">
        <f t="shared" si="46"/>
        <v>4034.08</v>
      </c>
      <c r="BE54" s="46">
        <f t="shared" si="46"/>
        <v>4034.08</v>
      </c>
      <c r="BF54" s="46">
        <f t="shared" si="46"/>
        <v>4034.08</v>
      </c>
      <c r="BG54" s="46">
        <f t="shared" si="46"/>
        <v>4034.08</v>
      </c>
      <c r="BH54" s="46">
        <f t="shared" si="46"/>
        <v>4034.08</v>
      </c>
      <c r="BI54" s="46">
        <f t="shared" si="46"/>
        <v>4034.08</v>
      </c>
      <c r="BJ54" s="46">
        <f t="shared" si="46"/>
        <v>4034.08</v>
      </c>
      <c r="BK54" s="46">
        <f t="shared" si="46"/>
        <v>4034.08</v>
      </c>
      <c r="BL54" s="46">
        <f t="shared" si="46"/>
        <v>4034.08</v>
      </c>
      <c r="BM54" s="46">
        <f t="shared" si="46"/>
        <v>4034.08</v>
      </c>
      <c r="BN54" s="46">
        <f t="shared" si="46"/>
        <v>4034.08</v>
      </c>
      <c r="BO54" s="46">
        <f t="shared" si="46"/>
        <v>4034.08</v>
      </c>
      <c r="BP54" s="46">
        <f t="shared" si="46"/>
        <v>4034.08</v>
      </c>
      <c r="BQ54" s="46">
        <f t="shared" si="46"/>
        <v>4034.08</v>
      </c>
    </row>
    <row r="55" spans="11:69" x14ac:dyDescent="0.3">
      <c r="K55" s="31" t="s">
        <v>50</v>
      </c>
      <c r="L55" s="22">
        <v>100</v>
      </c>
      <c r="M55" s="9"/>
      <c r="N55" s="41">
        <v>480.85</v>
      </c>
      <c r="AR55" s="47" t="s">
        <v>70</v>
      </c>
      <c r="AS55" s="46">
        <f>AN108</f>
        <v>0</v>
      </c>
      <c r="AT55" s="46">
        <v>2460</v>
      </c>
      <c r="AU55" s="46">
        <f>BA11*3</f>
        <v>0</v>
      </c>
      <c r="AV55" s="46">
        <f>BA11*7</f>
        <v>0</v>
      </c>
      <c r="AW55" s="46">
        <f t="shared" ref="AW55" si="47">BB41</f>
        <v>0</v>
      </c>
      <c r="AX55" s="46">
        <f t="shared" ref="AX55" si="48">BC41</f>
        <v>0</v>
      </c>
      <c r="AY55" s="46">
        <f t="shared" ref="AY55" si="49">BD41</f>
        <v>0</v>
      </c>
      <c r="AZ55" s="46">
        <f t="shared" ref="AZ55" si="50">BE41</f>
        <v>0</v>
      </c>
      <c r="BA55" s="46">
        <f t="shared" ref="BA55" si="51">BF41</f>
        <v>0</v>
      </c>
      <c r="BB55" s="46">
        <f t="shared" ref="BB55" si="52">BG41</f>
        <v>0</v>
      </c>
      <c r="BC55" s="46">
        <f t="shared" ref="BC55" si="53">BH41</f>
        <v>0</v>
      </c>
      <c r="BD55" s="46">
        <f t="shared" ref="BD55" si="54">BI41</f>
        <v>0</v>
      </c>
      <c r="BE55" s="46">
        <f t="shared" ref="BE55" si="55">BJ41</f>
        <v>0</v>
      </c>
      <c r="BF55" s="46">
        <f t="shared" ref="BF55" si="56">BK41</f>
        <v>0</v>
      </c>
      <c r="BG55" s="46">
        <f t="shared" ref="BG55" si="57">BL41</f>
        <v>0</v>
      </c>
      <c r="BH55" s="46">
        <f t="shared" ref="BH55" si="58">BM41</f>
        <v>0</v>
      </c>
      <c r="BI55" s="46">
        <f t="shared" ref="BI55" si="59">BN41</f>
        <v>0</v>
      </c>
      <c r="BJ55" s="46">
        <f t="shared" ref="BJ55" si="60">BO41</f>
        <v>0</v>
      </c>
      <c r="BK55" s="46">
        <f t="shared" ref="BK55" si="61">BP41</f>
        <v>0</v>
      </c>
      <c r="BL55" s="46">
        <f t="shared" ref="BL55" si="62">BQ41</f>
        <v>0</v>
      </c>
      <c r="BM55" s="46">
        <f t="shared" ref="BM55" si="63">BR41</f>
        <v>0</v>
      </c>
      <c r="BN55" s="46">
        <f t="shared" ref="BN55" si="64">BS41</f>
        <v>0</v>
      </c>
      <c r="BO55" s="46">
        <f t="shared" ref="BO55" si="65">BT41</f>
        <v>0</v>
      </c>
      <c r="BP55" s="46">
        <f t="shared" ref="BP55" si="66">BU41</f>
        <v>0</v>
      </c>
      <c r="BQ55" s="46">
        <f t="shared" ref="BQ55" si="67">BV41</f>
        <v>0</v>
      </c>
    </row>
    <row r="56" spans="11:69" x14ac:dyDescent="0.3">
      <c r="K56" s="59" t="s">
        <v>51</v>
      </c>
      <c r="L56" s="22">
        <v>40</v>
      </c>
      <c r="M56" s="9"/>
      <c r="N56" s="41">
        <v>192.34</v>
      </c>
      <c r="AR56" s="47" t="s">
        <v>62</v>
      </c>
      <c r="AS56" s="46">
        <v>260</v>
      </c>
      <c r="AT56" s="46">
        <v>238.33</v>
      </c>
      <c r="AU56" s="46">
        <v>238.33</v>
      </c>
      <c r="AV56" s="46">
        <v>238.33</v>
      </c>
      <c r="AW56" s="46">
        <v>238.33</v>
      </c>
      <c r="AX56" s="46">
        <v>238.33</v>
      </c>
      <c r="AY56" s="46">
        <v>238.33</v>
      </c>
      <c r="AZ56" s="46">
        <v>238.33</v>
      </c>
      <c r="BA56" s="46">
        <v>238.33</v>
      </c>
      <c r="BB56" s="46">
        <v>238.33</v>
      </c>
      <c r="BC56" s="46">
        <v>238.33</v>
      </c>
      <c r="BD56" s="46">
        <v>238.33</v>
      </c>
      <c r="BE56" s="46">
        <v>238.33</v>
      </c>
      <c r="BF56" s="46">
        <v>238.33</v>
      </c>
      <c r="BG56" s="46">
        <v>238.33</v>
      </c>
      <c r="BH56" s="46">
        <v>238.33</v>
      </c>
      <c r="BI56" s="46">
        <v>238.33</v>
      </c>
      <c r="BJ56" s="46">
        <v>238.33</v>
      </c>
      <c r="BK56" s="46">
        <v>238.33</v>
      </c>
      <c r="BL56" s="46">
        <v>238.33</v>
      </c>
      <c r="BM56" s="46">
        <v>238.33</v>
      </c>
      <c r="BN56" s="46">
        <v>238.33</v>
      </c>
      <c r="BO56" s="46">
        <v>238.33</v>
      </c>
      <c r="BP56" s="46">
        <v>238.33</v>
      </c>
      <c r="BQ56" s="46">
        <v>238.33</v>
      </c>
    </row>
    <row r="57" spans="11:69" x14ac:dyDescent="0.3">
      <c r="K57" s="4" t="s">
        <v>9</v>
      </c>
      <c r="L57" s="9"/>
      <c r="M57" s="35">
        <f>SUM(L53:L56)</f>
        <v>3415</v>
      </c>
      <c r="N57" s="9"/>
      <c r="AR57" s="45" t="s">
        <v>9</v>
      </c>
      <c r="AS57" s="46">
        <f t="shared" ref="AS57:BQ57" si="68">SUM(AS54:AS56)</f>
        <v>2660</v>
      </c>
      <c r="AT57" s="46">
        <f t="shared" si="68"/>
        <v>5098.33</v>
      </c>
      <c r="AU57" s="46">
        <f t="shared" si="68"/>
        <v>2638.33</v>
      </c>
      <c r="AV57" s="46">
        <f t="shared" si="68"/>
        <v>4272.41</v>
      </c>
      <c r="AW57" s="46">
        <f t="shared" si="68"/>
        <v>4272.41</v>
      </c>
      <c r="AX57" s="46">
        <f t="shared" si="68"/>
        <v>4272.41</v>
      </c>
      <c r="AY57" s="46">
        <f t="shared" si="68"/>
        <v>4272.41</v>
      </c>
      <c r="AZ57" s="46">
        <f t="shared" si="68"/>
        <v>4272.41</v>
      </c>
      <c r="BA57" s="46">
        <f t="shared" si="68"/>
        <v>4272.41</v>
      </c>
      <c r="BB57" s="46">
        <f t="shared" si="68"/>
        <v>4272.41</v>
      </c>
      <c r="BC57" s="46">
        <f t="shared" si="68"/>
        <v>4272.41</v>
      </c>
      <c r="BD57" s="46">
        <f t="shared" si="68"/>
        <v>4272.41</v>
      </c>
      <c r="BE57" s="46">
        <f t="shared" si="68"/>
        <v>4272.41</v>
      </c>
      <c r="BF57" s="46">
        <f t="shared" si="68"/>
        <v>4272.41</v>
      </c>
      <c r="BG57" s="46">
        <f t="shared" si="68"/>
        <v>4272.41</v>
      </c>
      <c r="BH57" s="46">
        <f t="shared" si="68"/>
        <v>4272.41</v>
      </c>
      <c r="BI57" s="46">
        <f t="shared" si="68"/>
        <v>4272.41</v>
      </c>
      <c r="BJ57" s="46">
        <f t="shared" si="68"/>
        <v>4272.41</v>
      </c>
      <c r="BK57" s="46">
        <f t="shared" si="68"/>
        <v>4272.41</v>
      </c>
      <c r="BL57" s="46">
        <f t="shared" si="68"/>
        <v>4272.41</v>
      </c>
      <c r="BM57" s="46">
        <f t="shared" si="68"/>
        <v>4272.41</v>
      </c>
      <c r="BN57" s="46">
        <f t="shared" si="68"/>
        <v>4272.41</v>
      </c>
      <c r="BO57" s="46">
        <f t="shared" si="68"/>
        <v>4272.41</v>
      </c>
      <c r="BP57" s="46">
        <f t="shared" si="68"/>
        <v>4272.41</v>
      </c>
      <c r="BQ57" s="46">
        <f t="shared" si="68"/>
        <v>4272.41</v>
      </c>
    </row>
    <row r="58" spans="11:69" x14ac:dyDescent="0.3">
      <c r="K58" s="13" t="s">
        <v>48</v>
      </c>
      <c r="L58" s="9"/>
      <c r="M58" s="22">
        <v>15000</v>
      </c>
      <c r="N58" s="23">
        <v>47519.19</v>
      </c>
      <c r="W58">
        <v>4000</v>
      </c>
      <c r="AR58" s="53" t="s">
        <v>63</v>
      </c>
      <c r="AS58" s="46">
        <f t="shared" ref="AS58" si="69">AS52-AS57</f>
        <v>-1660</v>
      </c>
      <c r="AT58" s="46">
        <f t="shared" ref="AT58" si="70">AT52-AT57</f>
        <v>-3493.33</v>
      </c>
      <c r="AU58" s="46">
        <f t="shared" ref="AU58" si="71">AU52-AU57</f>
        <v>-303.32999999999993</v>
      </c>
      <c r="AV58" s="46">
        <f t="shared" ref="AV58" si="72">AV52-AV57</f>
        <v>-937.40999999999985</v>
      </c>
      <c r="AW58" s="49">
        <f t="shared" ref="AW58" si="73">AW52-AW57</f>
        <v>342.59000000000015</v>
      </c>
      <c r="AX58" s="49">
        <f t="shared" ref="AX58" si="74">AX52-AX57</f>
        <v>1642.5900000000001</v>
      </c>
      <c r="AY58" s="49">
        <f t="shared" ref="AY58" si="75">AY52-AY57</f>
        <v>3092.59</v>
      </c>
      <c r="AZ58" s="49">
        <f t="shared" ref="AZ58" si="76">AZ52-AZ57</f>
        <v>3592.59</v>
      </c>
      <c r="BA58" s="49">
        <f t="shared" ref="BA58" si="77">BA52-BA57</f>
        <v>4942.59</v>
      </c>
      <c r="BB58" s="49">
        <f t="shared" ref="BB58" si="78">BB52-BB57</f>
        <v>6187.59</v>
      </c>
      <c r="BC58" s="49">
        <f t="shared" ref="BC58" si="79">BC52-BC57</f>
        <v>6687.59</v>
      </c>
      <c r="BD58" s="49">
        <f t="shared" ref="BD58" si="80">BD52-BD57</f>
        <v>7187.59</v>
      </c>
      <c r="BE58" s="49">
        <f t="shared" ref="BE58" si="81">BE52-BE57</f>
        <v>7687.59</v>
      </c>
      <c r="BF58" s="49">
        <f t="shared" ref="BF58" si="82">BF52-BF57</f>
        <v>8187.59</v>
      </c>
      <c r="BG58" s="49">
        <f t="shared" ref="BG58" si="83">BG52-BG57</f>
        <v>8687.59</v>
      </c>
      <c r="BH58" s="49">
        <f t="shared" ref="BH58" si="84">BH52-BH57</f>
        <v>9187.59</v>
      </c>
      <c r="BI58" s="49">
        <f t="shared" ref="BI58" si="85">BI52-BI57</f>
        <v>9687.59</v>
      </c>
      <c r="BJ58" s="49">
        <f t="shared" ref="BJ58" si="86">BJ52-BJ57</f>
        <v>10187.59</v>
      </c>
      <c r="BK58" s="49">
        <f t="shared" ref="BK58" si="87">BK52-BK57</f>
        <v>10687.59</v>
      </c>
      <c r="BL58" s="49">
        <f t="shared" ref="BL58" si="88">BL52-BL57</f>
        <v>11187.59</v>
      </c>
      <c r="BM58" s="49">
        <f t="shared" ref="BM58" si="89">BM52-BM57</f>
        <v>11687.59</v>
      </c>
      <c r="BN58" s="49">
        <f t="shared" ref="BN58" si="90">BN52-BN57</f>
        <v>12187.59</v>
      </c>
      <c r="BO58" s="49">
        <f t="shared" ref="BO58" si="91">BO52-BO57</f>
        <v>12687.59</v>
      </c>
      <c r="BP58" s="49">
        <f t="shared" ref="BP58" si="92">BP52-BP57</f>
        <v>13187.59</v>
      </c>
      <c r="BQ58" s="49">
        <f t="shared" ref="BQ58" si="93">BQ52-BQ57</f>
        <v>13687.59</v>
      </c>
    </row>
    <row r="59" spans="11:69" x14ac:dyDescent="0.3">
      <c r="K59" s="14" t="s">
        <v>9</v>
      </c>
      <c r="L59" s="22"/>
      <c r="M59" s="24">
        <f>SUM(M27:M58)</f>
        <v>65235.05</v>
      </c>
      <c r="N59" s="27">
        <f>SUM(N27:N58)</f>
        <v>239143.86</v>
      </c>
      <c r="W59">
        <v>4000</v>
      </c>
      <c r="AR59" s="53" t="s">
        <v>64</v>
      </c>
      <c r="AS59" s="46">
        <v>0</v>
      </c>
      <c r="AT59" s="46">
        <f>AS58</f>
        <v>-1660</v>
      </c>
      <c r="AU59" s="46">
        <f t="shared" ref="AU59" si="94">AT60</f>
        <v>-5153.33</v>
      </c>
      <c r="AV59" s="46">
        <f t="shared" ref="AV59" si="95">AU60</f>
        <v>-5456.66</v>
      </c>
      <c r="AW59" s="46">
        <f>AV60</f>
        <v>-6394.07</v>
      </c>
      <c r="AX59" s="46">
        <f t="shared" ref="AX59" si="96">AW60</f>
        <v>-6051.48</v>
      </c>
      <c r="AY59" s="46">
        <f>AX60</f>
        <v>-4408.8899999999994</v>
      </c>
      <c r="AZ59" s="46">
        <f t="shared" ref="AZ59" si="97">AY60</f>
        <v>-1316.2999999999993</v>
      </c>
      <c r="BA59" s="46">
        <f t="shared" ref="BA59" si="98">AZ60</f>
        <v>2276.2900000000009</v>
      </c>
      <c r="BB59" s="46">
        <f t="shared" ref="BB59" si="99">BA60</f>
        <v>7218.880000000001</v>
      </c>
      <c r="BC59" s="46">
        <f t="shared" ref="BC59" si="100">BB60</f>
        <v>13406.470000000001</v>
      </c>
      <c r="BD59" s="46">
        <f t="shared" ref="BD59" si="101">BC60</f>
        <v>20094.060000000001</v>
      </c>
      <c r="BE59" s="46">
        <f t="shared" ref="BE59" si="102">BD60</f>
        <v>27281.65</v>
      </c>
      <c r="BF59" s="46">
        <f t="shared" ref="BF59" si="103">BE60</f>
        <v>34969.240000000005</v>
      </c>
      <c r="BG59" s="46">
        <f t="shared" ref="BG59" si="104">BF60</f>
        <v>43156.83</v>
      </c>
      <c r="BH59" s="46">
        <f t="shared" ref="BH59" si="105">BG60</f>
        <v>51844.42</v>
      </c>
      <c r="BI59" s="60">
        <f t="shared" ref="BI59" si="106">BH60</f>
        <v>61032.009999999995</v>
      </c>
      <c r="BJ59" s="60">
        <f t="shared" ref="BJ59" si="107">BI60</f>
        <v>70719.599999999991</v>
      </c>
      <c r="BK59" s="60">
        <f t="shared" ref="BK59" si="108">BJ60</f>
        <v>80907.189999999988</v>
      </c>
      <c r="BL59" s="60">
        <f t="shared" ref="BL59" si="109">BK60</f>
        <v>91594.779999999984</v>
      </c>
      <c r="BM59" s="60">
        <f t="shared" ref="BM59" si="110">BL60</f>
        <v>102782.36999999998</v>
      </c>
      <c r="BN59" s="60">
        <f t="shared" ref="BN59" si="111">BM60</f>
        <v>114469.95999999998</v>
      </c>
      <c r="BO59" s="60">
        <f t="shared" ref="BO59" si="112">BN60</f>
        <v>126657.54999999997</v>
      </c>
      <c r="BP59" s="60">
        <f t="shared" ref="BP59" si="113">BO60</f>
        <v>139345.13999999998</v>
      </c>
      <c r="BQ59" s="60">
        <f t="shared" ref="BQ59" si="114">BP60</f>
        <v>152532.72999999998</v>
      </c>
    </row>
    <row r="60" spans="11:69" x14ac:dyDescent="0.3">
      <c r="AR60" s="54" t="s">
        <v>65</v>
      </c>
      <c r="AS60" s="46">
        <f>AS58</f>
        <v>-1660</v>
      </c>
      <c r="AT60" s="46">
        <f t="shared" ref="AT60:BQ60" si="115">AT59+AT58</f>
        <v>-5153.33</v>
      </c>
      <c r="AU60" s="46">
        <f t="shared" si="115"/>
        <v>-5456.66</v>
      </c>
      <c r="AV60" s="46">
        <f t="shared" si="115"/>
        <v>-6394.07</v>
      </c>
      <c r="AW60" s="46">
        <f t="shared" si="115"/>
        <v>-6051.48</v>
      </c>
      <c r="AX60" s="46">
        <f t="shared" si="115"/>
        <v>-4408.8899999999994</v>
      </c>
      <c r="AY60" s="46">
        <f t="shared" si="115"/>
        <v>-1316.2999999999993</v>
      </c>
      <c r="AZ60" s="46">
        <f t="shared" si="115"/>
        <v>2276.2900000000009</v>
      </c>
      <c r="BA60" s="46">
        <f t="shared" si="115"/>
        <v>7218.880000000001</v>
      </c>
      <c r="BB60" s="46">
        <f t="shared" si="115"/>
        <v>13406.470000000001</v>
      </c>
      <c r="BC60" s="46">
        <f t="shared" si="115"/>
        <v>20094.060000000001</v>
      </c>
      <c r="BD60" s="46">
        <f t="shared" si="115"/>
        <v>27281.65</v>
      </c>
      <c r="BE60" s="46">
        <f t="shared" si="115"/>
        <v>34969.240000000005</v>
      </c>
      <c r="BF60" s="46">
        <f t="shared" si="115"/>
        <v>43156.83</v>
      </c>
      <c r="BG60" s="57">
        <f t="shared" si="115"/>
        <v>51844.42</v>
      </c>
      <c r="BH60" s="55">
        <f t="shared" si="115"/>
        <v>61032.009999999995</v>
      </c>
      <c r="BI60" s="55">
        <f t="shared" si="115"/>
        <v>70719.599999999991</v>
      </c>
      <c r="BJ60" s="55">
        <f t="shared" si="115"/>
        <v>80907.189999999988</v>
      </c>
      <c r="BK60" s="55">
        <f t="shared" si="115"/>
        <v>91594.779999999984</v>
      </c>
      <c r="BL60" s="55">
        <f t="shared" si="115"/>
        <v>102782.36999999998</v>
      </c>
      <c r="BM60" s="55">
        <f t="shared" si="115"/>
        <v>114469.95999999998</v>
      </c>
      <c r="BN60" s="55">
        <f t="shared" si="115"/>
        <v>126657.54999999997</v>
      </c>
      <c r="BO60" s="55">
        <f t="shared" si="115"/>
        <v>139345.13999999998</v>
      </c>
      <c r="BP60" s="55">
        <f t="shared" si="115"/>
        <v>152532.72999999998</v>
      </c>
      <c r="BQ60" s="55">
        <f t="shared" si="115"/>
        <v>166220.31999999998</v>
      </c>
    </row>
    <row r="61" spans="11:69" x14ac:dyDescent="0.3">
      <c r="BP61" s="54" t="s">
        <v>91</v>
      </c>
      <c r="BQ61" s="61">
        <f>IRR(AS58:BQ58)</f>
        <v>0.31493212661190606</v>
      </c>
    </row>
    <row r="69" spans="10:40" x14ac:dyDescent="0.3">
      <c r="P69" t="s">
        <v>83</v>
      </c>
      <c r="Q69" s="56" t="s">
        <v>84</v>
      </c>
      <c r="R69" t="s">
        <v>85</v>
      </c>
      <c r="S69" t="s">
        <v>86</v>
      </c>
    </row>
    <row r="70" spans="10:40" x14ac:dyDescent="0.3">
      <c r="O70" s="43"/>
      <c r="P70" s="68" t="s">
        <v>80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70"/>
    </row>
    <row r="71" spans="10:40" x14ac:dyDescent="0.3">
      <c r="J71" s="5" t="s">
        <v>58</v>
      </c>
      <c r="O71" s="44"/>
      <c r="P71" s="42">
        <v>0</v>
      </c>
      <c r="Q71" s="42">
        <f>P71+1</f>
        <v>1</v>
      </c>
      <c r="R71" s="42">
        <f t="shared" ref="R71:AA71" si="116">Q71+1</f>
        <v>2</v>
      </c>
      <c r="S71" s="42">
        <f>R71+1</f>
        <v>3</v>
      </c>
      <c r="T71" s="42">
        <f>S71+1</f>
        <v>4</v>
      </c>
      <c r="U71" s="42">
        <f t="shared" si="116"/>
        <v>5</v>
      </c>
      <c r="V71" s="42">
        <f>U71+1</f>
        <v>6</v>
      </c>
      <c r="W71" s="42">
        <f t="shared" si="116"/>
        <v>7</v>
      </c>
      <c r="X71" s="42">
        <f t="shared" si="116"/>
        <v>8</v>
      </c>
      <c r="Y71" s="42">
        <f t="shared" si="116"/>
        <v>9</v>
      </c>
      <c r="Z71" s="42">
        <f t="shared" si="116"/>
        <v>10</v>
      </c>
      <c r="AA71" s="42">
        <f t="shared" si="116"/>
        <v>11</v>
      </c>
      <c r="AB71" s="42">
        <f t="shared" ref="AB71:AE71" si="117">AA71+1</f>
        <v>12</v>
      </c>
      <c r="AC71" s="42">
        <f t="shared" si="117"/>
        <v>13</v>
      </c>
      <c r="AD71" s="42">
        <f t="shared" si="117"/>
        <v>14</v>
      </c>
      <c r="AE71" s="42">
        <f t="shared" si="117"/>
        <v>15</v>
      </c>
      <c r="AF71" s="42">
        <f t="shared" ref="AF71:AN71" si="118">AE71+1</f>
        <v>16</v>
      </c>
      <c r="AG71" s="42">
        <f t="shared" si="118"/>
        <v>17</v>
      </c>
      <c r="AH71" s="42">
        <f t="shared" si="118"/>
        <v>18</v>
      </c>
      <c r="AI71" s="42">
        <f t="shared" si="118"/>
        <v>19</v>
      </c>
      <c r="AJ71" s="42">
        <f t="shared" si="118"/>
        <v>20</v>
      </c>
      <c r="AK71" s="42">
        <f t="shared" si="118"/>
        <v>21</v>
      </c>
      <c r="AL71" s="42">
        <f t="shared" si="118"/>
        <v>22</v>
      </c>
      <c r="AM71" s="42">
        <f t="shared" si="118"/>
        <v>23</v>
      </c>
      <c r="AN71" s="42">
        <f t="shared" si="118"/>
        <v>24</v>
      </c>
    </row>
    <row r="72" spans="10:40" x14ac:dyDescent="0.3">
      <c r="J72" s="9"/>
      <c r="K72" s="8"/>
      <c r="L72" s="9"/>
      <c r="M72" s="9" t="s">
        <v>57</v>
      </c>
      <c r="O72" s="48" t="s">
        <v>58</v>
      </c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</row>
    <row r="73" spans="10:40" x14ac:dyDescent="0.3">
      <c r="J73" s="4" t="s">
        <v>9</v>
      </c>
      <c r="K73" s="9" t="s">
        <v>59</v>
      </c>
      <c r="L73" s="9"/>
      <c r="M73" s="9">
        <f>65235</f>
        <v>65235</v>
      </c>
      <c r="O73" s="50" t="s">
        <v>59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</row>
    <row r="74" spans="10:40" x14ac:dyDescent="0.3">
      <c r="J74" s="7"/>
      <c r="K74" s="9"/>
      <c r="L74" s="9"/>
      <c r="M74" s="9">
        <f>M73</f>
        <v>65235</v>
      </c>
      <c r="O74" s="50" t="s">
        <v>71</v>
      </c>
      <c r="P74" s="51">
        <v>1000</v>
      </c>
      <c r="Q74" s="51">
        <f>P74+500</f>
        <v>1500</v>
      </c>
      <c r="R74" s="51">
        <f t="shared" ref="R74:AA74" si="119">Q74+500</f>
        <v>2000</v>
      </c>
      <c r="S74" s="51">
        <f>R74+500</f>
        <v>2500</v>
      </c>
      <c r="T74" s="51">
        <f>S74+500</f>
        <v>3000</v>
      </c>
      <c r="U74" s="51">
        <f t="shared" si="119"/>
        <v>3500</v>
      </c>
      <c r="V74" s="51">
        <f>U74+500</f>
        <v>4000</v>
      </c>
      <c r="W74" s="51">
        <f t="shared" si="119"/>
        <v>4500</v>
      </c>
      <c r="X74" s="51">
        <f t="shared" si="119"/>
        <v>5000</v>
      </c>
      <c r="Y74" s="51">
        <f t="shared" si="119"/>
        <v>5500</v>
      </c>
      <c r="Z74" s="51">
        <f t="shared" si="119"/>
        <v>6000</v>
      </c>
      <c r="AA74" s="51">
        <f t="shared" si="119"/>
        <v>6500</v>
      </c>
      <c r="AB74" s="51">
        <f t="shared" ref="AB74:AE74" si="120">AA74+500</f>
        <v>7000</v>
      </c>
      <c r="AC74" s="51">
        <f t="shared" si="120"/>
        <v>7500</v>
      </c>
      <c r="AD74" s="51">
        <f t="shared" si="120"/>
        <v>8000</v>
      </c>
      <c r="AE74" s="51">
        <f t="shared" si="120"/>
        <v>8500</v>
      </c>
      <c r="AF74" s="51">
        <f t="shared" ref="AF74:AN74" si="121">AE74+500</f>
        <v>9000</v>
      </c>
      <c r="AG74" s="51">
        <f t="shared" si="121"/>
        <v>9500</v>
      </c>
      <c r="AH74" s="51">
        <f t="shared" si="121"/>
        <v>10000</v>
      </c>
      <c r="AI74" s="51">
        <f t="shared" si="121"/>
        <v>10500</v>
      </c>
      <c r="AJ74" s="51">
        <f t="shared" si="121"/>
        <v>11000</v>
      </c>
      <c r="AK74" s="51">
        <f t="shared" si="121"/>
        <v>11500</v>
      </c>
      <c r="AL74" s="51">
        <f t="shared" si="121"/>
        <v>12000</v>
      </c>
      <c r="AM74" s="51">
        <f t="shared" si="121"/>
        <v>12500</v>
      </c>
      <c r="AN74" s="51">
        <f t="shared" si="121"/>
        <v>13000</v>
      </c>
    </row>
    <row r="75" spans="10:40" x14ac:dyDescent="0.3">
      <c r="J75" s="5" t="s">
        <v>60</v>
      </c>
      <c r="K75" s="8"/>
      <c r="L75" s="9"/>
      <c r="M75" s="9"/>
      <c r="O75" s="50" t="s">
        <v>66</v>
      </c>
      <c r="P75" s="49">
        <v>0</v>
      </c>
      <c r="Q75" s="49">
        <f>15*$T$135+5*$T$136</f>
        <v>105</v>
      </c>
      <c r="R75" s="49">
        <f>(30*$T$135)+(10*$T$136)+($T$138*5)</f>
        <v>335</v>
      </c>
      <c r="S75" s="49">
        <f>(30*$T$135)+(10*$T$136)+($T$138*5)+(15*$T$139)+(15*$T$140)+($T$141*20)+($T$142*10)+($T$143*5)+($T$144*5)</f>
        <v>835</v>
      </c>
      <c r="T75" s="49">
        <f>(50*$T$135)+(20*$T$136)+($T$138*10)+(25*$T$139)+(30*$T$140)+($T$141*40)+($T$142*20)+($T$143*15)+($T$144*10)</f>
        <v>1615</v>
      </c>
      <c r="U75" s="49">
        <f>(60*$T$135)+(30*$T$136)+($T$138*20)+(35*$T$139)+(40*$T$140)+($T$141*50)+($T$142*30)+($T$143*25)+($T$144*20)</f>
        <v>2415</v>
      </c>
      <c r="V75" s="49">
        <f>(70*$T$135)+(40*$T$136)+($T$138*30)+(45*$T$139)+(50*$T$140)+($T$141*60)+($T$142*70)+($T$143*35)+($T$144*30)</f>
        <v>3365</v>
      </c>
      <c r="W75" s="49">
        <f>(70*$T$135)+(40*$T$136)+($T$138*30)+(45*$T$139)+(50*$T$140)+($T$141*60)+($T$142*70)+($T$143*35)+($T$144*30)</f>
        <v>3365</v>
      </c>
      <c r="X75" s="49">
        <f>(80*$T$135)+(50*$T$136)+($T$138*40)+(60*$T$139)+(60*$T$140)+($T$141*70)+($T$142*80)+($T$143*45)+($T$144*40)</f>
        <v>4215</v>
      </c>
      <c r="Y75" s="49">
        <f t="shared" ref="Y75:AN75" si="122">(100*$T$135)+(55*$T$136)+($T$138*50)+(70*$T$139)+(70*$T$140)+($T$141*80)+($T$142*90)+($T$143*50)+($T$144*50)</f>
        <v>4960</v>
      </c>
      <c r="Z75" s="49">
        <f t="shared" si="122"/>
        <v>4960</v>
      </c>
      <c r="AA75" s="49">
        <f t="shared" si="122"/>
        <v>4960</v>
      </c>
      <c r="AB75" s="49">
        <f t="shared" si="122"/>
        <v>4960</v>
      </c>
      <c r="AC75" s="49">
        <f t="shared" si="122"/>
        <v>4960</v>
      </c>
      <c r="AD75" s="49">
        <f t="shared" si="122"/>
        <v>4960</v>
      </c>
      <c r="AE75" s="49">
        <f t="shared" si="122"/>
        <v>4960</v>
      </c>
      <c r="AF75" s="49">
        <f t="shared" si="122"/>
        <v>4960</v>
      </c>
      <c r="AG75" s="49">
        <f t="shared" si="122"/>
        <v>4960</v>
      </c>
      <c r="AH75" s="49">
        <f t="shared" si="122"/>
        <v>4960</v>
      </c>
      <c r="AI75" s="49">
        <f t="shared" si="122"/>
        <v>4960</v>
      </c>
      <c r="AJ75" s="49">
        <f t="shared" si="122"/>
        <v>4960</v>
      </c>
      <c r="AK75" s="49">
        <f t="shared" si="122"/>
        <v>4960</v>
      </c>
      <c r="AL75" s="49">
        <f t="shared" si="122"/>
        <v>4960</v>
      </c>
      <c r="AM75" s="49">
        <f t="shared" si="122"/>
        <v>4960</v>
      </c>
      <c r="AN75" s="49">
        <f t="shared" si="122"/>
        <v>4960</v>
      </c>
    </row>
    <row r="76" spans="10:40" x14ac:dyDescent="0.3">
      <c r="J76" s="7"/>
      <c r="K76" s="4" t="s">
        <v>33</v>
      </c>
      <c r="L76" s="25"/>
      <c r="M76" s="24"/>
      <c r="O76" s="52" t="s">
        <v>9</v>
      </c>
      <c r="P76" s="49">
        <f t="shared" ref="P76:AN76" si="123">SUM(P73:P75)</f>
        <v>1000</v>
      </c>
      <c r="Q76" s="49">
        <f t="shared" si="123"/>
        <v>1605</v>
      </c>
      <c r="R76" s="49">
        <f t="shared" si="123"/>
        <v>2335</v>
      </c>
      <c r="S76" s="49">
        <f t="shared" si="123"/>
        <v>3335</v>
      </c>
      <c r="T76" s="49">
        <f t="shared" si="123"/>
        <v>4615</v>
      </c>
      <c r="U76" s="49">
        <f t="shared" si="123"/>
        <v>5915</v>
      </c>
      <c r="V76" s="49">
        <f t="shared" si="123"/>
        <v>7365</v>
      </c>
      <c r="W76" s="49">
        <f t="shared" si="123"/>
        <v>7865</v>
      </c>
      <c r="X76" s="49">
        <f t="shared" si="123"/>
        <v>9215</v>
      </c>
      <c r="Y76" s="49">
        <f t="shared" si="123"/>
        <v>10460</v>
      </c>
      <c r="Z76" s="49">
        <f t="shared" si="123"/>
        <v>10960</v>
      </c>
      <c r="AA76" s="49">
        <f t="shared" si="123"/>
        <v>11460</v>
      </c>
      <c r="AB76" s="49">
        <f t="shared" si="123"/>
        <v>11960</v>
      </c>
      <c r="AC76" s="49">
        <f t="shared" si="123"/>
        <v>12460</v>
      </c>
      <c r="AD76" s="49">
        <f t="shared" si="123"/>
        <v>12960</v>
      </c>
      <c r="AE76" s="49">
        <f t="shared" si="123"/>
        <v>13460</v>
      </c>
      <c r="AF76" s="49">
        <f t="shared" si="123"/>
        <v>13960</v>
      </c>
      <c r="AG76" s="49">
        <f t="shared" si="123"/>
        <v>14460</v>
      </c>
      <c r="AH76" s="49">
        <f t="shared" si="123"/>
        <v>14960</v>
      </c>
      <c r="AI76" s="49">
        <f t="shared" si="123"/>
        <v>15460</v>
      </c>
      <c r="AJ76" s="49">
        <f t="shared" si="123"/>
        <v>15960</v>
      </c>
      <c r="AK76" s="49">
        <f t="shared" si="123"/>
        <v>16460</v>
      </c>
      <c r="AL76" s="49">
        <f t="shared" si="123"/>
        <v>16960</v>
      </c>
      <c r="AM76" s="49">
        <f t="shared" si="123"/>
        <v>17460</v>
      </c>
      <c r="AN76" s="49">
        <f t="shared" si="123"/>
        <v>17960</v>
      </c>
    </row>
    <row r="77" spans="10:40" x14ac:dyDescent="0.3">
      <c r="J77" s="7"/>
      <c r="K77" s="4" t="s">
        <v>31</v>
      </c>
      <c r="L77" s="22"/>
      <c r="M77" s="22">
        <v>19810.97</v>
      </c>
      <c r="O77" s="45" t="s">
        <v>60</v>
      </c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</row>
    <row r="78" spans="10:40" x14ac:dyDescent="0.3">
      <c r="J78" s="7"/>
      <c r="K78" s="4"/>
      <c r="L78" s="22"/>
      <c r="M78" s="22"/>
      <c r="O78" s="47" t="s">
        <v>67</v>
      </c>
      <c r="P78" s="46">
        <f>2400+(B35*4)</f>
        <v>4034.08</v>
      </c>
      <c r="Q78" s="46">
        <f>2400+(B35*4)</f>
        <v>4034.08</v>
      </c>
      <c r="R78" s="46">
        <f>2400+(B35*4)</f>
        <v>4034.08</v>
      </c>
      <c r="S78" s="46">
        <f t="shared" ref="S78:AN78" si="124">2400+(408.52*4)</f>
        <v>4034.08</v>
      </c>
      <c r="T78" s="46">
        <f t="shared" si="124"/>
        <v>4034.08</v>
      </c>
      <c r="U78" s="46">
        <f t="shared" si="124"/>
        <v>4034.08</v>
      </c>
      <c r="V78" s="46">
        <f t="shared" si="124"/>
        <v>4034.08</v>
      </c>
      <c r="W78" s="46">
        <f t="shared" si="124"/>
        <v>4034.08</v>
      </c>
      <c r="X78" s="46">
        <f t="shared" si="124"/>
        <v>4034.08</v>
      </c>
      <c r="Y78" s="46">
        <f t="shared" si="124"/>
        <v>4034.08</v>
      </c>
      <c r="Z78" s="46">
        <f t="shared" si="124"/>
        <v>4034.08</v>
      </c>
      <c r="AA78" s="46">
        <f t="shared" si="124"/>
        <v>4034.08</v>
      </c>
      <c r="AB78" s="46">
        <f t="shared" si="124"/>
        <v>4034.08</v>
      </c>
      <c r="AC78" s="46">
        <f t="shared" si="124"/>
        <v>4034.08</v>
      </c>
      <c r="AD78" s="46">
        <f t="shared" si="124"/>
        <v>4034.08</v>
      </c>
      <c r="AE78" s="46">
        <f t="shared" si="124"/>
        <v>4034.08</v>
      </c>
      <c r="AF78" s="46">
        <f t="shared" si="124"/>
        <v>4034.08</v>
      </c>
      <c r="AG78" s="46">
        <f t="shared" si="124"/>
        <v>4034.08</v>
      </c>
      <c r="AH78" s="46">
        <f t="shared" si="124"/>
        <v>4034.08</v>
      </c>
      <c r="AI78" s="46">
        <f t="shared" si="124"/>
        <v>4034.08</v>
      </c>
      <c r="AJ78" s="46">
        <f t="shared" si="124"/>
        <v>4034.08</v>
      </c>
      <c r="AK78" s="46">
        <f t="shared" si="124"/>
        <v>4034.08</v>
      </c>
      <c r="AL78" s="46">
        <f t="shared" si="124"/>
        <v>4034.08</v>
      </c>
      <c r="AM78" s="46">
        <f t="shared" si="124"/>
        <v>4034.08</v>
      </c>
      <c r="AN78" s="46">
        <f t="shared" si="124"/>
        <v>4034.08</v>
      </c>
    </row>
    <row r="79" spans="10:40" x14ac:dyDescent="0.3">
      <c r="J79" s="7"/>
      <c r="K79" s="14" t="s">
        <v>37</v>
      </c>
      <c r="L79" s="22"/>
      <c r="M79" s="22"/>
      <c r="O79" s="47" t="s">
        <v>70</v>
      </c>
      <c r="P79" s="46">
        <f>K132</f>
        <v>47552.810000000005</v>
      </c>
      <c r="Q79" s="46">
        <v>2460</v>
      </c>
      <c r="R79" s="46">
        <f>X35*3</f>
        <v>833.89200000000017</v>
      </c>
      <c r="S79" s="46">
        <f>X35*7</f>
        <v>1945.7480000000005</v>
      </c>
      <c r="T79" s="46">
        <f>Y65</f>
        <v>0</v>
      </c>
      <c r="U79" s="46">
        <f>Z65</f>
        <v>0</v>
      </c>
      <c r="V79" s="46">
        <f t="shared" ref="V79:AN79" si="125">AA65</f>
        <v>0</v>
      </c>
      <c r="W79" s="46">
        <f t="shared" si="125"/>
        <v>0</v>
      </c>
      <c r="X79" s="46">
        <f t="shared" si="125"/>
        <v>0</v>
      </c>
      <c r="Y79" s="46">
        <f t="shared" si="125"/>
        <v>0</v>
      </c>
      <c r="Z79" s="46">
        <f t="shared" si="125"/>
        <v>0</v>
      </c>
      <c r="AA79" s="46">
        <f t="shared" si="125"/>
        <v>0</v>
      </c>
      <c r="AB79" s="46">
        <f t="shared" si="125"/>
        <v>0</v>
      </c>
      <c r="AC79" s="46">
        <f t="shared" si="125"/>
        <v>0</v>
      </c>
      <c r="AD79" s="46">
        <f t="shared" si="125"/>
        <v>0</v>
      </c>
      <c r="AE79" s="46">
        <f t="shared" si="125"/>
        <v>0</v>
      </c>
      <c r="AF79" s="46">
        <f t="shared" si="125"/>
        <v>0</v>
      </c>
      <c r="AG79" s="46">
        <f t="shared" si="125"/>
        <v>0</v>
      </c>
      <c r="AH79" s="46">
        <f t="shared" si="125"/>
        <v>0</v>
      </c>
      <c r="AI79" s="46">
        <f t="shared" si="125"/>
        <v>0</v>
      </c>
      <c r="AJ79" s="46">
        <f t="shared" si="125"/>
        <v>0</v>
      </c>
      <c r="AK79" s="46">
        <f t="shared" si="125"/>
        <v>0</v>
      </c>
      <c r="AL79" s="46">
        <f t="shared" si="125"/>
        <v>0</v>
      </c>
      <c r="AM79" s="46">
        <f t="shared" si="125"/>
        <v>0</v>
      </c>
      <c r="AN79" s="46">
        <f t="shared" si="125"/>
        <v>0</v>
      </c>
    </row>
    <row r="80" spans="10:40" x14ac:dyDescent="0.3">
      <c r="J80" s="7"/>
      <c r="K80" s="30" t="s">
        <v>34</v>
      </c>
      <c r="L80" s="22">
        <f>112.95*33</f>
        <v>3727.35</v>
      </c>
      <c r="M80" s="22"/>
      <c r="O80" s="47" t="s">
        <v>62</v>
      </c>
      <c r="P80" s="46">
        <v>260</v>
      </c>
      <c r="Q80" s="46">
        <v>238.33</v>
      </c>
      <c r="R80" s="46">
        <v>238.33</v>
      </c>
      <c r="S80" s="46">
        <v>238.33</v>
      </c>
      <c r="T80" s="46">
        <v>238.33</v>
      </c>
      <c r="U80" s="46">
        <v>238.33</v>
      </c>
      <c r="V80" s="46">
        <v>238.33</v>
      </c>
      <c r="W80" s="46">
        <v>238.33</v>
      </c>
      <c r="X80" s="46">
        <v>238.33</v>
      </c>
      <c r="Y80" s="46">
        <v>238.33</v>
      </c>
      <c r="Z80" s="46">
        <v>238.33</v>
      </c>
      <c r="AA80" s="46">
        <v>238.33</v>
      </c>
      <c r="AB80" s="46">
        <v>238.33</v>
      </c>
      <c r="AC80" s="46">
        <v>238.33</v>
      </c>
      <c r="AD80" s="46">
        <v>238.33</v>
      </c>
      <c r="AE80" s="46">
        <v>238.33</v>
      </c>
      <c r="AF80" s="46">
        <v>238.33</v>
      </c>
      <c r="AG80" s="46">
        <v>238.33</v>
      </c>
      <c r="AH80" s="46">
        <v>238.33</v>
      </c>
      <c r="AI80" s="46">
        <v>238.33</v>
      </c>
      <c r="AJ80" s="46">
        <v>238.33</v>
      </c>
      <c r="AK80" s="46">
        <v>238.33</v>
      </c>
      <c r="AL80" s="46">
        <v>238.33</v>
      </c>
      <c r="AM80" s="46">
        <v>238.33</v>
      </c>
      <c r="AN80" s="46">
        <v>238.33</v>
      </c>
    </row>
    <row r="81" spans="10:40" x14ac:dyDescent="0.3">
      <c r="J81" s="7"/>
      <c r="K81" s="31" t="s">
        <v>35</v>
      </c>
      <c r="L81" s="22">
        <f>1645</f>
        <v>1645</v>
      </c>
      <c r="M81" s="22"/>
      <c r="O81" s="45" t="s">
        <v>9</v>
      </c>
      <c r="P81" s="46">
        <f t="shared" ref="P81:AN81" si="126">SUM(P78:P80)</f>
        <v>51846.890000000007</v>
      </c>
      <c r="Q81" s="46">
        <f t="shared" si="126"/>
        <v>6732.41</v>
      </c>
      <c r="R81" s="46">
        <f t="shared" si="126"/>
        <v>5106.3019999999997</v>
      </c>
      <c r="S81" s="46">
        <f t="shared" si="126"/>
        <v>6218.1580000000004</v>
      </c>
      <c r="T81" s="46">
        <f t="shared" si="126"/>
        <v>4272.41</v>
      </c>
      <c r="U81" s="46">
        <f t="shared" si="126"/>
        <v>4272.41</v>
      </c>
      <c r="V81" s="46">
        <f t="shared" si="126"/>
        <v>4272.41</v>
      </c>
      <c r="W81" s="46">
        <f t="shared" si="126"/>
        <v>4272.41</v>
      </c>
      <c r="X81" s="46">
        <f t="shared" si="126"/>
        <v>4272.41</v>
      </c>
      <c r="Y81" s="46">
        <f t="shared" si="126"/>
        <v>4272.41</v>
      </c>
      <c r="Z81" s="46">
        <f t="shared" si="126"/>
        <v>4272.41</v>
      </c>
      <c r="AA81" s="46">
        <f t="shared" si="126"/>
        <v>4272.41</v>
      </c>
      <c r="AB81" s="46">
        <f t="shared" si="126"/>
        <v>4272.41</v>
      </c>
      <c r="AC81" s="46">
        <f t="shared" si="126"/>
        <v>4272.41</v>
      </c>
      <c r="AD81" s="46">
        <f t="shared" si="126"/>
        <v>4272.41</v>
      </c>
      <c r="AE81" s="46">
        <f t="shared" si="126"/>
        <v>4272.41</v>
      </c>
      <c r="AF81" s="46">
        <f t="shared" si="126"/>
        <v>4272.41</v>
      </c>
      <c r="AG81" s="46">
        <f t="shared" si="126"/>
        <v>4272.41</v>
      </c>
      <c r="AH81" s="46">
        <f t="shared" si="126"/>
        <v>4272.41</v>
      </c>
      <c r="AI81" s="46">
        <f t="shared" si="126"/>
        <v>4272.41</v>
      </c>
      <c r="AJ81" s="46">
        <f t="shared" si="126"/>
        <v>4272.41</v>
      </c>
      <c r="AK81" s="46">
        <f t="shared" si="126"/>
        <v>4272.41</v>
      </c>
      <c r="AL81" s="46">
        <f t="shared" si="126"/>
        <v>4272.41</v>
      </c>
      <c r="AM81" s="46">
        <f t="shared" si="126"/>
        <v>4272.41</v>
      </c>
      <c r="AN81" s="46">
        <f t="shared" si="126"/>
        <v>4272.41</v>
      </c>
    </row>
    <row r="82" spans="10:40" x14ac:dyDescent="0.3">
      <c r="J82" s="7"/>
      <c r="K82" s="31" t="s">
        <v>36</v>
      </c>
      <c r="L82" s="22">
        <f>92.95*4</f>
        <v>371.8</v>
      </c>
      <c r="M82" s="22"/>
      <c r="O82" s="53" t="s">
        <v>63</v>
      </c>
      <c r="P82" s="46">
        <f t="shared" ref="P82:AN82" si="127">P76-P81</f>
        <v>-50846.890000000007</v>
      </c>
      <c r="Q82" s="46">
        <f t="shared" si="127"/>
        <v>-5127.41</v>
      </c>
      <c r="R82" s="46">
        <f t="shared" si="127"/>
        <v>-2771.3019999999997</v>
      </c>
      <c r="S82" s="46">
        <f t="shared" si="127"/>
        <v>-2883.1580000000004</v>
      </c>
      <c r="T82" s="49">
        <f t="shared" si="127"/>
        <v>342.59000000000015</v>
      </c>
      <c r="U82" s="49">
        <f t="shared" si="127"/>
        <v>1642.5900000000001</v>
      </c>
      <c r="V82" s="49">
        <f t="shared" si="127"/>
        <v>3092.59</v>
      </c>
      <c r="W82" s="49">
        <f t="shared" si="127"/>
        <v>3592.59</v>
      </c>
      <c r="X82" s="49">
        <f t="shared" si="127"/>
        <v>4942.59</v>
      </c>
      <c r="Y82" s="49">
        <f t="shared" si="127"/>
        <v>6187.59</v>
      </c>
      <c r="Z82" s="49">
        <f t="shared" si="127"/>
        <v>6687.59</v>
      </c>
      <c r="AA82" s="49">
        <f t="shared" si="127"/>
        <v>7187.59</v>
      </c>
      <c r="AB82" s="49">
        <f t="shared" si="127"/>
        <v>7687.59</v>
      </c>
      <c r="AC82" s="49">
        <f t="shared" si="127"/>
        <v>8187.59</v>
      </c>
      <c r="AD82" s="49">
        <f t="shared" si="127"/>
        <v>8687.59</v>
      </c>
      <c r="AE82" s="49">
        <f t="shared" si="127"/>
        <v>9187.59</v>
      </c>
      <c r="AF82" s="49">
        <f t="shared" si="127"/>
        <v>9687.59</v>
      </c>
      <c r="AG82" s="49">
        <f t="shared" si="127"/>
        <v>10187.59</v>
      </c>
      <c r="AH82" s="49">
        <f t="shared" si="127"/>
        <v>10687.59</v>
      </c>
      <c r="AI82" s="49">
        <f t="shared" si="127"/>
        <v>11187.59</v>
      </c>
      <c r="AJ82" s="49">
        <f t="shared" si="127"/>
        <v>11687.59</v>
      </c>
      <c r="AK82" s="49">
        <f t="shared" si="127"/>
        <v>12187.59</v>
      </c>
      <c r="AL82" s="49">
        <f t="shared" si="127"/>
        <v>12687.59</v>
      </c>
      <c r="AM82" s="49">
        <f t="shared" si="127"/>
        <v>13187.59</v>
      </c>
      <c r="AN82" s="49">
        <f t="shared" si="127"/>
        <v>13687.59</v>
      </c>
    </row>
    <row r="83" spans="10:40" x14ac:dyDescent="0.3">
      <c r="J83" s="7"/>
      <c r="K83" s="13" t="s">
        <v>9</v>
      </c>
      <c r="L83" s="26"/>
      <c r="M83" s="26">
        <f>SUM(L80:L82)</f>
        <v>5744.1500000000005</v>
      </c>
      <c r="O83" s="53" t="s">
        <v>64</v>
      </c>
      <c r="P83" s="46">
        <v>0</v>
      </c>
      <c r="Q83" s="46">
        <f>P82</f>
        <v>-50846.890000000007</v>
      </c>
      <c r="R83" s="46">
        <f t="shared" ref="R83:AN83" si="128">Q84</f>
        <v>-55974.3</v>
      </c>
      <c r="S83" s="46">
        <f>R84</f>
        <v>-58745.601999999999</v>
      </c>
      <c r="T83" s="46">
        <f>S84</f>
        <v>-61628.76</v>
      </c>
      <c r="U83" s="46">
        <f t="shared" si="128"/>
        <v>-61286.17</v>
      </c>
      <c r="V83" s="46">
        <f>U84</f>
        <v>-59643.58</v>
      </c>
      <c r="W83" s="46">
        <f t="shared" si="128"/>
        <v>-56550.990000000005</v>
      </c>
      <c r="X83" s="46">
        <f t="shared" si="128"/>
        <v>-52958.400000000009</v>
      </c>
      <c r="Y83" s="46">
        <f t="shared" si="128"/>
        <v>-48015.810000000012</v>
      </c>
      <c r="Z83" s="46">
        <f t="shared" si="128"/>
        <v>-41828.220000000016</v>
      </c>
      <c r="AA83" s="46">
        <f t="shared" si="128"/>
        <v>-35140.630000000019</v>
      </c>
      <c r="AB83" s="46">
        <f t="shared" si="128"/>
        <v>-27953.040000000019</v>
      </c>
      <c r="AC83" s="46">
        <f t="shared" si="128"/>
        <v>-20265.450000000019</v>
      </c>
      <c r="AD83" s="46">
        <f t="shared" si="128"/>
        <v>-12077.860000000019</v>
      </c>
      <c r="AE83" s="46">
        <f t="shared" si="128"/>
        <v>-3390.2700000000186</v>
      </c>
      <c r="AF83" s="60">
        <f t="shared" si="128"/>
        <v>5797.3199999999815</v>
      </c>
      <c r="AG83" s="60">
        <f t="shared" si="128"/>
        <v>15484.909999999982</v>
      </c>
      <c r="AH83" s="60">
        <f t="shared" si="128"/>
        <v>25672.499999999982</v>
      </c>
      <c r="AI83" s="60">
        <f t="shared" si="128"/>
        <v>36360.089999999982</v>
      </c>
      <c r="AJ83" s="60">
        <f t="shared" si="128"/>
        <v>47547.679999999978</v>
      </c>
      <c r="AK83" s="60">
        <f t="shared" si="128"/>
        <v>59235.269999999975</v>
      </c>
      <c r="AL83" s="60">
        <f t="shared" si="128"/>
        <v>71422.859999999971</v>
      </c>
      <c r="AM83" s="60">
        <f t="shared" si="128"/>
        <v>84110.449999999968</v>
      </c>
      <c r="AN83" s="60">
        <f t="shared" si="128"/>
        <v>97298.039999999964</v>
      </c>
    </row>
    <row r="84" spans="10:40" x14ac:dyDescent="0.3">
      <c r="J84" s="7"/>
      <c r="K84" s="13"/>
      <c r="L84" s="26"/>
      <c r="M84" s="26"/>
      <c r="O84" s="54" t="s">
        <v>65</v>
      </c>
      <c r="P84" s="46">
        <f>P82</f>
        <v>-50846.890000000007</v>
      </c>
      <c r="Q84" s="46">
        <f t="shared" ref="Q84:AN84" si="129">Q83+Q82</f>
        <v>-55974.3</v>
      </c>
      <c r="R84" s="46">
        <f t="shared" si="129"/>
        <v>-58745.601999999999</v>
      </c>
      <c r="S84" s="46">
        <f t="shared" si="129"/>
        <v>-61628.76</v>
      </c>
      <c r="T84" s="46">
        <f t="shared" si="129"/>
        <v>-61286.17</v>
      </c>
      <c r="U84" s="46">
        <f t="shared" si="129"/>
        <v>-59643.58</v>
      </c>
      <c r="V84" s="46">
        <f t="shared" si="129"/>
        <v>-56550.990000000005</v>
      </c>
      <c r="W84" s="46">
        <f t="shared" si="129"/>
        <v>-52958.400000000009</v>
      </c>
      <c r="X84" s="46">
        <f t="shared" si="129"/>
        <v>-48015.810000000012</v>
      </c>
      <c r="Y84" s="46">
        <f t="shared" si="129"/>
        <v>-41828.220000000016</v>
      </c>
      <c r="Z84" s="46">
        <f t="shared" si="129"/>
        <v>-35140.630000000019</v>
      </c>
      <c r="AA84" s="46">
        <f t="shared" si="129"/>
        <v>-27953.040000000019</v>
      </c>
      <c r="AB84" s="46">
        <f t="shared" si="129"/>
        <v>-20265.450000000019</v>
      </c>
      <c r="AC84" s="46">
        <f t="shared" si="129"/>
        <v>-12077.860000000019</v>
      </c>
      <c r="AD84" s="57">
        <f t="shared" si="129"/>
        <v>-3390.2700000000186</v>
      </c>
      <c r="AE84" s="55">
        <f t="shared" si="129"/>
        <v>5797.3199999999815</v>
      </c>
      <c r="AF84" s="55">
        <f t="shared" si="129"/>
        <v>15484.909999999982</v>
      </c>
      <c r="AG84" s="55">
        <f t="shared" si="129"/>
        <v>25672.499999999982</v>
      </c>
      <c r="AH84" s="55">
        <f t="shared" si="129"/>
        <v>36360.089999999982</v>
      </c>
      <c r="AI84" s="55">
        <f t="shared" si="129"/>
        <v>47547.679999999978</v>
      </c>
      <c r="AJ84" s="55">
        <f t="shared" si="129"/>
        <v>59235.269999999975</v>
      </c>
      <c r="AK84" s="55">
        <f t="shared" si="129"/>
        <v>71422.859999999971</v>
      </c>
      <c r="AL84" s="55">
        <f t="shared" si="129"/>
        <v>84110.449999999968</v>
      </c>
      <c r="AM84" s="55">
        <f t="shared" si="129"/>
        <v>97298.039999999964</v>
      </c>
      <c r="AN84" s="55">
        <f t="shared" si="129"/>
        <v>110985.62999999996</v>
      </c>
    </row>
    <row r="85" spans="10:40" x14ac:dyDescent="0.3">
      <c r="J85" s="7"/>
      <c r="K85" s="14" t="s">
        <v>38</v>
      </c>
      <c r="L85" s="22"/>
      <c r="M85" s="22">
        <f>2400+(B35*4)</f>
        <v>4034.08</v>
      </c>
      <c r="AM85" s="54" t="s">
        <v>91</v>
      </c>
      <c r="AN85" s="61">
        <f>IRR(P82:AN82)</f>
        <v>6.8716644677022654E-2</v>
      </c>
    </row>
    <row r="86" spans="10:40" x14ac:dyDescent="0.3">
      <c r="J86" s="7"/>
      <c r="K86" s="14"/>
      <c r="L86" s="22"/>
      <c r="M86" s="22"/>
    </row>
    <row r="87" spans="10:40" x14ac:dyDescent="0.3">
      <c r="J87" s="7"/>
      <c r="K87" s="14" t="s">
        <v>0</v>
      </c>
      <c r="L87" s="24"/>
      <c r="M87" s="22"/>
      <c r="P87" s="42">
        <v>0</v>
      </c>
      <c r="Q87" s="42">
        <f>P87+1</f>
        <v>1</v>
      </c>
      <c r="R87" s="42">
        <f t="shared" ref="R87:AN87" si="130">Q87+1</f>
        <v>2</v>
      </c>
      <c r="S87" s="42">
        <f>R87+1</f>
        <v>3</v>
      </c>
      <c r="T87" s="42">
        <f>S87+1</f>
        <v>4</v>
      </c>
      <c r="U87" s="42">
        <f t="shared" si="130"/>
        <v>5</v>
      </c>
      <c r="V87" s="42">
        <f>U87+1</f>
        <v>6</v>
      </c>
      <c r="W87" s="42">
        <f t="shared" si="130"/>
        <v>7</v>
      </c>
      <c r="X87" s="42">
        <f t="shared" si="130"/>
        <v>8</v>
      </c>
      <c r="Y87" s="42">
        <f t="shared" si="130"/>
        <v>9</v>
      </c>
      <c r="Z87" s="42">
        <f t="shared" si="130"/>
        <v>10</v>
      </c>
      <c r="AA87" s="42">
        <f t="shared" si="130"/>
        <v>11</v>
      </c>
      <c r="AB87" s="42">
        <f t="shared" si="130"/>
        <v>12</v>
      </c>
      <c r="AC87" s="42">
        <f t="shared" si="130"/>
        <v>13</v>
      </c>
      <c r="AD87" s="42">
        <f t="shared" si="130"/>
        <v>14</v>
      </c>
      <c r="AE87" s="42">
        <f t="shared" si="130"/>
        <v>15</v>
      </c>
      <c r="AF87" s="42">
        <f t="shared" si="130"/>
        <v>16</v>
      </c>
      <c r="AG87" s="42">
        <f t="shared" si="130"/>
        <v>17</v>
      </c>
      <c r="AH87" s="42">
        <f t="shared" si="130"/>
        <v>18</v>
      </c>
      <c r="AI87" s="42">
        <f t="shared" si="130"/>
        <v>19</v>
      </c>
      <c r="AJ87" s="42">
        <f t="shared" si="130"/>
        <v>20</v>
      </c>
      <c r="AK87" s="42">
        <f t="shared" si="130"/>
        <v>21</v>
      </c>
      <c r="AL87" s="42">
        <f t="shared" si="130"/>
        <v>22</v>
      </c>
      <c r="AM87" s="42">
        <f t="shared" si="130"/>
        <v>23</v>
      </c>
      <c r="AN87" s="42">
        <f t="shared" si="130"/>
        <v>24</v>
      </c>
    </row>
    <row r="88" spans="10:40" x14ac:dyDescent="0.3">
      <c r="J88" s="7"/>
      <c r="K88" s="30" t="s">
        <v>11</v>
      </c>
      <c r="L88" s="22">
        <v>2278.29</v>
      </c>
      <c r="M88" s="22"/>
      <c r="P88" s="21">
        <f>$P$82/POWER((1+0.01),O88)</f>
        <v>-50846.890000000007</v>
      </c>
      <c r="Q88" s="21">
        <f>Q82/POWER((1+0.01),Q71)</f>
        <v>-5076.6435643564355</v>
      </c>
      <c r="R88" s="21">
        <f t="shared" ref="R88:AN88" si="131">R82/POWER((1+0.01),R71)</f>
        <v>-2716.6964023134983</v>
      </c>
      <c r="S88" s="21">
        <f t="shared" si="131"/>
        <v>-2798.3647497187721</v>
      </c>
      <c r="T88" s="21">
        <f t="shared" si="131"/>
        <v>329.22225621636818</v>
      </c>
      <c r="U88" s="21">
        <f t="shared" si="131"/>
        <v>1562.8680238059696</v>
      </c>
      <c r="V88" s="21">
        <f t="shared" si="131"/>
        <v>2913.3596740948069</v>
      </c>
      <c r="W88" s="21">
        <f t="shared" si="131"/>
        <v>3350.873556160308</v>
      </c>
      <c r="X88" s="21">
        <f t="shared" si="131"/>
        <v>4564.3989406088513</v>
      </c>
      <c r="Y88" s="21">
        <f t="shared" si="131"/>
        <v>5657.5599530686432</v>
      </c>
      <c r="Z88" s="21">
        <f t="shared" si="131"/>
        <v>6054.1879853352466</v>
      </c>
      <c r="AA88" s="21">
        <f t="shared" si="131"/>
        <v>6442.4073887938021</v>
      </c>
      <c r="AB88" s="21">
        <f t="shared" si="131"/>
        <v>6822.3457896561431</v>
      </c>
      <c r="AC88" s="21">
        <f t="shared" si="131"/>
        <v>7194.1291111769497</v>
      </c>
      <c r="AD88" s="21">
        <f t="shared" si="131"/>
        <v>7557.8815948645179</v>
      </c>
      <c r="AE88" s="21">
        <f t="shared" si="131"/>
        <v>7913.7258214384674</v>
      </c>
      <c r="AF88" s="21">
        <f t="shared" si="131"/>
        <v>8261.7827315372815</v>
      </c>
      <c r="AG88" s="21">
        <f t="shared" si="131"/>
        <v>8602.1716461786527</v>
      </c>
      <c r="AH88" s="21">
        <f t="shared" si="131"/>
        <v>8935.01028697539</v>
      </c>
      <c r="AI88" s="21">
        <f t="shared" si="131"/>
        <v>9260.4147961098315</v>
      </c>
      <c r="AJ88" s="21">
        <f t="shared" si="131"/>
        <v>9578.4997560694701</v>
      </c>
      <c r="AK88" s="21">
        <f t="shared" si="131"/>
        <v>9889.3782091466528</v>
      </c>
      <c r="AL88" s="21">
        <f t="shared" si="131"/>
        <v>10193.161676704995</v>
      </c>
      <c r="AM88" s="21">
        <f t="shared" si="131"/>
        <v>10489.960178215311</v>
      </c>
      <c r="AN88" s="21">
        <f t="shared" si="131"/>
        <v>10779.882250063652</v>
      </c>
    </row>
    <row r="89" spans="10:40" x14ac:dyDescent="0.3">
      <c r="J89" s="7"/>
      <c r="K89" s="30" t="s">
        <v>12</v>
      </c>
      <c r="L89" s="22">
        <v>1786.9</v>
      </c>
      <c r="M89" s="22"/>
      <c r="P89" s="21">
        <v>-50846.890000000007</v>
      </c>
      <c r="Q89">
        <v>-55974.3</v>
      </c>
      <c r="R89">
        <v>-58745.601999999999</v>
      </c>
      <c r="S89">
        <v>-61628.76</v>
      </c>
      <c r="T89">
        <v>-61286.17</v>
      </c>
      <c r="U89">
        <v>-59643.58</v>
      </c>
      <c r="V89">
        <v>-56550.990000000005</v>
      </c>
      <c r="W89">
        <v>-52958.400000000009</v>
      </c>
      <c r="X89">
        <v>-48015.810000000012</v>
      </c>
      <c r="Y89">
        <v>-41828.220000000016</v>
      </c>
      <c r="Z89">
        <v>-35140.630000000019</v>
      </c>
      <c r="AA89">
        <v>-27953.040000000019</v>
      </c>
      <c r="AB89">
        <v>-20265.450000000019</v>
      </c>
      <c r="AC89">
        <v>-12077.860000000019</v>
      </c>
      <c r="AD89">
        <v>-3390.2700000000186</v>
      </c>
      <c r="AE89">
        <v>5797.3199999999815</v>
      </c>
      <c r="AF89">
        <v>15484.909999999982</v>
      </c>
      <c r="AG89">
        <v>25672.499999999982</v>
      </c>
      <c r="AH89">
        <v>36360.089999999982</v>
      </c>
      <c r="AI89">
        <v>47547.679999999978</v>
      </c>
      <c r="AJ89">
        <v>59235.269999999975</v>
      </c>
      <c r="AK89">
        <v>71422.859999999971</v>
      </c>
      <c r="AL89">
        <v>84110.449999999968</v>
      </c>
      <c r="AM89">
        <v>97298.039999999964</v>
      </c>
      <c r="AN89">
        <v>110985.62999999996</v>
      </c>
    </row>
    <row r="90" spans="10:40" x14ac:dyDescent="0.3">
      <c r="J90" s="7"/>
      <c r="K90" s="30" t="s">
        <v>7</v>
      </c>
      <c r="L90" s="22">
        <v>268.02999999999997</v>
      </c>
      <c r="M90" s="22"/>
    </row>
    <row r="91" spans="10:40" x14ac:dyDescent="0.3">
      <c r="J91" s="7"/>
      <c r="K91" s="14" t="s">
        <v>9</v>
      </c>
      <c r="L91" s="22"/>
      <c r="M91" s="22">
        <f>SUM(L88:L90)</f>
        <v>4333.22</v>
      </c>
    </row>
    <row r="92" spans="10:40" x14ac:dyDescent="0.3">
      <c r="J92" s="7"/>
      <c r="K92" s="28"/>
      <c r="L92" s="22"/>
      <c r="M92" s="22"/>
      <c r="P92" s="63" t="s">
        <v>89</v>
      </c>
      <c r="Q92" s="63" t="s">
        <v>88</v>
      </c>
      <c r="AH92" s="42">
        <v>0</v>
      </c>
      <c r="AI92" s="21">
        <v>-50846.890000000007</v>
      </c>
    </row>
    <row r="93" spans="10:40" x14ac:dyDescent="0.3">
      <c r="J93" s="7"/>
      <c r="K93" s="14" t="s">
        <v>61</v>
      </c>
      <c r="L93" s="22"/>
      <c r="M93" s="22"/>
      <c r="P93" s="62">
        <f t="array" ref="P93:Q117">TRANSPOSE(P87:AN88)</f>
        <v>0</v>
      </c>
      <c r="Q93" s="22">
        <v>-50846.890000000007</v>
      </c>
      <c r="AH93" s="42">
        <f t="shared" ref="AH93:AH116" si="132">AH92+1</f>
        <v>1</v>
      </c>
      <c r="AI93">
        <v>-55974.3</v>
      </c>
    </row>
    <row r="94" spans="10:40" x14ac:dyDescent="0.3">
      <c r="J94" s="7"/>
      <c r="K94" s="30" t="s">
        <v>44</v>
      </c>
      <c r="L94" s="22">
        <v>383.87</v>
      </c>
      <c r="M94" s="22"/>
      <c r="P94" s="62">
        <v>1</v>
      </c>
      <c r="Q94" s="22">
        <v>-5076.6435643564355</v>
      </c>
      <c r="AH94" s="42">
        <f t="shared" si="132"/>
        <v>2</v>
      </c>
      <c r="AI94">
        <v>-58745.601999999999</v>
      </c>
    </row>
    <row r="95" spans="10:40" x14ac:dyDescent="0.3">
      <c r="J95" s="7"/>
      <c r="K95" s="30" t="s">
        <v>43</v>
      </c>
      <c r="L95" s="22">
        <v>162.08000000000001</v>
      </c>
      <c r="M95" s="22"/>
      <c r="P95" s="62">
        <v>2</v>
      </c>
      <c r="Q95" s="22">
        <v>-2716.6964023134983</v>
      </c>
      <c r="AH95" s="42">
        <f t="shared" si="132"/>
        <v>3</v>
      </c>
      <c r="AI95">
        <v>-61628.76</v>
      </c>
    </row>
    <row r="96" spans="10:40" x14ac:dyDescent="0.3">
      <c r="J96" s="7"/>
      <c r="K96" s="30" t="s">
        <v>42</v>
      </c>
      <c r="L96" s="22">
        <v>383.87</v>
      </c>
      <c r="M96" s="22"/>
      <c r="P96" s="62">
        <v>3</v>
      </c>
      <c r="Q96" s="22">
        <v>-2798.3647497187721</v>
      </c>
      <c r="AH96" s="42">
        <f t="shared" si="132"/>
        <v>4</v>
      </c>
      <c r="AI96">
        <v>-61286.17</v>
      </c>
    </row>
    <row r="97" spans="10:35" x14ac:dyDescent="0.3">
      <c r="J97" s="7"/>
      <c r="K97" s="14" t="s">
        <v>9</v>
      </c>
      <c r="L97" s="22"/>
      <c r="M97" s="22">
        <f>SUM(L94:L96)</f>
        <v>929.82</v>
      </c>
      <c r="P97" s="62">
        <v>4</v>
      </c>
      <c r="Q97" s="22">
        <v>329.22225621636818</v>
      </c>
      <c r="AH97" s="42">
        <f t="shared" si="132"/>
        <v>5</v>
      </c>
      <c r="AI97">
        <v>-59643.58</v>
      </c>
    </row>
    <row r="98" spans="10:35" x14ac:dyDescent="0.3">
      <c r="J98" s="7"/>
      <c r="K98" s="28"/>
      <c r="L98" s="22"/>
      <c r="M98" s="22"/>
      <c r="P98" s="62">
        <v>5</v>
      </c>
      <c r="Q98" s="22">
        <v>1562.8680238059696</v>
      </c>
      <c r="AH98" s="42">
        <f t="shared" si="132"/>
        <v>6</v>
      </c>
      <c r="AI98">
        <v>-56550.990000000005</v>
      </c>
    </row>
    <row r="99" spans="10:35" x14ac:dyDescent="0.3">
      <c r="J99" s="7"/>
      <c r="K99" s="14" t="s">
        <v>32</v>
      </c>
      <c r="L99" s="22"/>
      <c r="M99" s="22"/>
      <c r="P99" s="62">
        <v>6</v>
      </c>
      <c r="Q99" s="22">
        <v>2913.3596740948069</v>
      </c>
      <c r="AH99" s="42">
        <f t="shared" si="132"/>
        <v>7</v>
      </c>
      <c r="AI99">
        <v>-52958.400000000009</v>
      </c>
    </row>
    <row r="100" spans="10:35" x14ac:dyDescent="0.3">
      <c r="J100" s="7"/>
      <c r="K100" s="28" t="s">
        <v>45</v>
      </c>
      <c r="L100" s="22">
        <v>900.51</v>
      </c>
      <c r="M100" s="22"/>
      <c r="P100" s="62">
        <v>7</v>
      </c>
      <c r="Q100" s="22">
        <v>3350.873556160308</v>
      </c>
      <c r="AH100" s="42">
        <f t="shared" si="132"/>
        <v>8</v>
      </c>
      <c r="AI100">
        <v>-48015.810000000012</v>
      </c>
    </row>
    <row r="101" spans="10:35" x14ac:dyDescent="0.3">
      <c r="J101" s="7"/>
      <c r="K101" s="28" t="s">
        <v>46</v>
      </c>
      <c r="L101" s="22">
        <v>138.69</v>
      </c>
      <c r="M101" s="22"/>
      <c r="P101" s="62">
        <v>8</v>
      </c>
      <c r="Q101" s="22">
        <v>4564.3989406088513</v>
      </c>
      <c r="AH101" s="42">
        <f t="shared" si="132"/>
        <v>9</v>
      </c>
      <c r="AI101">
        <v>-41828.220000000016</v>
      </c>
    </row>
    <row r="102" spans="10:35" x14ac:dyDescent="0.3">
      <c r="J102" s="7"/>
      <c r="K102" s="29" t="s">
        <v>47</v>
      </c>
      <c r="L102" s="34">
        <v>400.45</v>
      </c>
      <c r="M102" s="22"/>
      <c r="P102" s="62">
        <v>9</v>
      </c>
      <c r="Q102" s="22">
        <v>5657.5599530686432</v>
      </c>
      <c r="AH102" s="42">
        <f t="shared" si="132"/>
        <v>10</v>
      </c>
      <c r="AI102">
        <v>-35140.630000000019</v>
      </c>
    </row>
    <row r="103" spans="10:35" x14ac:dyDescent="0.3">
      <c r="J103" s="7"/>
      <c r="K103" s="13" t="s">
        <v>9</v>
      </c>
      <c r="L103" s="9"/>
      <c r="M103" s="22">
        <f>SUM(L100:L102)</f>
        <v>1439.65</v>
      </c>
      <c r="P103" s="62">
        <v>10</v>
      </c>
      <c r="Q103" s="22">
        <v>6054.1879853352466</v>
      </c>
      <c r="AH103" s="42">
        <f t="shared" si="132"/>
        <v>11</v>
      </c>
      <c r="AI103">
        <v>-27953.040000000019</v>
      </c>
    </row>
    <row r="104" spans="10:35" x14ac:dyDescent="0.3">
      <c r="J104" s="7"/>
      <c r="K104" s="28"/>
      <c r="L104" s="9"/>
      <c r="M104" s="22"/>
      <c r="P104" s="62">
        <v>11</v>
      </c>
      <c r="Q104" s="22">
        <v>6442.4073887938021</v>
      </c>
      <c r="AH104" s="42">
        <f t="shared" si="132"/>
        <v>12</v>
      </c>
      <c r="AI104">
        <v>-20265.450000000019</v>
      </c>
    </row>
    <row r="105" spans="10:35" x14ac:dyDescent="0.3">
      <c r="J105" s="7"/>
      <c r="K105" s="13" t="s">
        <v>62</v>
      </c>
      <c r="L105" s="9"/>
      <c r="M105" s="35">
        <f>(52*60)/12</f>
        <v>260</v>
      </c>
      <c r="P105" s="62">
        <v>12</v>
      </c>
      <c r="Q105" s="22">
        <v>6822.3457896561431</v>
      </c>
      <c r="AH105" s="42">
        <f t="shared" si="132"/>
        <v>13</v>
      </c>
      <c r="AI105">
        <v>-12077.860000000019</v>
      </c>
    </row>
    <row r="106" spans="10:35" x14ac:dyDescent="0.3">
      <c r="J106" s="7"/>
      <c r="K106" s="9"/>
      <c r="L106" s="9"/>
      <c r="M106" s="9"/>
      <c r="P106" s="62">
        <v>13</v>
      </c>
      <c r="Q106" s="22">
        <v>7194.1291111769497</v>
      </c>
      <c r="AH106" s="42">
        <f t="shared" si="132"/>
        <v>14</v>
      </c>
      <c r="AI106">
        <v>-3390.2700000000186</v>
      </c>
    </row>
    <row r="107" spans="10:35" x14ac:dyDescent="0.3">
      <c r="J107" s="7"/>
      <c r="K107" s="13" t="s">
        <v>49</v>
      </c>
      <c r="L107" s="9"/>
      <c r="M107" s="34">
        <v>155</v>
      </c>
      <c r="P107" s="62">
        <v>14</v>
      </c>
      <c r="Q107" s="22">
        <v>7557.8815948645179</v>
      </c>
      <c r="AH107" s="42">
        <f t="shared" si="132"/>
        <v>15</v>
      </c>
      <c r="AI107">
        <v>5797.3199999999815</v>
      </c>
    </row>
    <row r="108" spans="10:35" x14ac:dyDescent="0.3">
      <c r="J108" s="7"/>
      <c r="K108" s="9"/>
      <c r="L108" s="9"/>
      <c r="M108" s="22"/>
      <c r="P108" s="62">
        <v>15</v>
      </c>
      <c r="Q108" s="22">
        <v>7913.7258214384674</v>
      </c>
      <c r="AH108" s="42">
        <f t="shared" si="132"/>
        <v>16</v>
      </c>
      <c r="AI108">
        <v>15484.909999999982</v>
      </c>
    </row>
    <row r="109" spans="10:35" x14ac:dyDescent="0.3">
      <c r="J109" s="7"/>
      <c r="K109" s="13" t="s">
        <v>50</v>
      </c>
      <c r="L109" s="9"/>
      <c r="M109" s="22">
        <v>100</v>
      </c>
      <c r="P109" s="62">
        <v>16</v>
      </c>
      <c r="Q109" s="22">
        <v>8261.7827315372815</v>
      </c>
      <c r="AH109" s="42">
        <f t="shared" si="132"/>
        <v>17</v>
      </c>
      <c r="AI109">
        <v>25672.499999999982</v>
      </c>
    </row>
    <row r="110" spans="10:35" x14ac:dyDescent="0.3">
      <c r="J110" s="7"/>
      <c r="K110" s="9"/>
      <c r="L110" s="9"/>
      <c r="M110" s="22"/>
      <c r="P110" s="62">
        <v>17</v>
      </c>
      <c r="Q110" s="22">
        <v>8602.1716461786527</v>
      </c>
      <c r="AH110" s="42">
        <f t="shared" si="132"/>
        <v>18</v>
      </c>
      <c r="AI110">
        <v>36360.089999999982</v>
      </c>
    </row>
    <row r="111" spans="10:35" x14ac:dyDescent="0.3">
      <c r="J111" s="7"/>
      <c r="K111" s="4" t="s">
        <v>51</v>
      </c>
      <c r="L111" s="9"/>
      <c r="M111" s="22">
        <v>40</v>
      </c>
      <c r="P111" s="62">
        <v>18</v>
      </c>
      <c r="Q111" s="22">
        <v>8935.01028697539</v>
      </c>
      <c r="AH111" s="42">
        <f t="shared" si="132"/>
        <v>19</v>
      </c>
      <c r="AI111">
        <v>47547.679999999978</v>
      </c>
    </row>
    <row r="112" spans="10:35" x14ac:dyDescent="0.3">
      <c r="J112" s="7"/>
      <c r="K112" s="9"/>
      <c r="L112" s="9"/>
      <c r="M112" s="22"/>
      <c r="P112" s="62">
        <v>19</v>
      </c>
      <c r="Q112" s="22">
        <v>9260.4147961098315</v>
      </c>
      <c r="AH112" s="42">
        <f t="shared" si="132"/>
        <v>20</v>
      </c>
      <c r="AI112">
        <v>59235.269999999975</v>
      </c>
    </row>
    <row r="113" spans="10:35" x14ac:dyDescent="0.3">
      <c r="J113" s="9" t="s">
        <v>9</v>
      </c>
      <c r="K113" s="13" t="s">
        <v>48</v>
      </c>
      <c r="L113" s="9"/>
      <c r="M113" s="22">
        <v>15000</v>
      </c>
      <c r="P113" s="62">
        <v>20</v>
      </c>
      <c r="Q113" s="22">
        <v>9578.4997560694701</v>
      </c>
      <c r="AH113" s="42">
        <f t="shared" si="132"/>
        <v>21</v>
      </c>
      <c r="AI113">
        <v>71422.859999999971</v>
      </c>
    </row>
    <row r="114" spans="10:35" x14ac:dyDescent="0.3">
      <c r="J114" s="7"/>
      <c r="K114" s="9"/>
      <c r="L114" s="9"/>
      <c r="M114" s="22">
        <f>SUM(M77:M113)</f>
        <v>51846.890000000007</v>
      </c>
      <c r="P114" s="62">
        <v>21</v>
      </c>
      <c r="Q114" s="22">
        <v>9889.3782091466528</v>
      </c>
      <c r="AH114" s="42">
        <f t="shared" si="132"/>
        <v>22</v>
      </c>
      <c r="AI114">
        <v>84110.449999999968</v>
      </c>
    </row>
    <row r="115" spans="10:35" x14ac:dyDescent="0.3">
      <c r="J115" s="5" t="s">
        <v>63</v>
      </c>
      <c r="K115" s="9"/>
      <c r="L115" s="9"/>
      <c r="M115" s="9"/>
      <c r="P115" s="62">
        <v>22</v>
      </c>
      <c r="Q115" s="22">
        <v>10193.161676704995</v>
      </c>
      <c r="AH115" s="42">
        <f t="shared" si="132"/>
        <v>23</v>
      </c>
      <c r="AI115">
        <v>97298.039999999964</v>
      </c>
    </row>
    <row r="116" spans="10:35" x14ac:dyDescent="0.3">
      <c r="J116" s="5" t="s">
        <v>64</v>
      </c>
      <c r="K116" s="9"/>
      <c r="L116" s="9"/>
      <c r="M116" s="22">
        <f>M73-M114</f>
        <v>13388.109999999993</v>
      </c>
      <c r="P116" s="62">
        <v>23</v>
      </c>
      <c r="Q116" s="22">
        <v>10489.960178215311</v>
      </c>
      <c r="AH116" s="42">
        <f t="shared" si="132"/>
        <v>24</v>
      </c>
      <c r="AI116">
        <v>110985.62999999996</v>
      </c>
    </row>
    <row r="117" spans="10:35" x14ac:dyDescent="0.3">
      <c r="J117" s="4" t="s">
        <v>65</v>
      </c>
      <c r="K117" s="9"/>
      <c r="L117" s="9"/>
      <c r="M117" s="9">
        <v>0</v>
      </c>
      <c r="P117" s="62">
        <v>24</v>
      </c>
      <c r="Q117" s="22">
        <v>10779.882250063652</v>
      </c>
    </row>
    <row r="118" spans="10:35" x14ac:dyDescent="0.3">
      <c r="K118" s="9"/>
      <c r="L118" s="9"/>
      <c r="M118" s="22">
        <f>M116</f>
        <v>13388.109999999993</v>
      </c>
      <c r="P118" s="64" t="s">
        <v>81</v>
      </c>
      <c r="Q118" s="22">
        <f>SUM(Q93:Q117)</f>
        <v>84914.626909832587</v>
      </c>
    </row>
    <row r="122" spans="10:35" x14ac:dyDescent="0.3">
      <c r="J122" t="s">
        <v>31</v>
      </c>
    </row>
    <row r="123" spans="10:35" x14ac:dyDescent="0.3">
      <c r="J123" t="s">
        <v>28</v>
      </c>
      <c r="K123" s="22">
        <v>19810.97</v>
      </c>
    </row>
    <row r="124" spans="10:35" x14ac:dyDescent="0.3">
      <c r="J124" t="s">
        <v>25</v>
      </c>
      <c r="K124">
        <v>5744.1500000000005</v>
      </c>
    </row>
    <row r="125" spans="10:35" x14ac:dyDescent="0.3">
      <c r="J125" t="s">
        <v>68</v>
      </c>
      <c r="K125">
        <v>4333.22</v>
      </c>
    </row>
    <row r="126" spans="10:35" x14ac:dyDescent="0.3">
      <c r="J126" t="s">
        <v>32</v>
      </c>
      <c r="K126">
        <v>929.82</v>
      </c>
    </row>
    <row r="127" spans="10:35" x14ac:dyDescent="0.3">
      <c r="J127" t="s">
        <v>69</v>
      </c>
      <c r="K127">
        <v>1439.65</v>
      </c>
    </row>
    <row r="128" spans="10:35" x14ac:dyDescent="0.3">
      <c r="J128" t="s">
        <v>50</v>
      </c>
      <c r="K128" s="34">
        <v>155</v>
      </c>
    </row>
    <row r="129" spans="10:21" x14ac:dyDescent="0.3">
      <c r="J129" t="s">
        <v>51</v>
      </c>
      <c r="K129" s="22">
        <v>100</v>
      </c>
    </row>
    <row r="130" spans="10:21" x14ac:dyDescent="0.3">
      <c r="J130" t="s">
        <v>48</v>
      </c>
      <c r="K130" s="22">
        <v>40</v>
      </c>
    </row>
    <row r="131" spans="10:21" x14ac:dyDescent="0.3">
      <c r="J131" t="s">
        <v>9</v>
      </c>
      <c r="K131" s="22">
        <v>15000</v>
      </c>
      <c r="S131" s="4" t="s">
        <v>52</v>
      </c>
      <c r="T131" s="4" t="s">
        <v>54</v>
      </c>
      <c r="U131" s="38" t="s">
        <v>53</v>
      </c>
    </row>
    <row r="132" spans="10:21" x14ac:dyDescent="0.3">
      <c r="K132" s="21">
        <f>SUM(K123:K131)</f>
        <v>47552.810000000005</v>
      </c>
      <c r="S132" s="9" t="s">
        <v>44</v>
      </c>
      <c r="T132" s="36">
        <v>5</v>
      </c>
      <c r="U132" s="37">
        <f>L40/T132</f>
        <v>76.774000000000001</v>
      </c>
    </row>
    <row r="133" spans="10:21" x14ac:dyDescent="0.3">
      <c r="S133" s="9" t="str">
        <f>K41</f>
        <v>Ruler</v>
      </c>
      <c r="T133" s="36">
        <v>1</v>
      </c>
      <c r="U133" s="37">
        <f>L41/T133</f>
        <v>162.08000000000001</v>
      </c>
    </row>
    <row r="134" spans="10:21" x14ac:dyDescent="0.3">
      <c r="S134" s="9" t="str">
        <f>K42</f>
        <v>Protractor</v>
      </c>
      <c r="T134" s="36">
        <v>2.5</v>
      </c>
      <c r="U134" s="37">
        <f>L42/T134</f>
        <v>153.548</v>
      </c>
    </row>
    <row r="135" spans="10:21" x14ac:dyDescent="0.3">
      <c r="S135" s="9" t="str">
        <f>K43</f>
        <v>Key chain</v>
      </c>
      <c r="T135" s="36">
        <v>3</v>
      </c>
      <c r="U135" s="37">
        <f>L43/T135</f>
        <v>20</v>
      </c>
    </row>
    <row r="136" spans="10:21" x14ac:dyDescent="0.3">
      <c r="Q136" t="s">
        <v>92</v>
      </c>
      <c r="S136" s="9" t="str">
        <f>K45</f>
        <v>Water bottles</v>
      </c>
      <c r="T136" s="36">
        <v>12</v>
      </c>
      <c r="U136" s="37">
        <f>L45/T136</f>
        <v>166.66666666666666</v>
      </c>
    </row>
    <row r="137" spans="10:21" x14ac:dyDescent="0.3">
      <c r="S137" s="9" t="str">
        <f>K44</f>
        <v>Bins</v>
      </c>
      <c r="T137" s="36">
        <v>25</v>
      </c>
      <c r="U137" s="37">
        <f>L44/T137</f>
        <v>16</v>
      </c>
    </row>
    <row r="138" spans="10:21" x14ac:dyDescent="0.3">
      <c r="S138" s="66" t="s">
        <v>82</v>
      </c>
      <c r="T138" s="58">
        <v>25</v>
      </c>
      <c r="U138" s="37">
        <f>X35/T138</f>
        <v>11.118560000000002</v>
      </c>
    </row>
    <row r="139" spans="10:21" x14ac:dyDescent="0.3">
      <c r="S139" s="67" t="s">
        <v>72</v>
      </c>
      <c r="T139" s="58">
        <v>10</v>
      </c>
      <c r="U139" s="37">
        <f>277.96/T139</f>
        <v>27.795999999999999</v>
      </c>
    </row>
    <row r="140" spans="10:21" x14ac:dyDescent="0.3">
      <c r="S140" s="67" t="s">
        <v>73</v>
      </c>
      <c r="T140" s="58">
        <v>10</v>
      </c>
      <c r="U140" s="37">
        <f t="shared" ref="U140:U145" si="133">277.96/T140</f>
        <v>27.795999999999999</v>
      </c>
    </row>
    <row r="141" spans="10:21" x14ac:dyDescent="0.3">
      <c r="S141" s="67" t="s">
        <v>74</v>
      </c>
      <c r="T141" s="58">
        <v>5</v>
      </c>
      <c r="U141" s="37">
        <f t="shared" si="133"/>
        <v>55.591999999999999</v>
      </c>
    </row>
    <row r="142" spans="10:21" x14ac:dyDescent="0.3">
      <c r="S142" s="67" t="s">
        <v>75</v>
      </c>
      <c r="T142" s="58">
        <v>5</v>
      </c>
      <c r="U142" s="37">
        <f t="shared" si="133"/>
        <v>55.591999999999999</v>
      </c>
    </row>
    <row r="143" spans="10:21" x14ac:dyDescent="0.3">
      <c r="S143" s="67" t="s">
        <v>76</v>
      </c>
      <c r="T143" s="58">
        <v>5</v>
      </c>
      <c r="U143" s="37">
        <f t="shared" si="133"/>
        <v>55.591999999999999</v>
      </c>
    </row>
    <row r="144" spans="10:21" x14ac:dyDescent="0.3">
      <c r="S144" s="67" t="s">
        <v>77</v>
      </c>
      <c r="T144" s="58">
        <v>5</v>
      </c>
      <c r="U144" s="37">
        <f t="shared" si="133"/>
        <v>55.591999999999999</v>
      </c>
    </row>
    <row r="145" spans="19:21" x14ac:dyDescent="0.3">
      <c r="S145" s="65" t="s">
        <v>78</v>
      </c>
      <c r="T145" s="58">
        <v>20</v>
      </c>
      <c r="U145" s="37">
        <f t="shared" si="133"/>
        <v>13.898</v>
      </c>
    </row>
  </sheetData>
  <mergeCells count="2">
    <mergeCell ref="P70:AN70"/>
    <mergeCell ref="AS46:BQ46"/>
  </mergeCells>
  <conditionalFormatting sqref="P82:AN84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Q93:Q118">
    <cfRule type="cellIs" dxfId="3" priority="4" operator="greaterThan">
      <formula>0</formula>
    </cfRule>
  </conditionalFormatting>
  <conditionalFormatting sqref="Q93:Q96">
    <cfRule type="cellIs" dxfId="2" priority="3" operator="lessThan">
      <formula>0</formula>
    </cfRule>
  </conditionalFormatting>
  <conditionalFormatting sqref="AS58:BQ6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12" ma:contentTypeDescription="Create a new document." ma:contentTypeScope="" ma:versionID="49a09667806856debebf3e838688b769">
  <xsd:schema xmlns:xsd="http://www.w3.org/2001/XMLSchema" xmlns:xs="http://www.w3.org/2001/XMLSchema" xmlns:p="http://schemas.microsoft.com/office/2006/metadata/properties" xmlns:ns2="804e8fd3-6c94-4aaf-a7fe-71d4db2b51fb" xmlns:ns3="2a5e1925-7273-4a13-b0eb-23fc8b38671d" targetNamespace="http://schemas.microsoft.com/office/2006/metadata/properties" ma:root="true" ma:fieldsID="9fa715c2886b5ae96b89f06b60e2a606" ns2:_="" ns3:_="">
    <xsd:import namespace="804e8fd3-6c94-4aaf-a7fe-71d4db2b51fb"/>
    <xsd:import namespace="2a5e1925-7273-4a13-b0eb-23fc8b386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1925-7273-4a13-b0eb-23fc8b386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55112-A041-484A-BE4E-B2E847082BD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804e8fd3-6c94-4aaf-a7fe-71d4db2b51fb"/>
    <ds:schemaRef ds:uri="2a5e1925-7273-4a13-b0eb-23fc8b38671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570F7E-A092-4158-B0BC-B44AE7F16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3560B-298B-4715-A291-AA440DBF1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e8fd3-6c94-4aaf-a7fe-71d4db2b51fb"/>
    <ds:schemaRef ds:uri="2a5e1925-7273-4a13-b0eb-23fc8b386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Brown</dc:creator>
  <cp:lastModifiedBy>Ross Brown</cp:lastModifiedBy>
  <dcterms:created xsi:type="dcterms:W3CDTF">2020-10-16T10:14:13Z</dcterms:created>
  <dcterms:modified xsi:type="dcterms:W3CDTF">2021-06-15T14:47:07Z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