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180" windowHeight="12660" firstSheet="8" activeTab="11"/>
  </bookViews>
  <sheets>
    <sheet name="Задание 1" sheetId="11" r:id="rId1"/>
    <sheet name="Задание 2" sheetId="12" r:id="rId2"/>
    <sheet name="Задание 3" sheetId="13" r:id="rId3"/>
    <sheet name="Задание 3 ч 2" sheetId="14" r:id="rId4"/>
    <sheet name="Задание 4" sheetId="15" r:id="rId5"/>
    <sheet name="Задание 4 ч 2" sheetId="16" r:id="rId6"/>
    <sheet name="Отчет по результатам 1" sheetId="18" r:id="rId7"/>
    <sheet name="Отчет по устойчивости 1" sheetId="19" r:id="rId8"/>
    <sheet name="Отчет по устойчивости 2" sheetId="20" r:id="rId9"/>
    <sheet name="Задание 5" sheetId="17" r:id="rId10"/>
    <sheet name="Задание 6" sheetId="21" r:id="rId11"/>
    <sheet name="Задание 7" sheetId="22" r:id="rId12"/>
  </sheets>
  <definedNames>
    <definedName name="_xlnm._FilterDatabase" localSheetId="11" hidden="1">'Задание 7'!$B$5:$G$25</definedName>
    <definedName name="solver_adj" localSheetId="9" hidden="1">'Задание 5'!$D$66:$F$66</definedName>
    <definedName name="solver_cvg" localSheetId="9" hidden="1">0.0001</definedName>
    <definedName name="solver_drv" localSheetId="9" hidden="1">1</definedName>
    <definedName name="solver_est" localSheetId="9" hidden="1">1</definedName>
    <definedName name="solver_itr" localSheetId="9" hidden="1">100</definedName>
    <definedName name="solver_lhs1" localSheetId="9" hidden="1">'Задание 5'!$C$69</definedName>
    <definedName name="solver_lhs2" localSheetId="9" hidden="1">'Задание 5'!$C$80</definedName>
    <definedName name="solver_lhs3" localSheetId="9" hidden="1">'Задание 5'!$F$87</definedName>
    <definedName name="solver_lin" localSheetId="9" hidden="1">2</definedName>
    <definedName name="solver_neg" localSheetId="9" hidden="1">2</definedName>
    <definedName name="solver_num" localSheetId="9" hidden="1">1</definedName>
    <definedName name="solver_nwt" localSheetId="9" hidden="1">1</definedName>
    <definedName name="solver_opt" localSheetId="9" hidden="1">'Задание 5'!$C$68</definedName>
    <definedName name="solver_pre" localSheetId="9" hidden="1">0.000001</definedName>
    <definedName name="solver_rel1" localSheetId="9" hidden="1">2</definedName>
    <definedName name="solver_rel2" localSheetId="9" hidden="1">2</definedName>
    <definedName name="solver_rel3" localSheetId="9" hidden="1">3</definedName>
    <definedName name="solver_rhs1" localSheetId="9" hidden="1">0</definedName>
    <definedName name="solver_rhs2" localSheetId="9" hidden="1">0</definedName>
    <definedName name="solver_rhs3" localSheetId="9" hidden="1">1</definedName>
    <definedName name="solver_scl" localSheetId="9" hidden="1">2</definedName>
    <definedName name="solver_sho" localSheetId="9" hidden="1">2</definedName>
    <definedName name="solver_tim" localSheetId="9" hidden="1">100</definedName>
    <definedName name="solver_tol" localSheetId="9" hidden="1">0.05</definedName>
    <definedName name="solver_typ" localSheetId="9" hidden="1">3</definedName>
    <definedName name="solver_val" localSheetId="9" hidden="1">0</definedName>
  </definedNames>
  <calcPr calcId="125725" iterate="1"/>
</workbook>
</file>

<file path=xl/calcChain.xml><?xml version="1.0" encoding="utf-8"?>
<calcChain xmlns="http://schemas.openxmlformats.org/spreadsheetml/2006/main">
  <c r="C69" i="17"/>
  <c r="C68"/>
  <c r="C80"/>
  <c r="C79"/>
  <c r="C78"/>
  <c r="G26" i="22"/>
  <c r="G22"/>
  <c r="G19"/>
  <c r="G17"/>
  <c r="G13"/>
  <c r="G10"/>
  <c r="G21"/>
  <c r="G16"/>
  <c r="G12"/>
  <c r="G9"/>
  <c r="G23"/>
  <c r="G20"/>
  <c r="G14"/>
  <c r="G18"/>
  <c r="G6"/>
  <c r="G7" s="1"/>
  <c r="G11"/>
  <c r="G8"/>
  <c r="G24"/>
  <c r="G15"/>
  <c r="G25"/>
  <c r="B30" i="21"/>
  <c r="B28"/>
  <c r="B22"/>
  <c r="B24"/>
  <c r="F92" i="17"/>
  <c r="F91"/>
  <c r="C92"/>
  <c r="C91"/>
  <c r="C60"/>
  <c r="C51"/>
  <c r="C48"/>
  <c r="C42"/>
  <c r="D42" s="1"/>
  <c r="C41"/>
  <c r="D41" s="1"/>
  <c r="C40"/>
  <c r="D40" s="1"/>
  <c r="C39"/>
  <c r="D39" s="1"/>
  <c r="C18"/>
  <c r="C21"/>
  <c r="C20"/>
  <c r="C19"/>
  <c r="C23" i="13"/>
  <c r="J21"/>
  <c r="I21"/>
  <c r="J15" i="14"/>
  <c r="I15"/>
  <c r="J14"/>
  <c r="I14"/>
  <c r="J13"/>
  <c r="I13"/>
  <c r="H12"/>
  <c r="G12"/>
  <c r="F12"/>
  <c r="E12"/>
  <c r="D12"/>
  <c r="C12"/>
  <c r="I12" s="1"/>
  <c r="J11"/>
  <c r="I11"/>
  <c r="H8"/>
  <c r="G8"/>
  <c r="F8"/>
  <c r="E8"/>
  <c r="D8"/>
  <c r="C8"/>
  <c r="H7"/>
  <c r="G7"/>
  <c r="F7"/>
  <c r="E7"/>
  <c r="D7"/>
  <c r="C7"/>
  <c r="J6"/>
  <c r="I6"/>
  <c r="D21" i="13"/>
  <c r="E21"/>
  <c r="F21"/>
  <c r="G21"/>
  <c r="H21"/>
  <c r="C21"/>
  <c r="J7"/>
  <c r="J8"/>
  <c r="J9"/>
  <c r="J10"/>
  <c r="J11"/>
  <c r="J12"/>
  <c r="J13"/>
  <c r="J14"/>
  <c r="J15"/>
  <c r="J16"/>
  <c r="J17"/>
  <c r="J18"/>
  <c r="J19"/>
  <c r="J6"/>
  <c r="I7"/>
  <c r="I8"/>
  <c r="I9"/>
  <c r="I10"/>
  <c r="I11"/>
  <c r="I12"/>
  <c r="I13"/>
  <c r="I14"/>
  <c r="I15"/>
  <c r="I16"/>
  <c r="I17"/>
  <c r="I18"/>
  <c r="I19"/>
  <c r="I6"/>
  <c r="C16"/>
  <c r="D9"/>
  <c r="E9"/>
  <c r="F9"/>
  <c r="G9"/>
  <c r="H9"/>
  <c r="C9"/>
  <c r="D7"/>
  <c r="E7"/>
  <c r="F7"/>
  <c r="G7"/>
  <c r="H7"/>
  <c r="D8"/>
  <c r="E8"/>
  <c r="F8"/>
  <c r="G8"/>
  <c r="H8"/>
  <c r="D10"/>
  <c r="E10"/>
  <c r="F10"/>
  <c r="G10"/>
  <c r="H10"/>
  <c r="D12"/>
  <c r="E12"/>
  <c r="F12"/>
  <c r="G12"/>
  <c r="H12"/>
  <c r="D16"/>
  <c r="D17" s="1"/>
  <c r="E16"/>
  <c r="F16"/>
  <c r="G16"/>
  <c r="H16"/>
  <c r="E17"/>
  <c r="F17"/>
  <c r="F18" s="1"/>
  <c r="G17"/>
  <c r="G18" s="1"/>
  <c r="H17"/>
  <c r="H18" s="1"/>
  <c r="E18"/>
  <c r="C12"/>
  <c r="C10"/>
  <c r="C17" s="1"/>
  <c r="C8"/>
  <c r="C7"/>
  <c r="I18" i="12"/>
  <c r="J18"/>
  <c r="D12"/>
  <c r="E12"/>
  <c r="F12"/>
  <c r="G12"/>
  <c r="H12"/>
  <c r="D13"/>
  <c r="E13"/>
  <c r="F13"/>
  <c r="G13"/>
  <c r="H13"/>
  <c r="D14"/>
  <c r="E14"/>
  <c r="F14"/>
  <c r="G14"/>
  <c r="H14"/>
  <c r="D15"/>
  <c r="E15"/>
  <c r="F15"/>
  <c r="G15"/>
  <c r="H15"/>
  <c r="C15"/>
  <c r="C14"/>
  <c r="C13"/>
  <c r="C12"/>
  <c r="D7"/>
  <c r="D20" s="1"/>
  <c r="E7"/>
  <c r="E20" s="1"/>
  <c r="F7"/>
  <c r="F20" s="1"/>
  <c r="G7"/>
  <c r="G20" s="1"/>
  <c r="H7"/>
  <c r="H20" s="1"/>
  <c r="D8"/>
  <c r="E8"/>
  <c r="F8"/>
  <c r="G8"/>
  <c r="H8"/>
  <c r="D9"/>
  <c r="E9"/>
  <c r="F9"/>
  <c r="G9"/>
  <c r="H9"/>
  <c r="C9"/>
  <c r="C8"/>
  <c r="C7"/>
  <c r="C20" s="1"/>
  <c r="D8" i="11"/>
  <c r="E8"/>
  <c r="F8"/>
  <c r="G8"/>
  <c r="H8"/>
  <c r="D9"/>
  <c r="E9"/>
  <c r="F9"/>
  <c r="G9"/>
  <c r="H9"/>
  <c r="D10"/>
  <c r="E10"/>
  <c r="F10"/>
  <c r="G10"/>
  <c r="H10"/>
  <c r="D11"/>
  <c r="E11"/>
  <c r="F11"/>
  <c r="G11"/>
  <c r="H11"/>
  <c r="D12"/>
  <c r="E12"/>
  <c r="F12"/>
  <c r="G12"/>
  <c r="H12"/>
  <c r="D13"/>
  <c r="E13"/>
  <c r="F13"/>
  <c r="G13"/>
  <c r="H13"/>
  <c r="D14"/>
  <c r="E14"/>
  <c r="F14"/>
  <c r="G14"/>
  <c r="H14"/>
  <c r="D15"/>
  <c r="E15"/>
  <c r="F15"/>
  <c r="G15"/>
  <c r="H15"/>
  <c r="D16"/>
  <c r="E16"/>
  <c r="F16"/>
  <c r="G16"/>
  <c r="H16"/>
  <c r="D17"/>
  <c r="E17"/>
  <c r="F17"/>
  <c r="G17"/>
  <c r="H17"/>
  <c r="D18"/>
  <c r="E18"/>
  <c r="F18"/>
  <c r="G18"/>
  <c r="H18"/>
  <c r="C18"/>
  <c r="C17"/>
  <c r="C16"/>
  <c r="C15"/>
  <c r="C14"/>
  <c r="C13"/>
  <c r="C12"/>
  <c r="C11"/>
  <c r="C10"/>
  <c r="C9"/>
  <c r="C8"/>
  <c r="D7"/>
  <c r="E7"/>
  <c r="F7"/>
  <c r="G7"/>
  <c r="H7"/>
  <c r="C7"/>
  <c r="G27" i="22" l="1"/>
  <c r="I7" i="14"/>
  <c r="J7"/>
  <c r="J8"/>
  <c r="D9"/>
  <c r="F9"/>
  <c r="H9"/>
  <c r="J12"/>
  <c r="I8"/>
  <c r="C9"/>
  <c r="E9"/>
  <c r="G9"/>
  <c r="G19" i="13"/>
  <c r="E19"/>
  <c r="C18"/>
  <c r="C19" s="1"/>
  <c r="H19"/>
  <c r="F19"/>
  <c r="D18"/>
  <c r="D19" s="1"/>
  <c r="J20" i="12"/>
  <c r="J9"/>
  <c r="J12"/>
  <c r="J14"/>
  <c r="J8"/>
  <c r="J13"/>
  <c r="J15"/>
  <c r="I20"/>
  <c r="I15"/>
  <c r="I14"/>
  <c r="I13"/>
  <c r="I12"/>
  <c r="I9"/>
  <c r="I8"/>
  <c r="G16"/>
  <c r="E16"/>
  <c r="H16"/>
  <c r="F16"/>
  <c r="D16"/>
  <c r="C16"/>
  <c r="J7"/>
  <c r="H10"/>
  <c r="F10"/>
  <c r="D10"/>
  <c r="C10"/>
  <c r="G10"/>
  <c r="E10"/>
  <c r="I7"/>
  <c r="I7" i="11"/>
  <c r="G19"/>
  <c r="E19"/>
  <c r="I8"/>
  <c r="I10"/>
  <c r="I12"/>
  <c r="I14"/>
  <c r="I16"/>
  <c r="I18"/>
  <c r="H19"/>
  <c r="F19"/>
  <c r="D19"/>
  <c r="I9"/>
  <c r="I11"/>
  <c r="I13"/>
  <c r="I15"/>
  <c r="I17"/>
  <c r="C19"/>
  <c r="J18"/>
  <c r="J16"/>
  <c r="J14"/>
  <c r="J12"/>
  <c r="J10"/>
  <c r="J8"/>
  <c r="J17"/>
  <c r="J15"/>
  <c r="J13"/>
  <c r="J11"/>
  <c r="J9"/>
  <c r="J7"/>
  <c r="E10" i="14" l="1"/>
  <c r="E16" s="1"/>
  <c r="E17" s="1"/>
  <c r="H10"/>
  <c r="H16" s="1"/>
  <c r="H17" s="1"/>
  <c r="D10"/>
  <c r="D16" s="1"/>
  <c r="D17" s="1"/>
  <c r="G10"/>
  <c r="G16" s="1"/>
  <c r="G17" s="1"/>
  <c r="C10"/>
  <c r="C16" s="1"/>
  <c r="I9"/>
  <c r="J9"/>
  <c r="F10"/>
  <c r="F16" s="1"/>
  <c r="F17" s="1"/>
  <c r="J16" i="12"/>
  <c r="I16"/>
  <c r="J10"/>
  <c r="I10"/>
  <c r="E19"/>
  <c r="E21" s="1"/>
  <c r="E23" s="1"/>
  <c r="F19"/>
  <c r="F21" s="1"/>
  <c r="F23" s="1"/>
  <c r="G19"/>
  <c r="G21" s="1"/>
  <c r="G23" s="1"/>
  <c r="D19"/>
  <c r="D21" s="1"/>
  <c r="D23" s="1"/>
  <c r="H19"/>
  <c r="H21" s="1"/>
  <c r="H23" s="1"/>
  <c r="C19"/>
  <c r="I19" i="11"/>
  <c r="J19"/>
  <c r="I16" i="14" l="1"/>
  <c r="J16"/>
  <c r="C17"/>
  <c r="D18"/>
  <c r="D19" s="1"/>
  <c r="D21" s="1"/>
  <c r="E19"/>
  <c r="E21" s="1"/>
  <c r="E18"/>
  <c r="F19"/>
  <c r="F21" s="1"/>
  <c r="F18"/>
  <c r="G19"/>
  <c r="G21" s="1"/>
  <c r="G18"/>
  <c r="H18"/>
  <c r="H19" s="1"/>
  <c r="H21" s="1"/>
  <c r="I10"/>
  <c r="J10"/>
  <c r="C21" i="12"/>
  <c r="J19"/>
  <c r="I19"/>
  <c r="C19" i="14" l="1"/>
  <c r="C18"/>
  <c r="I17"/>
  <c r="J17"/>
  <c r="C23" i="12"/>
  <c r="J21"/>
  <c r="I21"/>
  <c r="C21" i="14" l="1"/>
  <c r="I19"/>
  <c r="I21" s="1"/>
  <c r="J19"/>
  <c r="J21" s="1"/>
  <c r="I18"/>
  <c r="J18"/>
  <c r="J23" i="12"/>
  <c r="I23"/>
</calcChain>
</file>

<file path=xl/sharedStrings.xml><?xml version="1.0" encoding="utf-8"?>
<sst xmlns="http://schemas.openxmlformats.org/spreadsheetml/2006/main" count="329" uniqueCount="190">
  <si>
    <t>Магазин "Лоток"</t>
  </si>
  <si>
    <t>Объем продаж по месяцам</t>
  </si>
  <si>
    <t>Наименование</t>
  </si>
  <si>
    <t>1. помидоры</t>
  </si>
  <si>
    <t>2. огурцы</t>
  </si>
  <si>
    <t>3. картошка</t>
  </si>
  <si>
    <t>4. зелень</t>
  </si>
  <si>
    <t>5. бананы</t>
  </si>
  <si>
    <t>6. яблоки</t>
  </si>
  <si>
    <t>7. груши</t>
  </si>
  <si>
    <t>8. свекла</t>
  </si>
  <si>
    <t>9. лук</t>
  </si>
  <si>
    <t>10. вишня</t>
  </si>
  <si>
    <t>11. апельсины</t>
  </si>
  <si>
    <t>12. шампиньоны</t>
  </si>
  <si>
    <t>ИТОГО</t>
  </si>
  <si>
    <t>Всего</t>
  </si>
  <si>
    <t>Максимум</t>
  </si>
  <si>
    <t>Январь</t>
  </si>
  <si>
    <t>Февраль</t>
  </si>
  <si>
    <t>Март</t>
  </si>
  <si>
    <t>Апрель</t>
  </si>
  <si>
    <t>Май</t>
  </si>
  <si>
    <t>Июнь</t>
  </si>
  <si>
    <t>БЮДЖЕТ</t>
  </si>
  <si>
    <t>В среднем</t>
  </si>
  <si>
    <t>- основная работа</t>
  </si>
  <si>
    <t>- сделка</t>
  </si>
  <si>
    <t>- доп. источники</t>
  </si>
  <si>
    <t>Доход</t>
  </si>
  <si>
    <t>- коммунальные платежи</t>
  </si>
  <si>
    <t>- расходы на питание</t>
  </si>
  <si>
    <t>- транспортные расходы</t>
  </si>
  <si>
    <t>- развлечения</t>
  </si>
  <si>
    <t>Расходы</t>
  </si>
  <si>
    <t>- ипотечные выплаты</t>
  </si>
  <si>
    <t>- подоходный налог</t>
  </si>
  <si>
    <t>- профсоюзный сбор</t>
  </si>
  <si>
    <t>Выплаты</t>
  </si>
  <si>
    <t>Остаток</t>
  </si>
  <si>
    <t>Задание 3. Составление формул.</t>
  </si>
  <si>
    <t>Задание 2. Построение Таблицы "Бюджет".</t>
  </si>
  <si>
    <t>Задание 1. Построение простых таблиц.</t>
  </si>
  <si>
    <t>Предприятие "Чистые ручьи"</t>
  </si>
  <si>
    <t>Параметры расчета</t>
  </si>
  <si>
    <t>Выручка от реализации с НДС</t>
  </si>
  <si>
    <t>НДС (20%)</t>
  </si>
  <si>
    <t>Выручка от реализации без НДС</t>
  </si>
  <si>
    <t>Материальные затраты</t>
  </si>
  <si>
    <t>Амортизация</t>
  </si>
  <si>
    <t>Фонд оплаты труда (ФОТ)</t>
  </si>
  <si>
    <t>Отчисления на ФОТ (30% от ФОТ)</t>
  </si>
  <si>
    <t>Рента</t>
  </si>
  <si>
    <t>Лизинг</t>
  </si>
  <si>
    <t>Выплаты процентов</t>
  </si>
  <si>
    <t>Себестоимость</t>
  </si>
  <si>
    <t>Валовая прибыль</t>
  </si>
  <si>
    <t>Налог на прибыль (20%)</t>
  </si>
  <si>
    <t>Чистая прибыль</t>
  </si>
  <si>
    <t>Рентабельность</t>
  </si>
  <si>
    <t>Задание 3 ч 2. Составление формул.</t>
  </si>
  <si>
    <t>Темп прироста рентабельности</t>
  </si>
  <si>
    <t>Задание 4. Построение и редактирование диаграмм.</t>
  </si>
  <si>
    <t>Задание 4 ч 2. Построение и редактирование диаграмм.</t>
  </si>
  <si>
    <t>Задание 5. Построение прогноза, решение оптимизационных и поисковых задач.</t>
  </si>
  <si>
    <t>Ряд данных</t>
  </si>
  <si>
    <t>ЛТ</t>
  </si>
  <si>
    <t>Прогноз</t>
  </si>
  <si>
    <t>Тенденция</t>
  </si>
  <si>
    <t>Рост</t>
  </si>
  <si>
    <t>ЛГРФПРИБЛ</t>
  </si>
  <si>
    <t>1. Составьте прогноз на 1 период вперед для следующего ряда данных:</t>
  </si>
  <si>
    <t>2. Составьте прогноз на ноябрь для следующего ряда данных:</t>
  </si>
  <si>
    <t>Июль</t>
  </si>
  <si>
    <t>Август</t>
  </si>
  <si>
    <t>Сентябрь</t>
  </si>
  <si>
    <t>Октябрь</t>
  </si>
  <si>
    <t>Ноябрь</t>
  </si>
  <si>
    <t>ряд данных</t>
  </si>
  <si>
    <t>подмена</t>
  </si>
  <si>
    <t>расчетный прогноз</t>
  </si>
  <si>
    <t>3. Составьте прогноз рентабельности и выручки от реализации с НДС для примера из 3 задания</t>
  </si>
  <si>
    <t>разница</t>
  </si>
  <si>
    <t>Прогноз рентабельности от реализации с НДС через 3 месяца</t>
  </si>
  <si>
    <t>Прогноз выручки от реализации с НДС через 3 месяца</t>
  </si>
  <si>
    <t>4. Найдите максимум функции</t>
  </si>
  <si>
    <t>y=10*COS(x)*(0,5*x^2+3*x-4)</t>
  </si>
  <si>
    <t>функция</t>
  </si>
  <si>
    <t>ограничения</t>
  </si>
  <si>
    <t>x=</t>
  </si>
  <si>
    <t>Microsoft Excel 12.0 Отчет по результатам</t>
  </si>
  <si>
    <t>Рабочий лист: [Всеволожский В.Н. Б.ИСТ.РВС.20.35.xlsx]Задание 5</t>
  </si>
  <si>
    <t>Отчет создан: 22.06.2022 16:08:30</t>
  </si>
  <si>
    <t>Целевая ячейка (Максимум)</t>
  </si>
  <si>
    <t>Ячейка</t>
  </si>
  <si>
    <t>Имя</t>
  </si>
  <si>
    <t>Исходное значение</t>
  </si>
  <si>
    <t>Результат</t>
  </si>
  <si>
    <t>Изменяемые ячейки</t>
  </si>
  <si>
    <t>Ограничения</t>
  </si>
  <si>
    <t>Значение</t>
  </si>
  <si>
    <t>Формула</t>
  </si>
  <si>
    <t>Статус</t>
  </si>
  <si>
    <t>Разница</t>
  </si>
  <si>
    <t>$B$57</t>
  </si>
  <si>
    <t>$C$56</t>
  </si>
  <si>
    <t>x= Ряд данных</t>
  </si>
  <si>
    <t>$C$56&gt;=$E$55</t>
  </si>
  <si>
    <t>не связан.</t>
  </si>
  <si>
    <t>$C$56&lt;=$F$55</t>
  </si>
  <si>
    <t>Microsoft Excel 12.0 Отчет по устойчивости</t>
  </si>
  <si>
    <t>Результ.</t>
  </si>
  <si>
    <t>значение</t>
  </si>
  <si>
    <t>Нормир.</t>
  </si>
  <si>
    <t>градиент</t>
  </si>
  <si>
    <t>НЕТ</t>
  </si>
  <si>
    <t>y=</t>
  </si>
  <si>
    <t>5. Решить систему уравнений</t>
  </si>
  <si>
    <t>2*x^3-4*y+2*z^2=3</t>
  </si>
  <si>
    <t>x^2-2*y^2-0,5*z=0</t>
  </si>
  <si>
    <t>x+y^2-0,1*z^3=1</t>
  </si>
  <si>
    <t>5*x-2*y+2*z=2</t>
  </si>
  <si>
    <t>3*x+2*y-1*z=0</t>
  </si>
  <si>
    <t>x</t>
  </si>
  <si>
    <t>y</t>
  </si>
  <si>
    <t>z</t>
  </si>
  <si>
    <t>Отчет создан: 22.06.2022 17:12:21</t>
  </si>
  <si>
    <t>$D$65</t>
  </si>
  <si>
    <t>$E$65</t>
  </si>
  <si>
    <t>$F$65</t>
  </si>
  <si>
    <t>6. Приближенно решить систему уравнений</t>
  </si>
  <si>
    <t>7. Задача про бак</t>
  </si>
  <si>
    <t>r</t>
  </si>
  <si>
    <t>h</t>
  </si>
  <si>
    <t>V</t>
  </si>
  <si>
    <t>Pi</t>
  </si>
  <si>
    <t>S</t>
  </si>
  <si>
    <t>S min</t>
  </si>
  <si>
    <t>S max</t>
  </si>
  <si>
    <t>Задание 6. Работа со списками.</t>
  </si>
  <si>
    <t>Компания</t>
  </si>
  <si>
    <t>Водитель</t>
  </si>
  <si>
    <t>Маршрут</t>
  </si>
  <si>
    <t>Количество рейсов</t>
  </si>
  <si>
    <t>Выручка</t>
  </si>
  <si>
    <t>Приорите</t>
  </si>
  <si>
    <t>Петров</t>
  </si>
  <si>
    <t>Таксо</t>
  </si>
  <si>
    <t>Сидоро</t>
  </si>
  <si>
    <t>Кузнецо</t>
  </si>
  <si>
    <t>Степано</t>
  </si>
  <si>
    <t>Черныш</t>
  </si>
  <si>
    <t>Горшко</t>
  </si>
  <si>
    <t>Онищен</t>
  </si>
  <si>
    <t>Ярцев</t>
  </si>
  <si>
    <t>Петряев</t>
  </si>
  <si>
    <t>Семено</t>
  </si>
  <si>
    <t>Иванов</t>
  </si>
  <si>
    <t>Елкин</t>
  </si>
  <si>
    <t>Никоно</t>
  </si>
  <si>
    <t>руб.</t>
  </si>
  <si>
    <t>- выручка на маршруте №</t>
  </si>
  <si>
    <t>Задание 7. Анализ данных и подведения итогов.</t>
  </si>
  <si>
    <t>Реализация товаров за II квартал 2022 г.</t>
  </si>
  <si>
    <t>Месяц</t>
  </si>
  <si>
    <t>Дата</t>
  </si>
  <si>
    <t>Наименование товара</t>
  </si>
  <si>
    <t>Цена, руб</t>
  </si>
  <si>
    <t>Продано, шт</t>
  </si>
  <si>
    <t>май</t>
  </si>
  <si>
    <t>апрель</t>
  </si>
  <si>
    <t>июнь</t>
  </si>
  <si>
    <t>Тетрадь 48л</t>
  </si>
  <si>
    <t>Тетрадь 18л</t>
  </si>
  <si>
    <t>Скрепки мет</t>
  </si>
  <si>
    <t>Ручка капил</t>
  </si>
  <si>
    <t>Скрепки пл</t>
  </si>
  <si>
    <t>Карандаш</t>
  </si>
  <si>
    <t>Ручка шарик</t>
  </si>
  <si>
    <t>Общий итог</t>
  </si>
  <si>
    <t>Карандаш Итог</t>
  </si>
  <si>
    <t>Ручка капил Итог</t>
  </si>
  <si>
    <t>Ручка шарик Итог</t>
  </si>
  <si>
    <t>Скрепки мет Итог</t>
  </si>
  <si>
    <t>Скрепки пл Итог</t>
  </si>
  <si>
    <t>Тетрадь 18л Итог</t>
  </si>
  <si>
    <t>Тетрадь 48л Итог</t>
  </si>
  <si>
    <t>Уравнение 1</t>
  </si>
  <si>
    <t>Уравнение 2</t>
  </si>
  <si>
    <t>Уравнение 3</t>
  </si>
</sst>
</file>

<file path=xl/styles.xml><?xml version="1.0" encoding="utf-8"?>
<styleSheet xmlns="http://schemas.openxmlformats.org/spreadsheetml/2006/main">
  <numFmts count="3">
    <numFmt numFmtId="164" formatCode="#,##0.00\ _₽"/>
    <numFmt numFmtId="165" formatCode="0.0"/>
    <numFmt numFmtId="166" formatCode="0.0000"/>
  </numFmts>
  <fonts count="7">
    <font>
      <sz val="10"/>
      <name val="Arial Cyr"/>
      <charset val="204"/>
    </font>
    <font>
      <sz val="10"/>
      <color theme="7" tint="-0.249977111117893"/>
      <name val="Arial Cyr"/>
      <charset val="204"/>
    </font>
    <font>
      <b/>
      <sz val="10"/>
      <name val="Arial Cyr"/>
      <charset val="204"/>
    </font>
    <font>
      <sz val="10"/>
      <color theme="6" tint="-0.249977111117893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  <font>
      <b/>
      <sz val="10"/>
      <color indexed="18"/>
      <name val="Arial Cyr"/>
      <charset val="204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3" fontId="0" fillId="0" borderId="0" xfId="0" applyNumberFormat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8" xfId="0" applyBorder="1"/>
    <xf numFmtId="0" fontId="2" fillId="0" borderId="17" xfId="0" applyFont="1" applyBorder="1"/>
    <xf numFmtId="0" fontId="2" fillId="0" borderId="15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9" xfId="0" applyBorder="1"/>
    <xf numFmtId="0" fontId="1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49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0" fillId="0" borderId="15" xfId="0" applyNumberFormat="1" applyBorder="1"/>
    <xf numFmtId="164" fontId="0" fillId="0" borderId="2" xfId="0" applyNumberFormat="1" applyBorder="1"/>
    <xf numFmtId="164" fontId="0" fillId="0" borderId="2" xfId="0" applyNumberFormat="1" applyFont="1" applyBorder="1"/>
    <xf numFmtId="0" fontId="0" fillId="0" borderId="5" xfId="0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5" xfId="0" applyNumberForma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0" xfId="0" applyAlignment="1">
      <alignment horizontal="center"/>
    </xf>
    <xf numFmtId="0" fontId="0" fillId="0" borderId="0" xfId="0" applyAlignmen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1" fontId="5" fillId="0" borderId="0" xfId="0" applyNumberFormat="1" applyFont="1"/>
    <xf numFmtId="0" fontId="2" fillId="0" borderId="0" xfId="0" applyFont="1" applyAlignment="1">
      <alignment horizontal="left"/>
    </xf>
    <xf numFmtId="10" fontId="2" fillId="0" borderId="0" xfId="0" applyNumberFormat="1" applyFont="1"/>
    <xf numFmtId="2" fontId="2" fillId="0" borderId="0" xfId="0" applyNumberFormat="1" applyFont="1"/>
    <xf numFmtId="0" fontId="0" fillId="0" borderId="30" xfId="0" applyFill="1" applyBorder="1" applyAlignment="1"/>
    <xf numFmtId="0" fontId="6" fillId="0" borderId="29" xfId="0" applyFont="1" applyFill="1" applyBorder="1" applyAlignment="1">
      <alignment horizontal="center"/>
    </xf>
    <xf numFmtId="0" fontId="0" fillId="0" borderId="31" xfId="0" applyFill="1" applyBorder="1" applyAlignment="1"/>
    <xf numFmtId="0" fontId="0" fillId="0" borderId="30" xfId="0" applyNumberFormat="1" applyFill="1" applyBorder="1" applyAlignment="1"/>
    <xf numFmtId="0" fontId="0" fillId="0" borderId="31" xfId="0" applyNumberFormat="1" applyFill="1" applyBorder="1" applyAlignment="1"/>
    <xf numFmtId="0" fontId="6" fillId="0" borderId="27" xfId="0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2" fillId="0" borderId="32" xfId="0" applyFont="1" applyBorder="1" applyAlignment="1">
      <alignment horizontal="right"/>
    </xf>
    <xf numFmtId="166" fontId="2" fillId="0" borderId="33" xfId="0" applyNumberFormat="1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166" fontId="2" fillId="0" borderId="34" xfId="0" applyNumberFormat="1" applyFont="1" applyBorder="1" applyAlignment="1">
      <alignment horizontal="left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1" xfId="0" applyBorder="1"/>
    <xf numFmtId="0" fontId="0" fillId="0" borderId="37" xfId="0" applyBorder="1"/>
    <xf numFmtId="0" fontId="0" fillId="0" borderId="34" xfId="0" applyBorder="1"/>
    <xf numFmtId="2" fontId="2" fillId="0" borderId="37" xfId="0" applyNumberFormat="1" applyFont="1" applyBorder="1"/>
    <xf numFmtId="2" fontId="2" fillId="0" borderId="34" xfId="0" applyNumberFormat="1" applyFont="1" applyBorder="1"/>
    <xf numFmtId="49" fontId="0" fillId="0" borderId="0" xfId="0" applyNumberForma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2" fillId="0" borderId="2" xfId="0" applyNumberFormat="1" applyFont="1" applyBorder="1"/>
    <xf numFmtId="0" fontId="2" fillId="0" borderId="2" xfId="0" applyFont="1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/>
    <xf numFmtId="49" fontId="0" fillId="0" borderId="43" xfId="0" applyNumberFormat="1" applyBorder="1"/>
    <xf numFmtId="49" fontId="0" fillId="0" borderId="43" xfId="0" applyNumberFormat="1" applyBorder="1" applyAlignment="1">
      <alignment horizontal="center"/>
    </xf>
    <xf numFmtId="49" fontId="0" fillId="0" borderId="44" xfId="0" applyNumberFormat="1" applyBorder="1" applyAlignment="1">
      <alignment horizontal="center" vertical="center"/>
    </xf>
    <xf numFmtId="0" fontId="0" fillId="0" borderId="39" xfId="0" applyBorder="1" applyAlignment="1">
      <alignment horizontal="center"/>
    </xf>
    <xf numFmtId="164" fontId="0" fillId="0" borderId="3" xfId="0" applyNumberFormat="1" applyFont="1" applyBorder="1"/>
    <xf numFmtId="164" fontId="0" fillId="0" borderId="3" xfId="0" applyNumberFormat="1" applyBorder="1"/>
    <xf numFmtId="164" fontId="0" fillId="0" borderId="19" xfId="0" applyNumberFormat="1" applyBorder="1"/>
    <xf numFmtId="0" fontId="0" fillId="0" borderId="9" xfId="0" applyBorder="1" applyAlignment="1">
      <alignment horizontal="center"/>
    </xf>
    <xf numFmtId="164" fontId="0" fillId="0" borderId="10" xfId="0" applyNumberFormat="1" applyBorder="1"/>
    <xf numFmtId="164" fontId="0" fillId="0" borderId="1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Себестоимость 1 пример</a:t>
            </a:r>
          </a:p>
        </c:rich>
      </c:tx>
      <c:layout/>
      <c:overlay val="1"/>
    </c:title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'Задание 3'!$C$5:$H$5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3'!$C$16:$H$16</c:f>
              <c:numCache>
                <c:formatCode>#,##0.00\ _₽</c:formatCode>
                <c:ptCount val="6"/>
                <c:pt idx="0">
                  <c:v>239000</c:v>
                </c:pt>
                <c:pt idx="1">
                  <c:v>248166.66666666669</c:v>
                </c:pt>
                <c:pt idx="2">
                  <c:v>237166.66666666666</c:v>
                </c:pt>
                <c:pt idx="3">
                  <c:v>229833.33333333334</c:v>
                </c:pt>
                <c:pt idx="4">
                  <c:v>257333.33333333331</c:v>
                </c:pt>
                <c:pt idx="5">
                  <c:v>245416.66666666669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Себестоимость 2 пример</a:t>
            </a:r>
          </a:p>
        </c:rich>
      </c:tx>
      <c:layout/>
      <c:overlay val="1"/>
    </c:title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'Задание 3 ч 2'!$C$5:$H$5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3 ч 2'!$C$16:$H$16</c:f>
              <c:numCache>
                <c:formatCode>#,##0.00\ _₽</c:formatCode>
                <c:ptCount val="6"/>
                <c:pt idx="0">
                  <c:v>239000</c:v>
                </c:pt>
                <c:pt idx="1">
                  <c:v>243583.33333333331</c:v>
                </c:pt>
                <c:pt idx="2">
                  <c:v>233500</c:v>
                </c:pt>
                <c:pt idx="3">
                  <c:v>229833.33333333334</c:v>
                </c:pt>
                <c:pt idx="4">
                  <c:v>240833.33333333334</c:v>
                </c:pt>
                <c:pt idx="5">
                  <c:v>239916.66666666666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  <a:r>
              <a:rPr lang="ru-RU" baseline="0"/>
              <a:t> 1 пример</a:t>
            </a:r>
            <a:endParaRPr lang="ru-RU"/>
          </a:p>
        </c:rich>
      </c:tx>
      <c:layout/>
    </c:title>
    <c:plotArea>
      <c:layout/>
      <c:barChart>
        <c:barDir val="col"/>
        <c:grouping val="percentStacked"/>
        <c:ser>
          <c:idx val="1"/>
          <c:order val="0"/>
          <c:tx>
            <c:v>НДС</c:v>
          </c:tx>
          <c:cat>
            <c:strRef>
              <c:f>'Задание 3'!$C$5:$H$5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3'!$C$7:$H$7</c:f>
              <c:numCache>
                <c:formatCode>#,##0.00\ _₽</c:formatCode>
                <c:ptCount val="6"/>
                <c:pt idx="0">
                  <c:v>50000</c:v>
                </c:pt>
                <c:pt idx="1">
                  <c:v>58333.333333333336</c:v>
                </c:pt>
                <c:pt idx="2">
                  <c:v>48333.333333333336</c:v>
                </c:pt>
                <c:pt idx="3">
                  <c:v>41666.666666666664</c:v>
                </c:pt>
                <c:pt idx="4">
                  <c:v>66666.666666666672</c:v>
                </c:pt>
                <c:pt idx="5">
                  <c:v>55833.333333333336</c:v>
                </c:pt>
              </c:numCache>
            </c:numRef>
          </c:val>
        </c:ser>
        <c:ser>
          <c:idx val="2"/>
          <c:order val="1"/>
          <c:tx>
            <c:v>Налог</c:v>
          </c:tx>
          <c:cat>
            <c:strRef>
              <c:f>'Задание 3'!$C$5:$H$5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3'!$C$18:$H$18</c:f>
              <c:numCache>
                <c:formatCode>#,##0.00\ _₽</c:formatCode>
                <c:ptCount val="6"/>
                <c:pt idx="0">
                  <c:v>2200</c:v>
                </c:pt>
                <c:pt idx="1">
                  <c:v>8700</c:v>
                </c:pt>
                <c:pt idx="2">
                  <c:v>900</c:v>
                </c:pt>
                <c:pt idx="3">
                  <c:v>-4300</c:v>
                </c:pt>
                <c:pt idx="4">
                  <c:v>15200</c:v>
                </c:pt>
                <c:pt idx="5">
                  <c:v>6750</c:v>
                </c:pt>
              </c:numCache>
            </c:numRef>
          </c:val>
        </c:ser>
        <c:overlap val="100"/>
        <c:axId val="161573120"/>
        <c:axId val="161591296"/>
      </c:barChart>
      <c:catAx>
        <c:axId val="161573120"/>
        <c:scaling>
          <c:orientation val="minMax"/>
        </c:scaling>
        <c:axPos val="b"/>
        <c:tickLblPos val="nextTo"/>
        <c:crossAx val="161591296"/>
        <c:crosses val="autoZero"/>
        <c:auto val="1"/>
        <c:lblAlgn val="ctr"/>
        <c:lblOffset val="100"/>
      </c:catAx>
      <c:valAx>
        <c:axId val="161591296"/>
        <c:scaling>
          <c:orientation val="minMax"/>
        </c:scaling>
        <c:axPos val="l"/>
        <c:majorGridlines/>
        <c:numFmt formatCode="0%" sourceLinked="1"/>
        <c:tickLblPos val="nextTo"/>
        <c:crossAx val="16157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2 пример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v>НДС</c:v>
          </c:tx>
          <c:cat>
            <c:strRef>
              <c:f>'Задание 3 ч 2'!$C$5:$H$5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3 ч 2'!$C$7:$H$7</c:f>
              <c:numCache>
                <c:formatCode>#,##0.00\ _₽</c:formatCode>
                <c:ptCount val="6"/>
                <c:pt idx="0">
                  <c:v>50000</c:v>
                </c:pt>
                <c:pt idx="1">
                  <c:v>54166.666666666664</c:v>
                </c:pt>
                <c:pt idx="2">
                  <c:v>45000</c:v>
                </c:pt>
                <c:pt idx="3">
                  <c:v>41666.666666666664</c:v>
                </c:pt>
                <c:pt idx="4">
                  <c:v>51666.666666666664</c:v>
                </c:pt>
                <c:pt idx="5">
                  <c:v>50833.333333333336</c:v>
                </c:pt>
              </c:numCache>
            </c:numRef>
          </c:val>
        </c:ser>
        <c:ser>
          <c:idx val="1"/>
          <c:order val="1"/>
          <c:tx>
            <c:v>Налог</c:v>
          </c:tx>
          <c:cat>
            <c:strRef>
              <c:f>'Задание 3 ч 2'!$C$5:$H$5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3 ч 2'!$C$18:$H$18</c:f>
              <c:numCache>
                <c:formatCode>#,##0.00\ _₽</c:formatCode>
                <c:ptCount val="6"/>
                <c:pt idx="0">
                  <c:v>2200</c:v>
                </c:pt>
                <c:pt idx="1">
                  <c:v>5450</c:v>
                </c:pt>
                <c:pt idx="2">
                  <c:v>-1700</c:v>
                </c:pt>
                <c:pt idx="3">
                  <c:v>-4300</c:v>
                </c:pt>
                <c:pt idx="4">
                  <c:v>3500</c:v>
                </c:pt>
                <c:pt idx="5">
                  <c:v>2850</c:v>
                </c:pt>
              </c:numCache>
            </c:numRef>
          </c:val>
        </c:ser>
        <c:overlap val="100"/>
        <c:axId val="161952128"/>
        <c:axId val="161953664"/>
      </c:barChart>
      <c:catAx>
        <c:axId val="161952128"/>
        <c:scaling>
          <c:orientation val="minMax"/>
        </c:scaling>
        <c:axPos val="b"/>
        <c:tickLblPos val="nextTo"/>
        <c:crossAx val="161953664"/>
        <c:crosses val="autoZero"/>
        <c:auto val="1"/>
        <c:lblAlgn val="ctr"/>
        <c:lblOffset val="100"/>
      </c:catAx>
      <c:valAx>
        <c:axId val="161953664"/>
        <c:scaling>
          <c:orientation val="minMax"/>
        </c:scaling>
        <c:axPos val="l"/>
        <c:majorGridlines/>
        <c:numFmt formatCode="0%" sourceLinked="1"/>
        <c:tickLblPos val="nextTo"/>
        <c:crossAx val="16195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Рентабельность</a:t>
            </a:r>
            <a:r>
              <a:rPr lang="ru-RU" baseline="0"/>
              <a:t> 1 пример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'Задание 3'!$C$5:$H$5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xVal>
          <c:yVal>
            <c:numRef>
              <c:f>'Задание 3'!$C$21:$H$21</c:f>
              <c:numCache>
                <c:formatCode>0.00%</c:formatCode>
                <c:ptCount val="6"/>
                <c:pt idx="0">
                  <c:v>3.682008368200837E-2</c:v>
                </c:pt>
                <c:pt idx="1">
                  <c:v>0.1402283411685695</c:v>
                </c:pt>
                <c:pt idx="2">
                  <c:v>1.5179198875614898E-2</c:v>
                </c:pt>
                <c:pt idx="3">
                  <c:v>-9.3546047860768672E-2</c:v>
                </c:pt>
                <c:pt idx="4">
                  <c:v>0.2362694300518135</c:v>
                </c:pt>
                <c:pt idx="5">
                  <c:v>0.11001697792869269</c:v>
                </c:pt>
              </c:numCache>
            </c:numRef>
          </c:yVal>
          <c:smooth val="1"/>
        </c:ser>
        <c:axId val="161961472"/>
        <c:axId val="161963008"/>
      </c:scatterChart>
      <c:valAx>
        <c:axId val="161961472"/>
        <c:scaling>
          <c:orientation val="minMax"/>
        </c:scaling>
        <c:axPos val="b"/>
        <c:tickLblPos val="nextTo"/>
        <c:crossAx val="161963008"/>
        <c:crosses val="autoZero"/>
        <c:crossBetween val="midCat"/>
      </c:valAx>
      <c:valAx>
        <c:axId val="161963008"/>
        <c:scaling>
          <c:orientation val="minMax"/>
        </c:scaling>
        <c:axPos val="l"/>
        <c:majorGridlines/>
        <c:numFmt formatCode="0.00%" sourceLinked="1"/>
        <c:tickLblPos val="nextTo"/>
        <c:crossAx val="16196147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Рентабельность 2 пример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'Задание 3 ч 2'!$C$5:$H$5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xVal>
          <c:yVal>
            <c:numRef>
              <c:f>'Задание 3 ч 2'!$C$21:$H$21</c:f>
              <c:numCache>
                <c:formatCode>0.00%</c:formatCode>
                <c:ptCount val="6"/>
                <c:pt idx="0">
                  <c:v>3.682008368200837E-2</c:v>
                </c:pt>
                <c:pt idx="1">
                  <c:v>8.949709202873761E-2</c:v>
                </c:pt>
                <c:pt idx="2">
                  <c:v>-3.6402569593147749E-2</c:v>
                </c:pt>
                <c:pt idx="3">
                  <c:v>-9.3546047860768672E-2</c:v>
                </c:pt>
                <c:pt idx="4">
                  <c:v>5.8131487889273352E-2</c:v>
                </c:pt>
                <c:pt idx="5">
                  <c:v>4.7516498784300108E-2</c:v>
                </c:pt>
              </c:numCache>
            </c:numRef>
          </c:yVal>
          <c:smooth val="1"/>
        </c:ser>
        <c:axId val="162003200"/>
        <c:axId val="161611776"/>
      </c:scatterChart>
      <c:valAx>
        <c:axId val="162003200"/>
        <c:scaling>
          <c:orientation val="minMax"/>
        </c:scaling>
        <c:axPos val="b"/>
        <c:tickLblPos val="nextTo"/>
        <c:crossAx val="161611776"/>
        <c:crosses val="autoZero"/>
        <c:crossBetween val="midCat"/>
      </c:valAx>
      <c:valAx>
        <c:axId val="161611776"/>
        <c:scaling>
          <c:orientation val="minMax"/>
        </c:scaling>
        <c:axPos val="l"/>
        <c:majorGridlines/>
        <c:numFmt formatCode="0.00%" sourceLinked="1"/>
        <c:tickLblPos val="nextTo"/>
        <c:crossAx val="16200320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Рентабельность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tx>
            <c:v>1 пример</c:v>
          </c:tx>
          <c:marker>
            <c:symbol val="none"/>
          </c:marker>
          <c:xVal>
            <c:strRef>
              <c:f>'Задание 3'!$C$5:$H$5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xVal>
          <c:yVal>
            <c:numRef>
              <c:f>'Задание 3'!$C$21:$H$21</c:f>
              <c:numCache>
                <c:formatCode>0.00%</c:formatCode>
                <c:ptCount val="6"/>
                <c:pt idx="0">
                  <c:v>3.682008368200837E-2</c:v>
                </c:pt>
                <c:pt idx="1">
                  <c:v>0.1402283411685695</c:v>
                </c:pt>
                <c:pt idx="2">
                  <c:v>1.5179198875614898E-2</c:v>
                </c:pt>
                <c:pt idx="3">
                  <c:v>-9.3546047860768672E-2</c:v>
                </c:pt>
                <c:pt idx="4">
                  <c:v>0.2362694300518135</c:v>
                </c:pt>
                <c:pt idx="5">
                  <c:v>0.11001697792869269</c:v>
                </c:pt>
              </c:numCache>
            </c:numRef>
          </c:yVal>
          <c:smooth val="1"/>
        </c:ser>
        <c:ser>
          <c:idx val="0"/>
          <c:order val="1"/>
          <c:tx>
            <c:v>2 пример</c:v>
          </c:tx>
          <c:marker>
            <c:symbol val="none"/>
          </c:marker>
          <c:xVal>
            <c:strRef>
              <c:f>'Задание 3 ч 2'!$C$5:$H$5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xVal>
          <c:yVal>
            <c:numRef>
              <c:f>'Задание 3 ч 2'!$C$21:$H$21</c:f>
              <c:numCache>
                <c:formatCode>0.00%</c:formatCode>
                <c:ptCount val="6"/>
                <c:pt idx="0">
                  <c:v>3.682008368200837E-2</c:v>
                </c:pt>
                <c:pt idx="1">
                  <c:v>8.949709202873761E-2</c:v>
                </c:pt>
                <c:pt idx="2">
                  <c:v>-3.6402569593147749E-2</c:v>
                </c:pt>
                <c:pt idx="3">
                  <c:v>-9.3546047860768672E-2</c:v>
                </c:pt>
                <c:pt idx="4">
                  <c:v>5.8131487889273352E-2</c:v>
                </c:pt>
                <c:pt idx="5">
                  <c:v>4.7516498784300108E-2</c:v>
                </c:pt>
              </c:numCache>
            </c:numRef>
          </c:yVal>
          <c:smooth val="1"/>
        </c:ser>
        <c:axId val="161632256"/>
        <c:axId val="161633792"/>
      </c:scatterChart>
      <c:valAx>
        <c:axId val="161632256"/>
        <c:scaling>
          <c:orientation val="minMax"/>
          <c:max val="6"/>
          <c:min val="1"/>
        </c:scaling>
        <c:axPos val="b"/>
        <c:numFmt formatCode="General" sourceLinked="0"/>
        <c:tickLblPos val="nextTo"/>
        <c:crossAx val="161633792"/>
        <c:crosses val="autoZero"/>
        <c:crossBetween val="midCat"/>
        <c:majorUnit val="1"/>
      </c:valAx>
      <c:valAx>
        <c:axId val="161633792"/>
        <c:scaling>
          <c:orientation val="minMax"/>
        </c:scaling>
        <c:axPos val="l"/>
        <c:majorGridlines/>
        <c:numFmt formatCode="0.00%" sourceLinked="1"/>
        <c:tickLblPos val="nextTo"/>
        <c:crossAx val="161632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perspective val="30"/>
    </c:view3D>
    <c:floor>
      <c:spPr>
        <a:solidFill>
          <a:schemeClr val="bg1">
            <a:lumMod val="95000"/>
          </a:schemeClr>
        </a:solidFill>
        <a:ln w="9525">
          <a:noFill/>
        </a:ln>
      </c:spPr>
    </c:floor>
    <c:sideWall>
      <c:spPr>
        <a:solidFill>
          <a:schemeClr val="accent3">
            <a:lumMod val="20000"/>
            <a:lumOff val="80000"/>
          </a:schemeClr>
        </a:solidFill>
      </c:spPr>
    </c:sideWall>
    <c:backWall>
      <c:spPr>
        <a:solidFill>
          <a:schemeClr val="accent3">
            <a:lumMod val="20000"/>
            <a:lumOff val="80000"/>
          </a:schemeClr>
        </a:solidFill>
        <a:ln w="25400">
          <a:noFill/>
        </a:ln>
      </c:spPr>
    </c:backWall>
    <c:plotArea>
      <c:layout/>
      <c:bar3DChart>
        <c:barDir val="col"/>
        <c:grouping val="standard"/>
        <c:ser>
          <c:idx val="0"/>
          <c:order val="0"/>
          <c:tx>
            <c:v>Пример 1</c:v>
          </c:tx>
          <c:cat>
            <c:strRef>
              <c:f>'Задание 3 ч 2'!$C$5:$H$5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3'!$C$19:$H$19</c:f>
              <c:numCache>
                <c:formatCode>#,##0.00\ _₽</c:formatCode>
                <c:ptCount val="6"/>
                <c:pt idx="0">
                  <c:v>8800</c:v>
                </c:pt>
                <c:pt idx="1">
                  <c:v>34800</c:v>
                </c:pt>
                <c:pt idx="2">
                  <c:v>3600</c:v>
                </c:pt>
                <c:pt idx="3">
                  <c:v>-21500</c:v>
                </c:pt>
                <c:pt idx="4">
                  <c:v>60800</c:v>
                </c:pt>
                <c:pt idx="5">
                  <c:v>27000</c:v>
                </c:pt>
              </c:numCache>
            </c:numRef>
          </c:val>
        </c:ser>
        <c:ser>
          <c:idx val="1"/>
          <c:order val="1"/>
          <c:tx>
            <c:v>Пример 2</c:v>
          </c:tx>
          <c:spPr>
            <a:blipFill dpi="0" rotWithShape="1">
              <a:blip xmlns:r="http://schemas.openxmlformats.org/officeDocument/2006/relationships" r:embed="rId1"/>
              <a:srcRect/>
              <a:stretch>
                <a:fillRect/>
              </a:stretch>
            </a:blipFill>
          </c:spPr>
          <c:pictureOptions>
            <c:applyToSides val="0"/>
            <c:pictureFormat val="stretch"/>
          </c:pictureOptions>
          <c:cat>
            <c:strRef>
              <c:f>'Задание 3 ч 2'!$C$5:$H$5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3 ч 2'!$C$19:$H$19</c:f>
              <c:numCache>
                <c:formatCode>#,##0.00\ _₽</c:formatCode>
                <c:ptCount val="6"/>
                <c:pt idx="0">
                  <c:v>8800</c:v>
                </c:pt>
                <c:pt idx="1">
                  <c:v>21800</c:v>
                </c:pt>
                <c:pt idx="2">
                  <c:v>-8500</c:v>
                </c:pt>
                <c:pt idx="3">
                  <c:v>-21500</c:v>
                </c:pt>
                <c:pt idx="4">
                  <c:v>14000</c:v>
                </c:pt>
                <c:pt idx="5">
                  <c:v>11400</c:v>
                </c:pt>
              </c:numCache>
            </c:numRef>
          </c:val>
        </c:ser>
        <c:shape val="box"/>
        <c:axId val="162146944"/>
        <c:axId val="162152832"/>
        <c:axId val="161654080"/>
      </c:bar3DChart>
      <c:catAx>
        <c:axId val="162146944"/>
        <c:scaling>
          <c:orientation val="minMax"/>
        </c:scaling>
        <c:axPos val="b"/>
        <c:tickLblPos val="nextTo"/>
        <c:crossAx val="162152832"/>
        <c:crosses val="autoZero"/>
        <c:auto val="1"/>
        <c:lblAlgn val="ctr"/>
        <c:lblOffset val="100"/>
      </c:catAx>
      <c:valAx>
        <c:axId val="162152832"/>
        <c:scaling>
          <c:orientation val="minMax"/>
        </c:scaling>
        <c:axPos val="l"/>
        <c:majorGridlines/>
        <c:numFmt formatCode="#,##0.00\ _₽" sourceLinked="1"/>
        <c:tickLblPos val="nextTo"/>
        <c:crossAx val="162146944"/>
        <c:crosses val="autoZero"/>
        <c:crossBetween val="between"/>
      </c:valAx>
      <c:serAx>
        <c:axId val="161654080"/>
        <c:scaling>
          <c:orientation val="minMax"/>
        </c:scaling>
        <c:axPos val="b"/>
        <c:tickLblPos val="nextTo"/>
        <c:crossAx val="162152832"/>
        <c:crosses val="autoZero"/>
      </c:serAx>
      <c:spPr>
        <a:ln w="25400">
          <a:noFill/>
        </a:ln>
      </c:spPr>
    </c:plotArea>
    <c:legend>
      <c:legendPos val="r"/>
      <c:layout/>
    </c:legend>
    <c:plotVisOnly val="1"/>
  </c:chart>
  <c:spPr>
    <a:ln cmpd="sng">
      <a:solidFill>
        <a:sysClr val="windowText" lastClr="000000">
          <a:tint val="75000"/>
          <a:shade val="95000"/>
          <a:satMod val="105000"/>
        </a:sysClr>
      </a:solidFill>
    </a:ln>
    <a:scene3d>
      <a:camera prst="orthographicFront"/>
      <a:lightRig rig="threePt" dir="t"/>
    </a:scene3d>
    <a:sp3d/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'Задание 5'!$C$5</c:f>
              <c:strCache>
                <c:ptCount val="1"/>
                <c:pt idx="0">
                  <c:v>Ряд данных</c:v>
                </c:pt>
              </c:strCache>
            </c:strRef>
          </c:tx>
          <c:dLbls>
            <c:showVal val="1"/>
          </c:dLbls>
          <c:trendline>
            <c:name>Линия тренда</c:name>
            <c:spPr>
              <a:ln w="28575">
                <a:solidFill>
                  <a:srgbClr val="C00000"/>
                </a:solidFill>
              </a:ln>
            </c:spPr>
            <c:trendlineType val="poly"/>
            <c:order val="3"/>
            <c:forward val="1"/>
            <c:dispRSqr val="1"/>
            <c:dispEq val="1"/>
            <c:trendlineLbl>
              <c:layout>
                <c:manualLayout>
                  <c:x val="-0.19837990467798022"/>
                  <c:y val="-0.56552622214989834"/>
                </c:manualLayout>
              </c:layout>
              <c:numFmt formatCode="General" sourceLinked="0"/>
            </c:trendlineLbl>
          </c:trendline>
          <c:cat>
            <c:numRef>
              <c:f>'Задание 5'!$B$6:$B$15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'Задание 5'!$C$6:$C$15</c:f>
              <c:numCache>
                <c:formatCode>0.0</c:formatCode>
                <c:ptCount val="10"/>
                <c:pt idx="0">
                  <c:v>-0.7</c:v>
                </c:pt>
                <c:pt idx="1">
                  <c:v>0.6</c:v>
                </c:pt>
                <c:pt idx="2">
                  <c:v>1.9</c:v>
                </c:pt>
                <c:pt idx="3">
                  <c:v>3.2</c:v>
                </c:pt>
                <c:pt idx="4">
                  <c:v>4.5</c:v>
                </c:pt>
                <c:pt idx="5">
                  <c:v>5.8</c:v>
                </c:pt>
                <c:pt idx="6">
                  <c:v>7.1</c:v>
                </c:pt>
                <c:pt idx="7">
                  <c:v>8.4</c:v>
                </c:pt>
                <c:pt idx="8">
                  <c:v>9.6999999999999993</c:v>
                </c:pt>
                <c:pt idx="9">
                  <c:v>1.1000000000000001</c:v>
                </c:pt>
              </c:numCache>
            </c:numRef>
          </c:val>
        </c:ser>
        <c:axId val="161736960"/>
        <c:axId val="162009088"/>
      </c:barChart>
      <c:catAx>
        <c:axId val="161736960"/>
        <c:scaling>
          <c:orientation val="minMax"/>
        </c:scaling>
        <c:delete val="1"/>
        <c:axPos val="b"/>
        <c:numFmt formatCode="0" sourceLinked="1"/>
        <c:tickLblPos val="none"/>
        <c:crossAx val="162009088"/>
        <c:crosses val="autoZero"/>
        <c:auto val="1"/>
        <c:lblAlgn val="ctr"/>
        <c:lblOffset val="100"/>
      </c:catAx>
      <c:valAx>
        <c:axId val="162009088"/>
        <c:scaling>
          <c:orientation val="minMax"/>
        </c:scaling>
        <c:axPos val="l"/>
        <c:majorGridlines/>
        <c:numFmt formatCode="0.0" sourceLinked="1"/>
        <c:tickLblPos val="nextTo"/>
        <c:crossAx val="161736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3</xdr:row>
      <xdr:rowOff>9525</xdr:rowOff>
    </xdr:from>
    <xdr:to>
      <xdr:col>6</xdr:col>
      <xdr:colOff>571500</xdr:colOff>
      <xdr:row>20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</xdr:row>
      <xdr:rowOff>9525</xdr:rowOff>
    </xdr:from>
    <xdr:to>
      <xdr:col>12</xdr:col>
      <xdr:colOff>571500</xdr:colOff>
      <xdr:row>20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32147</xdr:colOff>
      <xdr:row>21</xdr:row>
      <xdr:rowOff>7144</xdr:rowOff>
    </xdr:from>
    <xdr:to>
      <xdr:col>6</xdr:col>
      <xdr:colOff>556022</xdr:colOff>
      <xdr:row>37</xdr:row>
      <xdr:rowOff>158353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44052</xdr:colOff>
      <xdr:row>21</xdr:row>
      <xdr:rowOff>7144</xdr:rowOff>
    </xdr:from>
    <xdr:to>
      <xdr:col>12</xdr:col>
      <xdr:colOff>567927</xdr:colOff>
      <xdr:row>37</xdr:row>
      <xdr:rowOff>158353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</xdr:colOff>
      <xdr:row>39</xdr:row>
      <xdr:rowOff>0</xdr:rowOff>
    </xdr:from>
    <xdr:to>
      <xdr:col>6</xdr:col>
      <xdr:colOff>561975</xdr:colOff>
      <xdr:row>55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47625</xdr:colOff>
      <xdr:row>39</xdr:row>
      <xdr:rowOff>0</xdr:rowOff>
    </xdr:from>
    <xdr:to>
      <xdr:col>12</xdr:col>
      <xdr:colOff>571500</xdr:colOff>
      <xdr:row>55</xdr:row>
      <xdr:rowOff>152400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</xdr:colOff>
      <xdr:row>57</xdr:row>
      <xdr:rowOff>0</xdr:rowOff>
    </xdr:from>
    <xdr:to>
      <xdr:col>12</xdr:col>
      <xdr:colOff>552450</xdr:colOff>
      <xdr:row>73</xdr:row>
      <xdr:rowOff>152400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3</xdr:row>
      <xdr:rowOff>28575</xdr:rowOff>
    </xdr:from>
    <xdr:to>
      <xdr:col>10</xdr:col>
      <xdr:colOff>590549</xdr:colOff>
      <xdr:row>26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4</xdr:row>
      <xdr:rowOff>57149</xdr:rowOff>
    </xdr:from>
    <xdr:to>
      <xdr:col>11</xdr:col>
      <xdr:colOff>590551</xdr:colOff>
      <xdr:row>20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9"/>
  <sheetViews>
    <sheetView zoomScaleNormal="100" workbookViewId="0">
      <selection activeCell="D23" sqref="D23"/>
    </sheetView>
  </sheetViews>
  <sheetFormatPr defaultRowHeight="12.75"/>
  <cols>
    <col min="2" max="2" width="15.42578125" bestFit="1" customWidth="1"/>
    <col min="10" max="10" width="10" bestFit="1" customWidth="1"/>
  </cols>
  <sheetData>
    <row r="2" spans="2:10">
      <c r="B2" s="83" t="s">
        <v>42</v>
      </c>
      <c r="C2" s="83"/>
      <c r="D2" s="83"/>
      <c r="E2" s="83"/>
      <c r="F2" s="83"/>
      <c r="G2" s="83"/>
      <c r="H2" s="83"/>
      <c r="I2" s="83"/>
      <c r="J2" s="83"/>
    </row>
    <row r="3" spans="2:10" ht="13.5" thickBot="1"/>
    <row r="4" spans="2:10" ht="27" customHeight="1" thickBot="1">
      <c r="B4" s="84" t="s">
        <v>0</v>
      </c>
      <c r="C4" s="85"/>
      <c r="D4" s="85"/>
      <c r="E4" s="85"/>
      <c r="F4" s="85"/>
      <c r="G4" s="85"/>
      <c r="H4" s="86"/>
    </row>
    <row r="5" spans="2:10" ht="19.5" customHeight="1" thickBot="1">
      <c r="B5" s="12"/>
      <c r="C5" s="87" t="s">
        <v>1</v>
      </c>
      <c r="D5" s="88"/>
      <c r="E5" s="88"/>
      <c r="F5" s="88"/>
      <c r="G5" s="88"/>
      <c r="H5" s="89"/>
      <c r="I5" s="8"/>
      <c r="J5" s="9"/>
    </row>
    <row r="6" spans="2:10" ht="19.5" customHeight="1">
      <c r="B6" s="18" t="s">
        <v>2</v>
      </c>
      <c r="C6" s="19" t="s">
        <v>18</v>
      </c>
      <c r="D6" s="19" t="s">
        <v>19</v>
      </c>
      <c r="E6" s="19" t="s">
        <v>20</v>
      </c>
      <c r="F6" s="19" t="s">
        <v>21</v>
      </c>
      <c r="G6" s="19" t="s">
        <v>22</v>
      </c>
      <c r="H6" s="20" t="s">
        <v>23</v>
      </c>
      <c r="I6" s="21" t="s">
        <v>16</v>
      </c>
      <c r="J6" s="22" t="s">
        <v>17</v>
      </c>
    </row>
    <row r="7" spans="2:10">
      <c r="B7" s="6" t="s">
        <v>3</v>
      </c>
      <c r="C7" s="2">
        <f ca="1">RANDBETWEEN(150,250)</f>
        <v>240</v>
      </c>
      <c r="D7" s="2">
        <f t="shared" ref="D7:H7" ca="1" si="0">RANDBETWEEN(150,250)</f>
        <v>240</v>
      </c>
      <c r="E7" s="2">
        <f t="shared" ca="1" si="0"/>
        <v>161</v>
      </c>
      <c r="F7" s="2">
        <f t="shared" ca="1" si="0"/>
        <v>165</v>
      </c>
      <c r="G7" s="2">
        <f t="shared" ca="1" si="0"/>
        <v>166</v>
      </c>
      <c r="H7" s="3">
        <f t="shared" ca="1" si="0"/>
        <v>156</v>
      </c>
      <c r="I7" s="15">
        <f ca="1">SUM(C7:H7)</f>
        <v>1128</v>
      </c>
      <c r="J7" s="14">
        <f ca="1">MAX(C7:H7)</f>
        <v>240</v>
      </c>
    </row>
    <row r="8" spans="2:10">
      <c r="B8" s="6" t="s">
        <v>4</v>
      </c>
      <c r="C8" s="2">
        <f t="shared" ref="C8:H8" ca="1" si="1">RANDBETWEEN(150,250)</f>
        <v>212</v>
      </c>
      <c r="D8" s="2">
        <f t="shared" ca="1" si="1"/>
        <v>206</v>
      </c>
      <c r="E8" s="2">
        <f t="shared" ca="1" si="1"/>
        <v>248</v>
      </c>
      <c r="F8" s="2">
        <f t="shared" ca="1" si="1"/>
        <v>219</v>
      </c>
      <c r="G8" s="2">
        <f t="shared" ca="1" si="1"/>
        <v>150</v>
      </c>
      <c r="H8" s="3">
        <f t="shared" ca="1" si="1"/>
        <v>170</v>
      </c>
      <c r="I8" s="15">
        <f t="shared" ref="I8:I19" ca="1" si="2">SUM(C8:H8)</f>
        <v>1205</v>
      </c>
      <c r="J8" s="14">
        <f t="shared" ref="J8:J19" ca="1" si="3">MAX(C8:H8)</f>
        <v>248</v>
      </c>
    </row>
    <row r="9" spans="2:10">
      <c r="B9" s="6" t="s">
        <v>5</v>
      </c>
      <c r="C9" s="2">
        <f ca="1">RANDBETWEEN(30,80)</f>
        <v>42</v>
      </c>
      <c r="D9" s="2">
        <f t="shared" ref="D9:H9" ca="1" si="4">RANDBETWEEN(30,80)</f>
        <v>61</v>
      </c>
      <c r="E9" s="2">
        <f t="shared" ca="1" si="4"/>
        <v>72</v>
      </c>
      <c r="F9" s="2">
        <f t="shared" ca="1" si="4"/>
        <v>41</v>
      </c>
      <c r="G9" s="2">
        <f t="shared" ca="1" si="4"/>
        <v>56</v>
      </c>
      <c r="H9" s="3">
        <f t="shared" ca="1" si="4"/>
        <v>79</v>
      </c>
      <c r="I9" s="15">
        <f t="shared" ca="1" si="2"/>
        <v>351</v>
      </c>
      <c r="J9" s="14">
        <f t="shared" ca="1" si="3"/>
        <v>79</v>
      </c>
    </row>
    <row r="10" spans="2:10">
      <c r="B10" s="6" t="s">
        <v>6</v>
      </c>
      <c r="C10" s="2">
        <f ca="1">RANDBETWEEN(250,350)</f>
        <v>295</v>
      </c>
      <c r="D10" s="2">
        <f t="shared" ref="D10:H10" ca="1" si="5">RANDBETWEEN(250,350)</f>
        <v>348</v>
      </c>
      <c r="E10" s="2">
        <f t="shared" ca="1" si="5"/>
        <v>317</v>
      </c>
      <c r="F10" s="2">
        <f t="shared" ca="1" si="5"/>
        <v>272</v>
      </c>
      <c r="G10" s="2">
        <f t="shared" ca="1" si="5"/>
        <v>256</v>
      </c>
      <c r="H10" s="3">
        <f t="shared" ca="1" si="5"/>
        <v>264</v>
      </c>
      <c r="I10" s="15">
        <f t="shared" ca="1" si="2"/>
        <v>1752</v>
      </c>
      <c r="J10" s="14">
        <f t="shared" ca="1" si="3"/>
        <v>348</v>
      </c>
    </row>
    <row r="11" spans="2:10">
      <c r="B11" s="6" t="s">
        <v>7</v>
      </c>
      <c r="C11" s="2">
        <f ca="1">RANDBETWEEN(70,150)</f>
        <v>143</v>
      </c>
      <c r="D11" s="2">
        <f t="shared" ref="D11:H11" ca="1" si="6">RANDBETWEEN(70,150)</f>
        <v>146</v>
      </c>
      <c r="E11" s="2">
        <f t="shared" ca="1" si="6"/>
        <v>122</v>
      </c>
      <c r="F11" s="2">
        <f t="shared" ca="1" si="6"/>
        <v>73</v>
      </c>
      <c r="G11" s="2">
        <f t="shared" ca="1" si="6"/>
        <v>143</v>
      </c>
      <c r="H11" s="3">
        <f t="shared" ca="1" si="6"/>
        <v>115</v>
      </c>
      <c r="I11" s="15">
        <f t="shared" ca="1" si="2"/>
        <v>742</v>
      </c>
      <c r="J11" s="14">
        <f t="shared" ca="1" si="3"/>
        <v>146</v>
      </c>
    </row>
    <row r="12" spans="2:10">
      <c r="B12" s="6" t="s">
        <v>8</v>
      </c>
      <c r="C12" s="2">
        <f ca="1">RANDBETWEEN(90,190)</f>
        <v>159</v>
      </c>
      <c r="D12" s="2">
        <f t="shared" ref="D12:H12" ca="1" si="7">RANDBETWEEN(90,190)</f>
        <v>130</v>
      </c>
      <c r="E12" s="2">
        <f t="shared" ca="1" si="7"/>
        <v>178</v>
      </c>
      <c r="F12" s="2">
        <f t="shared" ca="1" si="7"/>
        <v>128</v>
      </c>
      <c r="G12" s="2">
        <f t="shared" ca="1" si="7"/>
        <v>183</v>
      </c>
      <c r="H12" s="3">
        <f t="shared" ca="1" si="7"/>
        <v>120</v>
      </c>
      <c r="I12" s="15">
        <f t="shared" ca="1" si="2"/>
        <v>898</v>
      </c>
      <c r="J12" s="14">
        <f t="shared" ca="1" si="3"/>
        <v>183</v>
      </c>
    </row>
    <row r="13" spans="2:10">
      <c r="B13" s="6" t="s">
        <v>9</v>
      </c>
      <c r="C13" s="2">
        <f ca="1">RANDBETWEEN(110,220)</f>
        <v>115</v>
      </c>
      <c r="D13" s="2">
        <f t="shared" ref="D13:H13" ca="1" si="8">RANDBETWEEN(110,220)</f>
        <v>184</v>
      </c>
      <c r="E13" s="2">
        <f t="shared" ca="1" si="8"/>
        <v>127</v>
      </c>
      <c r="F13" s="2">
        <f t="shared" ca="1" si="8"/>
        <v>193</v>
      </c>
      <c r="G13" s="2">
        <f t="shared" ca="1" si="8"/>
        <v>126</v>
      </c>
      <c r="H13" s="3">
        <f t="shared" ca="1" si="8"/>
        <v>158</v>
      </c>
      <c r="I13" s="15">
        <f t="shared" ca="1" si="2"/>
        <v>903</v>
      </c>
      <c r="J13" s="14">
        <f t="shared" ca="1" si="3"/>
        <v>193</v>
      </c>
    </row>
    <row r="14" spans="2:10">
      <c r="B14" s="6" t="s">
        <v>10</v>
      </c>
      <c r="C14" s="2">
        <f ca="1">RANDBETWEEN(50,110)</f>
        <v>82</v>
      </c>
      <c r="D14" s="2">
        <f t="shared" ref="D14:H14" ca="1" si="9">RANDBETWEEN(50,110)</f>
        <v>55</v>
      </c>
      <c r="E14" s="2">
        <f t="shared" ca="1" si="9"/>
        <v>55</v>
      </c>
      <c r="F14" s="2">
        <f t="shared" ca="1" si="9"/>
        <v>81</v>
      </c>
      <c r="G14" s="2">
        <f t="shared" ca="1" si="9"/>
        <v>99</v>
      </c>
      <c r="H14" s="3">
        <f t="shared" ca="1" si="9"/>
        <v>76</v>
      </c>
      <c r="I14" s="15">
        <f t="shared" ca="1" si="2"/>
        <v>448</v>
      </c>
      <c r="J14" s="14">
        <f t="shared" ca="1" si="3"/>
        <v>99</v>
      </c>
    </row>
    <row r="15" spans="2:10">
      <c r="B15" s="6" t="s">
        <v>11</v>
      </c>
      <c r="C15" s="2">
        <f ca="1">RANDBETWEEN(30,90)</f>
        <v>58</v>
      </c>
      <c r="D15" s="2">
        <f t="shared" ref="D15:H15" ca="1" si="10">RANDBETWEEN(30,90)</f>
        <v>30</v>
      </c>
      <c r="E15" s="2">
        <f t="shared" ca="1" si="10"/>
        <v>76</v>
      </c>
      <c r="F15" s="2">
        <f t="shared" ca="1" si="10"/>
        <v>68</v>
      </c>
      <c r="G15" s="2">
        <f t="shared" ca="1" si="10"/>
        <v>41</v>
      </c>
      <c r="H15" s="3">
        <f t="shared" ca="1" si="10"/>
        <v>88</v>
      </c>
      <c r="I15" s="15">
        <f t="shared" ca="1" si="2"/>
        <v>361</v>
      </c>
      <c r="J15" s="14">
        <f t="shared" ca="1" si="3"/>
        <v>88</v>
      </c>
    </row>
    <row r="16" spans="2:10">
      <c r="B16" s="6" t="s">
        <v>12</v>
      </c>
      <c r="C16" s="2">
        <f ca="1">RANDBETWEEN(120,300)</f>
        <v>209</v>
      </c>
      <c r="D16" s="2">
        <f t="shared" ref="D16:H16" ca="1" si="11">RANDBETWEEN(120,300)</f>
        <v>138</v>
      </c>
      <c r="E16" s="2">
        <f t="shared" ca="1" si="11"/>
        <v>261</v>
      </c>
      <c r="F16" s="2">
        <f t="shared" ca="1" si="11"/>
        <v>266</v>
      </c>
      <c r="G16" s="2">
        <f t="shared" ca="1" si="11"/>
        <v>206</v>
      </c>
      <c r="H16" s="3">
        <f t="shared" ca="1" si="11"/>
        <v>265</v>
      </c>
      <c r="I16" s="15">
        <f t="shared" ca="1" si="2"/>
        <v>1345</v>
      </c>
      <c r="J16" s="14">
        <f t="shared" ca="1" si="3"/>
        <v>266</v>
      </c>
    </row>
    <row r="17" spans="2:10">
      <c r="B17" s="6" t="s">
        <v>13</v>
      </c>
      <c r="C17" s="2">
        <f ca="1">RANDBETWEEN(100,210)</f>
        <v>101</v>
      </c>
      <c r="D17" s="2">
        <f t="shared" ref="D17:H17" ca="1" si="12">RANDBETWEEN(100,210)</f>
        <v>137</v>
      </c>
      <c r="E17" s="2">
        <f t="shared" ca="1" si="12"/>
        <v>108</v>
      </c>
      <c r="F17" s="2">
        <f t="shared" ca="1" si="12"/>
        <v>176</v>
      </c>
      <c r="G17" s="2">
        <f t="shared" ca="1" si="12"/>
        <v>138</v>
      </c>
      <c r="H17" s="3">
        <f t="shared" ca="1" si="12"/>
        <v>147</v>
      </c>
      <c r="I17" s="15">
        <f t="shared" ca="1" si="2"/>
        <v>807</v>
      </c>
      <c r="J17" s="14">
        <f t="shared" ca="1" si="3"/>
        <v>176</v>
      </c>
    </row>
    <row r="18" spans="2:10" ht="13.5" thickBot="1">
      <c r="B18" s="7" t="s">
        <v>14</v>
      </c>
      <c r="C18" s="11">
        <f ca="1">RANDBETWEEN(200,350)</f>
        <v>314</v>
      </c>
      <c r="D18" s="11">
        <f t="shared" ref="D18:H18" ca="1" si="13">RANDBETWEEN(200,350)</f>
        <v>236</v>
      </c>
      <c r="E18" s="11">
        <f t="shared" ca="1" si="13"/>
        <v>308</v>
      </c>
      <c r="F18" s="11">
        <f t="shared" ca="1" si="13"/>
        <v>332</v>
      </c>
      <c r="G18" s="11">
        <f t="shared" ca="1" si="13"/>
        <v>314</v>
      </c>
      <c r="H18" s="17">
        <f t="shared" ca="1" si="13"/>
        <v>321</v>
      </c>
      <c r="I18" s="16">
        <f t="shared" ca="1" si="2"/>
        <v>1825</v>
      </c>
      <c r="J18" s="13">
        <f t="shared" ca="1" si="3"/>
        <v>332</v>
      </c>
    </row>
    <row r="19" spans="2:10" ht="19.5" customHeight="1" thickBot="1">
      <c r="B19" s="23" t="s">
        <v>15</v>
      </c>
      <c r="C19" s="24">
        <f ca="1">SUM(C7:C18)</f>
        <v>1970</v>
      </c>
      <c r="D19" s="24">
        <f t="shared" ref="D19:H19" ca="1" si="14">SUM(D7:D18)</f>
        <v>1911</v>
      </c>
      <c r="E19" s="24">
        <f t="shared" ca="1" si="14"/>
        <v>2033</v>
      </c>
      <c r="F19" s="24">
        <f t="shared" ca="1" si="14"/>
        <v>2014</v>
      </c>
      <c r="G19" s="24">
        <f t="shared" ca="1" si="14"/>
        <v>1878</v>
      </c>
      <c r="H19" s="25">
        <f t="shared" ca="1" si="14"/>
        <v>1959</v>
      </c>
      <c r="I19" s="26">
        <f t="shared" ca="1" si="2"/>
        <v>11765</v>
      </c>
      <c r="J19" s="27">
        <f t="shared" ca="1" si="3"/>
        <v>2033</v>
      </c>
    </row>
  </sheetData>
  <mergeCells count="3">
    <mergeCell ref="B2:J2"/>
    <mergeCell ref="B4:H4"/>
    <mergeCell ref="C5:H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M92"/>
  <sheetViews>
    <sheetView topLeftCell="A73" workbookViewId="0">
      <selection activeCell="E98" sqref="E98"/>
    </sheetView>
  </sheetViews>
  <sheetFormatPr defaultRowHeight="12.75"/>
  <cols>
    <col min="2" max="2" width="12.5703125" bestFit="1" customWidth="1"/>
    <col min="3" max="3" width="9.140625" customWidth="1"/>
    <col min="6" max="6" width="12" bestFit="1" customWidth="1"/>
  </cols>
  <sheetData>
    <row r="2" spans="2:10">
      <c r="B2" s="83" t="s">
        <v>64</v>
      </c>
      <c r="C2" s="83"/>
      <c r="D2" s="83"/>
      <c r="E2" s="83"/>
      <c r="F2" s="83"/>
      <c r="G2" s="83"/>
      <c r="H2" s="83"/>
      <c r="I2" s="83"/>
      <c r="J2" s="83"/>
    </row>
    <row r="3" spans="2:10">
      <c r="B3" s="4"/>
      <c r="C3" s="4"/>
      <c r="D3" s="4"/>
      <c r="E3" s="4"/>
      <c r="F3" s="4"/>
      <c r="G3" s="4"/>
      <c r="H3" s="4"/>
      <c r="I3" s="4"/>
      <c r="J3" s="4"/>
    </row>
    <row r="4" spans="2:10">
      <c r="B4" s="93" t="s">
        <v>71</v>
      </c>
      <c r="C4" s="93"/>
      <c r="D4" s="93"/>
      <c r="E4" s="93"/>
      <c r="F4" s="93"/>
      <c r="G4" s="93"/>
      <c r="H4" s="93"/>
      <c r="I4" s="93"/>
      <c r="J4" s="93"/>
    </row>
    <row r="5" spans="2:10">
      <c r="C5" t="s">
        <v>65</v>
      </c>
    </row>
    <row r="6" spans="2:10">
      <c r="B6" s="47">
        <v>1</v>
      </c>
      <c r="C6" s="46">
        <v>-0.7</v>
      </c>
    </row>
    <row r="7" spans="2:10">
      <c r="B7" s="47">
        <v>2</v>
      </c>
      <c r="C7" s="46">
        <v>0.6</v>
      </c>
    </row>
    <row r="8" spans="2:10">
      <c r="B8" s="47">
        <v>3</v>
      </c>
      <c r="C8" s="46">
        <v>1.9</v>
      </c>
    </row>
    <row r="9" spans="2:10">
      <c r="B9" s="47">
        <v>4</v>
      </c>
      <c r="C9" s="46">
        <v>3.2</v>
      </c>
    </row>
    <row r="10" spans="2:10">
      <c r="B10" s="47">
        <v>5</v>
      </c>
      <c r="C10" s="46">
        <v>4.5</v>
      </c>
    </row>
    <row r="11" spans="2:10">
      <c r="B11" s="47">
        <v>6</v>
      </c>
      <c r="C11" s="46">
        <v>5.8</v>
      </c>
    </row>
    <row r="12" spans="2:10">
      <c r="B12" s="47">
        <v>7</v>
      </c>
      <c r="C12" s="46">
        <v>7.1</v>
      </c>
    </row>
    <row r="13" spans="2:10">
      <c r="B13" s="47">
        <v>8</v>
      </c>
      <c r="C13" s="46">
        <v>8.4</v>
      </c>
    </row>
    <row r="14" spans="2:10">
      <c r="B14" s="47">
        <v>9</v>
      </c>
      <c r="C14" s="46">
        <v>9.6999999999999993</v>
      </c>
    </row>
    <row r="15" spans="2:10">
      <c r="B15" s="47">
        <v>10</v>
      </c>
      <c r="C15" s="46">
        <v>1.1000000000000001</v>
      </c>
    </row>
    <row r="16" spans="2:10">
      <c r="B16">
        <v>11</v>
      </c>
    </row>
    <row r="17" spans="2:10">
      <c r="B17" s="94" t="s">
        <v>67</v>
      </c>
      <c r="C17" s="94"/>
    </row>
    <row r="18" spans="2:10">
      <c r="B18" t="s">
        <v>66</v>
      </c>
      <c r="C18">
        <f>C15+(LINEST(C6:C15,B6:B15))*1</f>
        <v>1.8599999999999999</v>
      </c>
    </row>
    <row r="19" spans="2:10">
      <c r="B19" t="s">
        <v>68</v>
      </c>
      <c r="C19">
        <f>TREND(C6:C15,B6:B15,B16)</f>
        <v>8.34</v>
      </c>
    </row>
    <row r="20" spans="2:10">
      <c r="B20" t="s">
        <v>69</v>
      </c>
      <c r="C20" s="48" t="e">
        <f>GROWTH(C6:C15,B6:B15,B16)</f>
        <v>#NUM!</v>
      </c>
    </row>
    <row r="21" spans="2:10">
      <c r="B21" t="s">
        <v>70</v>
      </c>
      <c r="C21" s="48" t="e">
        <f>(C15*(LOGEST(C6:C15,B6:B15)-C15))*1+C15</f>
        <v>#NUM!</v>
      </c>
    </row>
    <row r="22" spans="2:10">
      <c r="C22" s="48"/>
    </row>
    <row r="23" spans="2:10">
      <c r="C23" s="48"/>
      <c r="E23" s="45"/>
      <c r="F23" s="45"/>
    </row>
    <row r="24" spans="2:10">
      <c r="B24" s="93" t="s">
        <v>72</v>
      </c>
      <c r="C24" s="93"/>
      <c r="D24" s="93"/>
      <c r="E24" s="93"/>
      <c r="F24" s="93"/>
      <c r="G24" s="93"/>
      <c r="H24" s="93"/>
      <c r="I24" s="93"/>
      <c r="J24" s="93"/>
    </row>
    <row r="25" spans="2:10">
      <c r="B25" s="51"/>
      <c r="C25" s="51"/>
      <c r="D25" s="51"/>
      <c r="E25" s="51"/>
      <c r="F25" s="51"/>
      <c r="G25" s="51"/>
      <c r="H25" s="51"/>
      <c r="I25" s="51"/>
      <c r="J25" s="51"/>
    </row>
    <row r="26" spans="2:10">
      <c r="B26" s="83" t="s">
        <v>78</v>
      </c>
      <c r="C26" s="83"/>
      <c r="D26" s="4" t="s">
        <v>79</v>
      </c>
    </row>
    <row r="27" spans="2:10">
      <c r="B27" s="28" t="s">
        <v>18</v>
      </c>
      <c r="C27" s="47">
        <v>34</v>
      </c>
      <c r="D27">
        <v>1</v>
      </c>
    </row>
    <row r="28" spans="2:10">
      <c r="B28" s="28" t="s">
        <v>19</v>
      </c>
      <c r="C28" s="47">
        <v>23</v>
      </c>
      <c r="D28">
        <v>2</v>
      </c>
    </row>
    <row r="29" spans="2:10">
      <c r="B29" s="28" t="s">
        <v>20</v>
      </c>
      <c r="C29" s="47">
        <v>12</v>
      </c>
      <c r="D29">
        <v>3</v>
      </c>
    </row>
    <row r="30" spans="2:10">
      <c r="B30" s="28" t="s">
        <v>21</v>
      </c>
      <c r="C30" s="47">
        <v>14</v>
      </c>
      <c r="D30">
        <v>4</v>
      </c>
    </row>
    <row r="31" spans="2:10">
      <c r="B31" s="28" t="s">
        <v>22</v>
      </c>
      <c r="C31" s="47">
        <v>18</v>
      </c>
      <c r="D31">
        <v>5</v>
      </c>
    </row>
    <row r="32" spans="2:10">
      <c r="B32" s="28" t="s">
        <v>23</v>
      </c>
      <c r="C32" s="47">
        <v>20</v>
      </c>
      <c r="D32">
        <v>6</v>
      </c>
    </row>
    <row r="33" spans="2:11">
      <c r="B33" s="28" t="s">
        <v>73</v>
      </c>
      <c r="C33" s="47">
        <v>22</v>
      </c>
      <c r="D33">
        <v>7</v>
      </c>
    </row>
    <row r="34" spans="2:11">
      <c r="B34" s="28" t="s">
        <v>74</v>
      </c>
      <c r="C34" s="47">
        <v>25</v>
      </c>
      <c r="D34">
        <v>8</v>
      </c>
    </row>
    <row r="35" spans="2:11">
      <c r="B35" s="28" t="s">
        <v>75</v>
      </c>
      <c r="C35" s="47">
        <v>29</v>
      </c>
      <c r="D35">
        <v>9</v>
      </c>
    </row>
    <row r="36" spans="2:11">
      <c r="B36" s="28" t="s">
        <v>76</v>
      </c>
      <c r="C36" s="47">
        <v>35</v>
      </c>
      <c r="D36">
        <v>10</v>
      </c>
    </row>
    <row r="37" spans="2:11">
      <c r="B37" s="28" t="s">
        <v>77</v>
      </c>
      <c r="C37" s="50">
        <v>39</v>
      </c>
      <c r="D37">
        <v>11</v>
      </c>
    </row>
    <row r="38" spans="2:11">
      <c r="B38" s="97" t="s">
        <v>80</v>
      </c>
      <c r="C38" s="97"/>
      <c r="D38" t="s">
        <v>82</v>
      </c>
    </row>
    <row r="39" spans="2:11">
      <c r="B39" t="s">
        <v>66</v>
      </c>
      <c r="C39" s="53">
        <f>C36+(LINEST(C27:C36,D27:D36))*1</f>
        <v>35.860606060606059</v>
      </c>
      <c r="D39" s="48">
        <f>C39-$C$37</f>
        <v>-3.1393939393939405</v>
      </c>
    </row>
    <row r="40" spans="2:11">
      <c r="B40" t="s">
        <v>68</v>
      </c>
      <c r="C40" s="53">
        <f>TREND(C27:C36,D27:D36,D37)</f>
        <v>27.933333333333334</v>
      </c>
      <c r="D40" s="48">
        <f t="shared" ref="D40:D42" si="0">C40-$C$37</f>
        <v>-11.066666666666666</v>
      </c>
    </row>
    <row r="41" spans="2:11">
      <c r="B41" t="s">
        <v>69</v>
      </c>
      <c r="C41" s="53">
        <f>GROWTH(C27:C36,D27:D36,D37)</f>
        <v>27.778727275552569</v>
      </c>
      <c r="D41" s="48">
        <f t="shared" si="0"/>
        <v>-11.221272724447431</v>
      </c>
    </row>
    <row r="42" spans="2:11">
      <c r="B42" t="s">
        <v>70</v>
      </c>
      <c r="C42" s="53">
        <f>(C36*LOGEST(C27:C36,D27:D36)-C36)*1+C36</f>
        <v>36.520040248024749</v>
      </c>
      <c r="D42" s="53">
        <f t="shared" si="0"/>
        <v>-2.479959751975251</v>
      </c>
    </row>
    <row r="45" spans="2:11">
      <c r="B45" s="93" t="s">
        <v>81</v>
      </c>
      <c r="C45" s="93"/>
      <c r="D45" s="93"/>
      <c r="E45" s="93"/>
      <c r="F45" s="93"/>
      <c r="G45" s="93"/>
      <c r="H45" s="93"/>
      <c r="I45" s="93"/>
      <c r="J45" s="93"/>
      <c r="K45" s="93"/>
    </row>
    <row r="47" spans="2:11">
      <c r="B47" s="98" t="s">
        <v>83</v>
      </c>
      <c r="C47" s="98"/>
      <c r="D47" s="98"/>
      <c r="E47" s="98"/>
      <c r="F47" s="98"/>
      <c r="G47" s="98"/>
    </row>
    <row r="48" spans="2:11">
      <c r="B48" s="49" t="s">
        <v>66</v>
      </c>
      <c r="C48" s="52">
        <f>'Задание 3'!H21+LINEST('Задание 3'!C21:H21,'Задание 3'!C6:H6)*3</f>
        <v>0.11002348138900943</v>
      </c>
    </row>
    <row r="50" spans="2:10">
      <c r="B50" s="98" t="s">
        <v>84</v>
      </c>
      <c r="C50" s="98"/>
      <c r="D50" s="98"/>
      <c r="E50" s="98"/>
      <c r="F50" s="98"/>
      <c r="G50" s="98"/>
    </row>
    <row r="51" spans="2:10">
      <c r="B51" s="49" t="s">
        <v>66</v>
      </c>
      <c r="C51" s="53">
        <f>'Задание 3'!H19+LINEST('Задание 3'!C19:H19,'Задание 3'!C6:H6)*3</f>
        <v>27001.626595809292</v>
      </c>
    </row>
    <row r="52" spans="2:10">
      <c r="B52" s="49"/>
      <c r="C52" s="53"/>
    </row>
    <row r="54" spans="2:10">
      <c r="B54" s="93" t="s">
        <v>85</v>
      </c>
      <c r="C54" s="93"/>
      <c r="D54" s="93"/>
      <c r="E54" s="93"/>
      <c r="F54" s="93"/>
      <c r="G54" s="93"/>
      <c r="H54" s="93"/>
      <c r="I54" s="93"/>
      <c r="J54" s="93"/>
    </row>
    <row r="55" spans="2:10">
      <c r="B55" s="77"/>
      <c r="C55" s="77"/>
      <c r="D55" s="77"/>
      <c r="E55" s="77"/>
      <c r="F55" s="77"/>
      <c r="G55" s="77"/>
      <c r="H55" s="77"/>
      <c r="I55" s="77"/>
      <c r="J55" s="77"/>
    </row>
    <row r="56" spans="2:10">
      <c r="B56" s="94" t="s">
        <v>87</v>
      </c>
      <c r="C56" s="94"/>
      <c r="D56" s="94"/>
      <c r="E56" s="94" t="s">
        <v>88</v>
      </c>
      <c r="F56" s="94"/>
    </row>
    <row r="57" spans="2:10">
      <c r="B57" s="94" t="s">
        <v>86</v>
      </c>
      <c r="C57" s="94"/>
      <c r="D57" s="94"/>
      <c r="E57">
        <v>0</v>
      </c>
      <c r="F57">
        <v>50</v>
      </c>
    </row>
    <row r="58" spans="2:10">
      <c r="B58" s="44"/>
      <c r="C58" s="44"/>
      <c r="D58" s="44"/>
    </row>
    <row r="59" spans="2:10">
      <c r="B59" s="63" t="s">
        <v>89</v>
      </c>
      <c r="C59" s="64">
        <v>1.3517402291530598</v>
      </c>
    </row>
    <row r="60" spans="2:10">
      <c r="B60" s="61" t="s">
        <v>116</v>
      </c>
      <c r="C60" s="62">
        <f>10*COS(C59)*(0.5*C59^2+3*C59-4)</f>
        <v>2.1053302734963473</v>
      </c>
    </row>
    <row r="63" spans="2:10">
      <c r="B63" s="93" t="s">
        <v>117</v>
      </c>
      <c r="C63" s="93"/>
      <c r="D63" s="93"/>
      <c r="E63" s="93"/>
      <c r="F63" s="93"/>
      <c r="G63" s="93"/>
      <c r="H63" s="93"/>
      <c r="I63" s="93"/>
      <c r="J63" s="93"/>
    </row>
    <row r="65" spans="2:13">
      <c r="B65" s="98" t="s">
        <v>121</v>
      </c>
      <c r="C65" s="98"/>
      <c r="D65" s="67" t="s">
        <v>123</v>
      </c>
      <c r="E65" s="67" t="s">
        <v>124</v>
      </c>
      <c r="F65" s="67" t="s">
        <v>125</v>
      </c>
      <c r="I65" s="66"/>
      <c r="J65" s="66"/>
      <c r="K65" s="66"/>
      <c r="L65" s="65"/>
      <c r="M65" s="65"/>
    </row>
    <row r="66" spans="2:13">
      <c r="B66" s="98" t="s">
        <v>122</v>
      </c>
      <c r="C66" s="98"/>
      <c r="D66" s="68">
        <v>0.22811671087533156</v>
      </c>
      <c r="E66" s="68">
        <v>-0.25464190981432361</v>
      </c>
      <c r="F66" s="68">
        <v>0.17506631299734748</v>
      </c>
      <c r="I66" s="66"/>
      <c r="J66" s="66"/>
      <c r="K66" s="66"/>
      <c r="L66" s="65"/>
      <c r="M66" s="65"/>
    </row>
    <row r="67" spans="2:13">
      <c r="I67" s="65"/>
      <c r="J67" s="65"/>
      <c r="K67" s="65"/>
      <c r="L67" s="65"/>
      <c r="M67" s="65"/>
    </row>
    <row r="68" spans="2:13">
      <c r="B68" s="81" t="s">
        <v>187</v>
      </c>
      <c r="C68">
        <f>5*D66-2*E66+2*F66-2</f>
        <v>0</v>
      </c>
      <c r="I68" s="65"/>
      <c r="J68" s="65"/>
      <c r="K68" s="65"/>
      <c r="L68" s="65"/>
      <c r="M68" s="65"/>
    </row>
    <row r="69" spans="2:13">
      <c r="B69" s="81" t="s">
        <v>188</v>
      </c>
      <c r="C69">
        <f>3*D66+2*E66-1*F66</f>
        <v>0</v>
      </c>
      <c r="I69" s="65"/>
      <c r="J69" s="65"/>
      <c r="K69" s="65"/>
      <c r="L69" s="65"/>
      <c r="M69" s="65"/>
    </row>
    <row r="70" spans="2:13">
      <c r="I70" s="65"/>
      <c r="J70" s="65"/>
      <c r="K70" s="65"/>
      <c r="L70" s="65"/>
      <c r="M70" s="65"/>
    </row>
    <row r="71" spans="2:13">
      <c r="I71" s="65"/>
      <c r="J71" s="65"/>
      <c r="K71" s="65"/>
      <c r="L71" s="65"/>
      <c r="M71" s="65"/>
    </row>
    <row r="72" spans="2:13">
      <c r="B72" s="93" t="s">
        <v>130</v>
      </c>
      <c r="C72" s="93"/>
      <c r="D72" s="93"/>
      <c r="E72" s="93"/>
      <c r="F72" s="93"/>
      <c r="G72" s="93"/>
      <c r="H72" s="93"/>
      <c r="I72" s="93"/>
      <c r="J72" s="93"/>
      <c r="K72" s="65"/>
      <c r="L72" s="65"/>
      <c r="M72" s="65"/>
    </row>
    <row r="73" spans="2:13">
      <c r="I73" s="65"/>
      <c r="J73" s="65"/>
      <c r="K73" s="65"/>
      <c r="L73" s="65"/>
      <c r="M73" s="65"/>
    </row>
    <row r="74" spans="2:13">
      <c r="B74" s="98" t="s">
        <v>118</v>
      </c>
      <c r="C74" s="98"/>
      <c r="D74" s="67" t="s">
        <v>123</v>
      </c>
      <c r="E74" s="67" t="s">
        <v>124</v>
      </c>
      <c r="F74" s="67" t="s">
        <v>125</v>
      </c>
      <c r="I74" s="65"/>
      <c r="J74" s="65"/>
      <c r="K74" s="65"/>
      <c r="L74" s="65"/>
      <c r="M74" s="65"/>
    </row>
    <row r="75" spans="2:13">
      <c r="B75" s="98" t="s">
        <v>119</v>
      </c>
      <c r="C75" s="98"/>
      <c r="D75" s="68">
        <v>0.69466989809273216</v>
      </c>
      <c r="E75" s="68">
        <v>-0.55115211365738093</v>
      </c>
      <c r="F75" s="68">
        <v>-0.24994203127372014</v>
      </c>
      <c r="I75" s="65"/>
      <c r="J75" s="65"/>
      <c r="K75" s="65"/>
      <c r="L75" s="65"/>
      <c r="M75" s="65"/>
    </row>
    <row r="76" spans="2:13">
      <c r="B76" s="98" t="s">
        <v>120</v>
      </c>
      <c r="C76" s="98"/>
    </row>
    <row r="78" spans="2:13">
      <c r="B78" t="s">
        <v>187</v>
      </c>
      <c r="C78">
        <f>2*D75^3-4*E75+2*F75^2-3</f>
        <v>-9.8789698599333065E-7</v>
      </c>
    </row>
    <row r="79" spans="2:13">
      <c r="B79" t="s">
        <v>188</v>
      </c>
      <c r="C79">
        <f>D75^2-2*E75^2-0.5*F75</f>
        <v>-2.1824970122819032E-8</v>
      </c>
    </row>
    <row r="80" spans="2:13">
      <c r="B80" t="s">
        <v>189</v>
      </c>
      <c r="C80">
        <f>D75+E75^2-0.1*F75^3-1</f>
        <v>-3.6179878537545562E-8</v>
      </c>
    </row>
    <row r="83" spans="2:10">
      <c r="B83" s="93" t="s">
        <v>131</v>
      </c>
      <c r="C83" s="93"/>
      <c r="D83" s="93"/>
      <c r="E83" s="93"/>
      <c r="F83" s="93"/>
      <c r="G83" s="93"/>
      <c r="H83" s="93"/>
      <c r="I83" s="93"/>
      <c r="J83" s="93"/>
    </row>
    <row r="84" spans="2:10">
      <c r="B84" s="51"/>
      <c r="C84" s="51"/>
      <c r="D84" s="51"/>
      <c r="E84" s="51"/>
      <c r="F84" s="51"/>
      <c r="G84" s="51"/>
      <c r="H84" s="51"/>
      <c r="I84" s="51"/>
      <c r="J84" s="51"/>
    </row>
    <row r="85" spans="2:10">
      <c r="B85" s="95" t="s">
        <v>137</v>
      </c>
      <c r="C85" s="96"/>
      <c r="E85" s="95" t="s">
        <v>138</v>
      </c>
      <c r="F85" s="96"/>
    </row>
    <row r="86" spans="2:10">
      <c r="B86" s="69" t="s">
        <v>132</v>
      </c>
      <c r="C86" s="72">
        <v>6.9643741288888945</v>
      </c>
      <c r="E86" s="69" t="s">
        <v>132</v>
      </c>
      <c r="F86" s="72">
        <v>30.90977212319946</v>
      </c>
    </row>
    <row r="87" spans="2:10">
      <c r="B87" s="69" t="s">
        <v>133</v>
      </c>
      <c r="C87" s="72">
        <v>19.698239776233759</v>
      </c>
      <c r="E87" s="69" t="s">
        <v>133</v>
      </c>
      <c r="F87" s="72">
        <v>1</v>
      </c>
    </row>
    <row r="88" spans="2:10">
      <c r="B88" s="69" t="s">
        <v>134</v>
      </c>
      <c r="C88" s="70">
        <v>1000</v>
      </c>
      <c r="E88" s="69" t="s">
        <v>134</v>
      </c>
      <c r="F88" s="70">
        <v>1000</v>
      </c>
    </row>
    <row r="89" spans="2:10">
      <c r="B89" s="69" t="s">
        <v>135</v>
      </c>
      <c r="C89" s="70">
        <v>3.14</v>
      </c>
      <c r="E89" s="69" t="s">
        <v>135</v>
      </c>
      <c r="F89" s="70">
        <v>3.14</v>
      </c>
    </row>
    <row r="90" spans="2:10">
      <c r="B90" s="69"/>
      <c r="C90" s="70"/>
      <c r="E90" s="69"/>
      <c r="F90" s="70"/>
    </row>
    <row r="91" spans="2:10">
      <c r="B91" s="3" t="s">
        <v>134</v>
      </c>
      <c r="C91" s="71">
        <f>C89*C86^2*C87/3</f>
        <v>1000.0000000378769</v>
      </c>
      <c r="E91" s="3" t="s">
        <v>134</v>
      </c>
      <c r="F91" s="71">
        <f>F89*F86^2*F87/3</f>
        <v>999.99999996783072</v>
      </c>
    </row>
    <row r="92" spans="2:10">
      <c r="B92" s="3" t="s">
        <v>136</v>
      </c>
      <c r="C92" s="73">
        <f>C89*C86*((C86^2+C87^2)^0.5+C86)</f>
        <v>609.19179898723314</v>
      </c>
      <c r="E92" s="3" t="s">
        <v>136</v>
      </c>
      <c r="F92" s="73">
        <f>F89*F86*((F86^2+F87^2)^0.5+F86)</f>
        <v>6001.5695892051708</v>
      </c>
    </row>
  </sheetData>
  <mergeCells count="23">
    <mergeCell ref="B83:J83"/>
    <mergeCell ref="B85:C85"/>
    <mergeCell ref="E85:F85"/>
    <mergeCell ref="B38:C38"/>
    <mergeCell ref="B45:K45"/>
    <mergeCell ref="B47:G47"/>
    <mergeCell ref="B50:G50"/>
    <mergeCell ref="B54:J54"/>
    <mergeCell ref="B57:D57"/>
    <mergeCell ref="B56:D56"/>
    <mergeCell ref="E56:F56"/>
    <mergeCell ref="B76:C76"/>
    <mergeCell ref="B75:C75"/>
    <mergeCell ref="B74:C74"/>
    <mergeCell ref="B66:C66"/>
    <mergeCell ref="B65:C65"/>
    <mergeCell ref="B63:J63"/>
    <mergeCell ref="B72:J72"/>
    <mergeCell ref="B2:J2"/>
    <mergeCell ref="B17:C17"/>
    <mergeCell ref="B4:J4"/>
    <mergeCell ref="B24:J24"/>
    <mergeCell ref="B26:C2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2:J30"/>
  <sheetViews>
    <sheetView workbookViewId="0">
      <selection activeCell="M20" sqref="M20"/>
    </sheetView>
  </sheetViews>
  <sheetFormatPr defaultRowHeight="12.75"/>
  <cols>
    <col min="2" max="2" width="12" customWidth="1"/>
    <col min="3" max="3" width="11.5703125" customWidth="1"/>
    <col min="4" max="4" width="10.85546875" customWidth="1"/>
    <col min="5" max="5" width="19.85546875" customWidth="1"/>
    <col min="6" max="6" width="8.42578125" bestFit="1" customWidth="1"/>
  </cols>
  <sheetData>
    <row r="2" spans="2:10">
      <c r="B2" s="93" t="s">
        <v>139</v>
      </c>
      <c r="C2" s="93"/>
      <c r="D2" s="93"/>
      <c r="E2" s="93"/>
      <c r="F2" s="93"/>
      <c r="G2" s="93"/>
      <c r="H2" s="93"/>
      <c r="I2" s="93"/>
      <c r="J2" s="93"/>
    </row>
    <row r="4" spans="2:10">
      <c r="B4" s="76" t="s">
        <v>140</v>
      </c>
      <c r="C4" s="76" t="s">
        <v>141</v>
      </c>
      <c r="D4" s="76" t="s">
        <v>142</v>
      </c>
      <c r="E4" s="76" t="s">
        <v>143</v>
      </c>
      <c r="F4" s="76" t="s">
        <v>144</v>
      </c>
    </row>
    <row r="5" spans="2:10">
      <c r="B5" s="2" t="s">
        <v>145</v>
      </c>
      <c r="C5" s="2" t="s">
        <v>152</v>
      </c>
      <c r="D5" s="76">
        <v>1</v>
      </c>
      <c r="E5" s="76">
        <v>68</v>
      </c>
      <c r="F5" s="76">
        <v>5200</v>
      </c>
    </row>
    <row r="6" spans="2:10">
      <c r="B6" s="2" t="s">
        <v>145</v>
      </c>
      <c r="C6" s="2" t="s">
        <v>158</v>
      </c>
      <c r="D6" s="76">
        <v>23</v>
      </c>
      <c r="E6" s="76">
        <v>65</v>
      </c>
      <c r="F6" s="76">
        <v>4645</v>
      </c>
    </row>
    <row r="7" spans="2:10">
      <c r="B7" s="2" t="s">
        <v>145</v>
      </c>
      <c r="C7" s="2" t="s">
        <v>157</v>
      </c>
      <c r="D7" s="76">
        <v>1</v>
      </c>
      <c r="E7" s="76">
        <v>65</v>
      </c>
      <c r="F7" s="76">
        <v>4515</v>
      </c>
    </row>
    <row r="8" spans="2:10">
      <c r="B8" s="2" t="s">
        <v>145</v>
      </c>
      <c r="C8" s="2" t="s">
        <v>153</v>
      </c>
      <c r="D8" s="76">
        <v>23</v>
      </c>
      <c r="E8" s="76">
        <v>68</v>
      </c>
      <c r="F8" s="76">
        <v>7600</v>
      </c>
    </row>
    <row r="9" spans="2:10">
      <c r="B9" s="2" t="s">
        <v>145</v>
      </c>
      <c r="C9" s="2" t="s">
        <v>146</v>
      </c>
      <c r="D9" s="76">
        <v>1</v>
      </c>
      <c r="E9" s="76">
        <v>68</v>
      </c>
      <c r="F9" s="76">
        <v>7600</v>
      </c>
    </row>
    <row r="10" spans="2:10">
      <c r="B10" s="2" t="s">
        <v>145</v>
      </c>
      <c r="C10" s="2" t="s">
        <v>148</v>
      </c>
      <c r="D10" s="76">
        <v>23</v>
      </c>
      <c r="E10" s="76">
        <v>75</v>
      </c>
      <c r="F10" s="76">
        <v>5000</v>
      </c>
    </row>
    <row r="11" spans="2:10">
      <c r="B11" s="2" t="s">
        <v>147</v>
      </c>
      <c r="C11" s="2" t="s">
        <v>149</v>
      </c>
      <c r="D11" s="76">
        <v>23</v>
      </c>
      <c r="E11" s="76">
        <v>75</v>
      </c>
      <c r="F11" s="76">
        <v>3625</v>
      </c>
    </row>
    <row r="12" spans="2:10">
      <c r="B12" s="2" t="s">
        <v>147</v>
      </c>
      <c r="C12" s="2" t="s">
        <v>159</v>
      </c>
      <c r="D12" s="76">
        <v>23</v>
      </c>
      <c r="E12" s="76">
        <v>70</v>
      </c>
      <c r="F12" s="76">
        <v>5115</v>
      </c>
    </row>
    <row r="13" spans="2:10">
      <c r="B13" s="2" t="s">
        <v>147</v>
      </c>
      <c r="C13" s="2" t="s">
        <v>146</v>
      </c>
      <c r="D13" s="76">
        <v>23</v>
      </c>
      <c r="E13" s="76">
        <v>60</v>
      </c>
      <c r="F13" s="76">
        <v>7700</v>
      </c>
    </row>
    <row r="14" spans="2:10">
      <c r="B14" s="2" t="s">
        <v>147</v>
      </c>
      <c r="C14" s="2" t="s">
        <v>155</v>
      </c>
      <c r="D14" s="76">
        <v>1</v>
      </c>
      <c r="E14" s="76">
        <v>68</v>
      </c>
      <c r="F14" s="76">
        <v>4000</v>
      </c>
    </row>
    <row r="15" spans="2:10">
      <c r="B15" s="2" t="s">
        <v>147</v>
      </c>
      <c r="C15" s="2" t="s">
        <v>156</v>
      </c>
      <c r="D15" s="76">
        <v>23</v>
      </c>
      <c r="E15" s="76">
        <v>60</v>
      </c>
      <c r="F15" s="76">
        <v>6730</v>
      </c>
    </row>
    <row r="16" spans="2:10">
      <c r="B16" s="2" t="s">
        <v>147</v>
      </c>
      <c r="C16" s="2" t="s">
        <v>150</v>
      </c>
      <c r="D16" s="76">
        <v>1</v>
      </c>
      <c r="E16" s="76">
        <v>60</v>
      </c>
      <c r="F16" s="76">
        <v>4505</v>
      </c>
    </row>
    <row r="17" spans="2:6">
      <c r="B17" s="2" t="s">
        <v>147</v>
      </c>
      <c r="C17" s="2" t="s">
        <v>151</v>
      </c>
      <c r="D17" s="76">
        <v>23</v>
      </c>
      <c r="E17" s="76">
        <v>68</v>
      </c>
      <c r="F17" s="76">
        <v>6000</v>
      </c>
    </row>
    <row r="18" spans="2:6">
      <c r="B18" s="2" t="s">
        <v>147</v>
      </c>
      <c r="C18" s="2" t="s">
        <v>154</v>
      </c>
      <c r="D18" s="76">
        <v>23</v>
      </c>
      <c r="E18" s="76">
        <v>68</v>
      </c>
      <c r="F18" s="76">
        <v>4510</v>
      </c>
    </row>
    <row r="20" spans="2:6">
      <c r="B20" s="49" t="s">
        <v>145</v>
      </c>
    </row>
    <row r="21" spans="2:6">
      <c r="B21" s="99" t="s">
        <v>161</v>
      </c>
      <c r="C21" s="99"/>
      <c r="D21" s="75">
        <v>1</v>
      </c>
      <c r="E21" s="45"/>
    </row>
    <row r="22" spans="2:6">
      <c r="B22" s="80">
        <f>SUMIFS($F$5:$F$18,$B$5:$B$18,B20,$D$5:$D$18,D21)</f>
        <v>17315</v>
      </c>
      <c r="C22" t="s">
        <v>160</v>
      </c>
    </row>
    <row r="23" spans="2:6">
      <c r="B23" s="100" t="s">
        <v>161</v>
      </c>
      <c r="C23" s="100"/>
      <c r="D23" s="75">
        <v>23</v>
      </c>
      <c r="E23" s="45"/>
    </row>
    <row r="24" spans="2:6">
      <c r="B24" s="80">
        <f>SUMIFS($F$5:$F$18,$B$5:$B$18,B20,$D$5:$D$18,D23)</f>
        <v>17245</v>
      </c>
      <c r="C24" t="s">
        <v>160</v>
      </c>
      <c r="D24" s="74"/>
      <c r="E24" s="45"/>
    </row>
    <row r="26" spans="2:6">
      <c r="B26" s="49" t="s">
        <v>147</v>
      </c>
    </row>
    <row r="27" spans="2:6">
      <c r="B27" s="100" t="s">
        <v>161</v>
      </c>
      <c r="C27" s="100"/>
      <c r="D27" s="75">
        <v>1</v>
      </c>
      <c r="E27" s="45"/>
    </row>
    <row r="28" spans="2:6">
      <c r="B28" s="80">
        <f>SUMIFS($F$5:$F$18,$B$5:$B$18,B26,$D$5:$D$18,D27)</f>
        <v>8505</v>
      </c>
      <c r="C28" t="s">
        <v>160</v>
      </c>
    </row>
    <row r="29" spans="2:6">
      <c r="B29" s="100" t="s">
        <v>161</v>
      </c>
      <c r="C29" s="100"/>
      <c r="D29" s="75">
        <v>23</v>
      </c>
      <c r="E29" s="45"/>
    </row>
    <row r="30" spans="2:6">
      <c r="B30" s="80">
        <f>SUMIFS($F$5:$F$18,$B$5:$B$18,B26,$D$5:$D$18,D29)</f>
        <v>33680</v>
      </c>
      <c r="C30" t="s">
        <v>160</v>
      </c>
    </row>
  </sheetData>
  <sortState ref="B5:F18">
    <sortCondition ref="B5:B18"/>
    <sortCondition ref="C5:C18"/>
    <sortCondition ref="D5:D18"/>
  </sortState>
  <mergeCells count="5">
    <mergeCell ref="B21:C21"/>
    <mergeCell ref="B27:C27"/>
    <mergeCell ref="B29:C29"/>
    <mergeCell ref="B2:J2"/>
    <mergeCell ref="B23:C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J27"/>
  <sheetViews>
    <sheetView tabSelected="1" workbookViewId="0">
      <selection activeCell="K27" sqref="K27"/>
    </sheetView>
  </sheetViews>
  <sheetFormatPr defaultRowHeight="12.75" outlineLevelRow="2"/>
  <cols>
    <col min="2" max="2" width="9.5703125" customWidth="1"/>
    <col min="3" max="3" width="7.28515625" customWidth="1"/>
    <col min="4" max="4" width="15.5703125" customWidth="1"/>
    <col min="5" max="5" width="7.85546875" customWidth="1"/>
    <col min="6" max="6" width="10.42578125" customWidth="1"/>
    <col min="7" max="7" width="9.85546875" customWidth="1"/>
  </cols>
  <sheetData>
    <row r="2" spans="2:10">
      <c r="B2" s="93" t="s">
        <v>162</v>
      </c>
      <c r="C2" s="93"/>
      <c r="D2" s="93"/>
      <c r="E2" s="93"/>
      <c r="F2" s="93"/>
      <c r="G2" s="93"/>
      <c r="H2" s="93"/>
      <c r="I2" s="93"/>
      <c r="J2" s="93"/>
    </row>
    <row r="4" spans="2:10" ht="19.5" customHeight="1">
      <c r="B4" s="101" t="s">
        <v>163</v>
      </c>
      <c r="C4" s="102"/>
      <c r="D4" s="102"/>
      <c r="E4" s="102"/>
      <c r="F4" s="102"/>
      <c r="G4" s="103"/>
    </row>
    <row r="5" spans="2:10" ht="33" customHeight="1">
      <c r="B5" s="78" t="s">
        <v>164</v>
      </c>
      <c r="C5" s="78" t="s">
        <v>165</v>
      </c>
      <c r="D5" s="78" t="s">
        <v>166</v>
      </c>
      <c r="E5" s="78" t="s">
        <v>167</v>
      </c>
      <c r="F5" s="78" t="s">
        <v>168</v>
      </c>
      <c r="G5" s="78" t="s">
        <v>144</v>
      </c>
    </row>
    <row r="6" spans="2:10" outlineLevel="2">
      <c r="B6" s="2" t="s">
        <v>170</v>
      </c>
      <c r="C6" s="2">
        <v>9</v>
      </c>
      <c r="D6" s="2" t="s">
        <v>177</v>
      </c>
      <c r="E6" s="2">
        <v>2</v>
      </c>
      <c r="F6" s="2">
        <v>54</v>
      </c>
      <c r="G6" s="2">
        <f>E6*F6</f>
        <v>108</v>
      </c>
    </row>
    <row r="7" spans="2:10" s="49" customFormat="1" outlineLevel="1">
      <c r="B7" s="80"/>
      <c r="C7" s="80"/>
      <c r="D7" s="79" t="s">
        <v>180</v>
      </c>
      <c r="E7" s="80"/>
      <c r="F7" s="80"/>
      <c r="G7" s="80">
        <f>SUBTOTAL(9,G6:G6)</f>
        <v>108</v>
      </c>
    </row>
    <row r="8" spans="2:10" outlineLevel="2">
      <c r="B8" s="2" t="s">
        <v>170</v>
      </c>
      <c r="C8" s="2">
        <v>9</v>
      </c>
      <c r="D8" s="2" t="s">
        <v>175</v>
      </c>
      <c r="E8" s="2">
        <v>3</v>
      </c>
      <c r="F8" s="2">
        <v>12</v>
      </c>
      <c r="G8" s="2">
        <f>E8*F8</f>
        <v>36</v>
      </c>
    </row>
    <row r="9" spans="2:10" outlineLevel="2">
      <c r="B9" s="2" t="s">
        <v>169</v>
      </c>
      <c r="C9" s="2">
        <v>6</v>
      </c>
      <c r="D9" s="2" t="s">
        <v>175</v>
      </c>
      <c r="E9" s="2">
        <v>3</v>
      </c>
      <c r="F9" s="2">
        <v>5</v>
      </c>
      <c r="G9" s="2">
        <f>E9*F9</f>
        <v>15</v>
      </c>
    </row>
    <row r="10" spans="2:10" s="49" customFormat="1" outlineLevel="1">
      <c r="B10" s="80"/>
      <c r="C10" s="80"/>
      <c r="D10" s="80" t="s">
        <v>181</v>
      </c>
      <c r="E10" s="80"/>
      <c r="F10" s="80"/>
      <c r="G10" s="80">
        <f>SUBTOTAL(9,G8:G9)</f>
        <v>51</v>
      </c>
    </row>
    <row r="11" spans="2:10" outlineLevel="2">
      <c r="B11" s="2" t="s">
        <v>170</v>
      </c>
      <c r="C11" s="2">
        <v>9</v>
      </c>
      <c r="D11" s="2" t="s">
        <v>178</v>
      </c>
      <c r="E11" s="2">
        <v>2</v>
      </c>
      <c r="F11" s="2">
        <v>32</v>
      </c>
      <c r="G11" s="2">
        <f>E11*F11</f>
        <v>64</v>
      </c>
    </row>
    <row r="12" spans="2:10" outlineLevel="2">
      <c r="B12" s="2" t="s">
        <v>169</v>
      </c>
      <c r="C12" s="2">
        <v>6</v>
      </c>
      <c r="D12" s="2" t="s">
        <v>178</v>
      </c>
      <c r="E12" s="2">
        <v>2</v>
      </c>
      <c r="F12" s="2">
        <v>10</v>
      </c>
      <c r="G12" s="2">
        <f>E12*F12</f>
        <v>20</v>
      </c>
    </row>
    <row r="13" spans="2:10" s="49" customFormat="1" outlineLevel="1">
      <c r="B13" s="80"/>
      <c r="C13" s="80"/>
      <c r="D13" s="80" t="s">
        <v>182</v>
      </c>
      <c r="E13" s="80"/>
      <c r="F13" s="80"/>
      <c r="G13" s="80">
        <f>SUBTOTAL(9,G11:G12)</f>
        <v>84</v>
      </c>
    </row>
    <row r="14" spans="2:10" outlineLevel="2">
      <c r="B14" s="2" t="s">
        <v>170</v>
      </c>
      <c r="C14" s="2">
        <v>9</v>
      </c>
      <c r="D14" s="2" t="s">
        <v>174</v>
      </c>
      <c r="E14" s="2">
        <v>11</v>
      </c>
      <c r="F14" s="2">
        <v>4</v>
      </c>
      <c r="G14" s="2">
        <f>E14*F14</f>
        <v>44</v>
      </c>
    </row>
    <row r="15" spans="2:10" outlineLevel="2">
      <c r="B15" s="2" t="s">
        <v>171</v>
      </c>
      <c r="C15" s="2">
        <v>11</v>
      </c>
      <c r="D15" s="2" t="s">
        <v>174</v>
      </c>
      <c r="E15" s="2">
        <v>11</v>
      </c>
      <c r="F15" s="2">
        <v>10</v>
      </c>
      <c r="G15" s="2">
        <f>E15*F15</f>
        <v>110</v>
      </c>
    </row>
    <row r="16" spans="2:10" outlineLevel="2">
      <c r="B16" s="2" t="s">
        <v>169</v>
      </c>
      <c r="C16" s="2">
        <v>6</v>
      </c>
      <c r="D16" s="2" t="s">
        <v>174</v>
      </c>
      <c r="E16" s="2">
        <v>11</v>
      </c>
      <c r="F16" s="2">
        <v>10</v>
      </c>
      <c r="G16" s="2">
        <f>E16*F16</f>
        <v>110</v>
      </c>
    </row>
    <row r="17" spans="2:7" s="49" customFormat="1" outlineLevel="1">
      <c r="B17" s="80"/>
      <c r="C17" s="80"/>
      <c r="D17" s="80" t="s">
        <v>183</v>
      </c>
      <c r="E17" s="80"/>
      <c r="F17" s="80"/>
      <c r="G17" s="80">
        <f>SUBTOTAL(9,G14:G16)</f>
        <v>264</v>
      </c>
    </row>
    <row r="18" spans="2:7" outlineLevel="2">
      <c r="B18" s="2" t="s">
        <v>170</v>
      </c>
      <c r="C18" s="2">
        <v>9</v>
      </c>
      <c r="D18" s="2" t="s">
        <v>176</v>
      </c>
      <c r="E18" s="2">
        <v>5</v>
      </c>
      <c r="F18" s="2">
        <v>30</v>
      </c>
      <c r="G18" s="2">
        <f>E18*F18</f>
        <v>150</v>
      </c>
    </row>
    <row r="19" spans="2:7" s="49" customFormat="1" outlineLevel="1">
      <c r="B19" s="80"/>
      <c r="C19" s="80"/>
      <c r="D19" s="80" t="s">
        <v>184</v>
      </c>
      <c r="E19" s="80"/>
      <c r="F19" s="80"/>
      <c r="G19" s="80">
        <f>SUBTOTAL(9,G18:G18)</f>
        <v>150</v>
      </c>
    </row>
    <row r="20" spans="2:7" outlineLevel="2">
      <c r="B20" s="2" t="s">
        <v>170</v>
      </c>
      <c r="C20" s="2">
        <v>9</v>
      </c>
      <c r="D20" s="2" t="s">
        <v>173</v>
      </c>
      <c r="E20" s="2">
        <v>3</v>
      </c>
      <c r="F20" s="2">
        <v>12</v>
      </c>
      <c r="G20" s="2">
        <f>E20*F20</f>
        <v>36</v>
      </c>
    </row>
    <row r="21" spans="2:7" outlineLevel="2">
      <c r="B21" s="2" t="s">
        <v>169</v>
      </c>
      <c r="C21" s="2">
        <v>6</v>
      </c>
      <c r="D21" s="2" t="s">
        <v>173</v>
      </c>
      <c r="E21" s="2">
        <v>3</v>
      </c>
      <c r="F21" s="2">
        <v>10</v>
      </c>
      <c r="G21" s="2">
        <f>E21*F21</f>
        <v>30</v>
      </c>
    </row>
    <row r="22" spans="2:7" s="49" customFormat="1" outlineLevel="1">
      <c r="B22" s="80"/>
      <c r="C22" s="80"/>
      <c r="D22" s="80" t="s">
        <v>185</v>
      </c>
      <c r="E22" s="80"/>
      <c r="F22" s="80"/>
      <c r="G22" s="80">
        <f>SUBTOTAL(9,G20:G21)</f>
        <v>66</v>
      </c>
    </row>
    <row r="23" spans="2:7" outlineLevel="2">
      <c r="B23" s="2" t="s">
        <v>170</v>
      </c>
      <c r="C23" s="2">
        <v>9</v>
      </c>
      <c r="D23" s="2" t="s">
        <v>172</v>
      </c>
      <c r="E23" s="2">
        <v>12</v>
      </c>
      <c r="F23" s="2">
        <v>10</v>
      </c>
      <c r="G23" s="2">
        <f>E23*F23</f>
        <v>120</v>
      </c>
    </row>
    <row r="24" spans="2:7" outlineLevel="2">
      <c r="B24" s="2" t="s">
        <v>171</v>
      </c>
      <c r="C24" s="2">
        <v>11</v>
      </c>
      <c r="D24" s="2" t="s">
        <v>172</v>
      </c>
      <c r="E24" s="2">
        <v>12</v>
      </c>
      <c r="F24" s="2">
        <v>10</v>
      </c>
      <c r="G24" s="2">
        <f>E24*F24</f>
        <v>120</v>
      </c>
    </row>
    <row r="25" spans="2:7" outlineLevel="2">
      <c r="B25" s="2" t="s">
        <v>169</v>
      </c>
      <c r="C25" s="2">
        <v>6</v>
      </c>
      <c r="D25" s="2" t="s">
        <v>172</v>
      </c>
      <c r="E25" s="2">
        <v>12</v>
      </c>
      <c r="F25" s="2">
        <v>5</v>
      </c>
      <c r="G25" s="2">
        <f>E25*F25</f>
        <v>60</v>
      </c>
    </row>
    <row r="26" spans="2:7" s="49" customFormat="1" outlineLevel="1">
      <c r="B26" s="82"/>
      <c r="C26" s="82"/>
      <c r="D26" s="82" t="s">
        <v>186</v>
      </c>
      <c r="E26" s="82"/>
      <c r="F26" s="82"/>
      <c r="G26" s="82">
        <f>SUBTOTAL(9,G23:G25)</f>
        <v>300</v>
      </c>
    </row>
    <row r="27" spans="2:7">
      <c r="B27" s="81"/>
      <c r="C27" s="81"/>
      <c r="D27" s="82" t="s">
        <v>179</v>
      </c>
      <c r="E27" s="81"/>
      <c r="F27" s="81"/>
      <c r="G27" s="82">
        <f>SUBTOTAL(9,G6:G25)</f>
        <v>1023</v>
      </c>
    </row>
  </sheetData>
  <autoFilter ref="B5:G25">
    <sortState ref="B6:G19">
      <sortCondition ref="D5:D19"/>
    </sortState>
  </autoFilter>
  <sortState ref="B6:G19">
    <sortCondition ref="B6:B19"/>
    <sortCondition descending="1" ref="C6:C19"/>
    <sortCondition ref="D6:D19"/>
  </sortState>
  <mergeCells count="2">
    <mergeCell ref="B2:J2"/>
    <mergeCell ref="B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51"/>
  <sheetViews>
    <sheetView workbookViewId="0">
      <selection activeCell="I29" sqref="I29"/>
    </sheetView>
  </sheetViews>
  <sheetFormatPr defaultRowHeight="12.75"/>
  <cols>
    <col min="2" max="2" width="22.85546875" bestFit="1" customWidth="1"/>
    <col min="5" max="6" width="9.140625" customWidth="1"/>
    <col min="10" max="10" width="10.28515625" bestFit="1" customWidth="1"/>
  </cols>
  <sheetData>
    <row r="2" spans="2:10">
      <c r="B2" s="83" t="s">
        <v>41</v>
      </c>
      <c r="C2" s="83"/>
      <c r="D2" s="83"/>
      <c r="E2" s="83"/>
      <c r="F2" s="83"/>
      <c r="G2" s="83"/>
      <c r="H2" s="83"/>
      <c r="I2" s="83"/>
      <c r="J2" s="83"/>
    </row>
    <row r="3" spans="2:10" ht="13.5" thickBot="1"/>
    <row r="4" spans="2:10" ht="28.5" customHeight="1" thickBot="1">
      <c r="B4" s="90" t="s">
        <v>24</v>
      </c>
      <c r="C4" s="91"/>
      <c r="D4" s="91"/>
      <c r="E4" s="91"/>
      <c r="F4" s="91"/>
      <c r="G4" s="91"/>
      <c r="H4" s="91"/>
      <c r="I4" s="91"/>
      <c r="J4" s="92"/>
    </row>
    <row r="5" spans="2:10" ht="18" customHeight="1">
      <c r="B5" s="111" t="s">
        <v>2</v>
      </c>
      <c r="C5" s="109" t="s">
        <v>18</v>
      </c>
      <c r="D5" s="30" t="s">
        <v>19</v>
      </c>
      <c r="E5" s="30" t="s">
        <v>20</v>
      </c>
      <c r="F5" s="30" t="s">
        <v>21</v>
      </c>
      <c r="G5" s="30" t="s">
        <v>22</v>
      </c>
      <c r="H5" s="106" t="s">
        <v>23</v>
      </c>
      <c r="I5" s="29" t="s">
        <v>16</v>
      </c>
      <c r="J5" s="31" t="s">
        <v>25</v>
      </c>
    </row>
    <row r="6" spans="2:10" ht="6" customHeight="1">
      <c r="B6" s="112"/>
      <c r="C6" s="71"/>
      <c r="D6" s="2"/>
      <c r="E6" s="2"/>
      <c r="F6" s="2"/>
      <c r="G6" s="2"/>
      <c r="H6" s="3"/>
      <c r="I6" s="6"/>
      <c r="J6" s="10"/>
    </row>
    <row r="7" spans="2:10">
      <c r="B7" s="113" t="s">
        <v>26</v>
      </c>
      <c r="C7" s="71">
        <f ca="1">RANDBETWEEN(80,110)*1000</f>
        <v>83000</v>
      </c>
      <c r="D7" s="2">
        <f t="shared" ref="D7:H7" ca="1" si="0">RANDBETWEEN(80,110)*1000</f>
        <v>94000</v>
      </c>
      <c r="E7" s="2">
        <f t="shared" ca="1" si="0"/>
        <v>84000</v>
      </c>
      <c r="F7" s="2">
        <f t="shared" ca="1" si="0"/>
        <v>87000</v>
      </c>
      <c r="G7" s="2">
        <f t="shared" ca="1" si="0"/>
        <v>99000</v>
      </c>
      <c r="H7" s="3">
        <f t="shared" ca="1" si="0"/>
        <v>87000</v>
      </c>
      <c r="I7" s="6">
        <f ca="1">SUM(C7:H7)</f>
        <v>534000</v>
      </c>
      <c r="J7" s="32">
        <f ca="1">AVERAGE(C7:H7)</f>
        <v>89000</v>
      </c>
    </row>
    <row r="8" spans="2:10">
      <c r="B8" s="113" t="s">
        <v>27</v>
      </c>
      <c r="C8" s="71">
        <f ca="1">RANDBETWEEN(5,50)*1000</f>
        <v>29000</v>
      </c>
      <c r="D8" s="2">
        <f t="shared" ref="D8:H8" ca="1" si="1">RANDBETWEEN(5,50)*1000</f>
        <v>19000</v>
      </c>
      <c r="E8" s="2">
        <f t="shared" ca="1" si="1"/>
        <v>36000</v>
      </c>
      <c r="F8" s="2">
        <f t="shared" ca="1" si="1"/>
        <v>7000</v>
      </c>
      <c r="G8" s="2">
        <f t="shared" ca="1" si="1"/>
        <v>23000</v>
      </c>
      <c r="H8" s="3">
        <f t="shared" ca="1" si="1"/>
        <v>20000</v>
      </c>
      <c r="I8" s="6">
        <f t="shared" ref="I8:I23" ca="1" si="2">SUM(C8:H8)</f>
        <v>134000</v>
      </c>
      <c r="J8" s="32">
        <f t="shared" ref="J8:J23" ca="1" si="3">AVERAGE(C8:H8)</f>
        <v>22333.333333333332</v>
      </c>
    </row>
    <row r="9" spans="2:10">
      <c r="B9" s="113" t="s">
        <v>28</v>
      </c>
      <c r="C9" s="71">
        <f ca="1">RANDBETWEEN(30,46)*1000</f>
        <v>32000</v>
      </c>
      <c r="D9" s="2">
        <f t="shared" ref="D9:H9" ca="1" si="4">RANDBETWEEN(30,46)*1000</f>
        <v>37000</v>
      </c>
      <c r="E9" s="2">
        <f t="shared" ca="1" si="4"/>
        <v>42000</v>
      </c>
      <c r="F9" s="2">
        <f t="shared" ca="1" si="4"/>
        <v>46000</v>
      </c>
      <c r="G9" s="2">
        <f t="shared" ca="1" si="4"/>
        <v>33000</v>
      </c>
      <c r="H9" s="3">
        <f t="shared" ca="1" si="4"/>
        <v>31000</v>
      </c>
      <c r="I9" s="6">
        <f t="shared" ca="1" si="2"/>
        <v>221000</v>
      </c>
      <c r="J9" s="32">
        <f t="shared" ca="1" si="3"/>
        <v>36833.333333333336</v>
      </c>
    </row>
    <row r="10" spans="2:10">
      <c r="B10" s="114" t="s">
        <v>29</v>
      </c>
      <c r="C10" s="71">
        <f ca="1">SUM(C7:C9)</f>
        <v>144000</v>
      </c>
      <c r="D10" s="2">
        <f t="shared" ref="D10:H10" ca="1" si="5">SUM(D7:D9)</f>
        <v>150000</v>
      </c>
      <c r="E10" s="2">
        <f t="shared" ca="1" si="5"/>
        <v>162000</v>
      </c>
      <c r="F10" s="2">
        <f t="shared" ca="1" si="5"/>
        <v>140000</v>
      </c>
      <c r="G10" s="2">
        <f t="shared" ca="1" si="5"/>
        <v>155000</v>
      </c>
      <c r="H10" s="3">
        <f t="shared" ca="1" si="5"/>
        <v>138000</v>
      </c>
      <c r="I10" s="6">
        <f t="shared" ca="1" si="2"/>
        <v>889000</v>
      </c>
      <c r="J10" s="32">
        <f t="shared" ca="1" si="3"/>
        <v>148166.66666666666</v>
      </c>
    </row>
    <row r="11" spans="2:10" ht="6" customHeight="1">
      <c r="B11" s="113"/>
      <c r="C11" s="71"/>
      <c r="D11" s="2"/>
      <c r="E11" s="2"/>
      <c r="F11" s="2"/>
      <c r="G11" s="2"/>
      <c r="H11" s="3"/>
      <c r="I11" s="6"/>
      <c r="J11" s="32"/>
    </row>
    <row r="12" spans="2:10">
      <c r="B12" s="113" t="s">
        <v>30</v>
      </c>
      <c r="C12" s="71">
        <f ca="1">RANDBETWEEN(50,90)*100</f>
        <v>8400</v>
      </c>
      <c r="D12" s="2">
        <f t="shared" ref="D12:H12" ca="1" si="6">RANDBETWEEN(50,90)*100</f>
        <v>7400</v>
      </c>
      <c r="E12" s="2">
        <f t="shared" ca="1" si="6"/>
        <v>5100</v>
      </c>
      <c r="F12" s="2">
        <f t="shared" ca="1" si="6"/>
        <v>8600</v>
      </c>
      <c r="G12" s="2">
        <f t="shared" ca="1" si="6"/>
        <v>7600</v>
      </c>
      <c r="H12" s="3">
        <f t="shared" ca="1" si="6"/>
        <v>9000</v>
      </c>
      <c r="I12" s="6">
        <f t="shared" ca="1" si="2"/>
        <v>46100</v>
      </c>
      <c r="J12" s="32">
        <f t="shared" ca="1" si="3"/>
        <v>7683.333333333333</v>
      </c>
    </row>
    <row r="13" spans="2:10">
      <c r="B13" s="113" t="s">
        <v>31</v>
      </c>
      <c r="C13" s="71">
        <f ca="1">RANDBETWEEN(300,450)*100</f>
        <v>38400</v>
      </c>
      <c r="D13" s="2">
        <f t="shared" ref="D13:H13" ca="1" si="7">RANDBETWEEN(300,450)*100</f>
        <v>35400</v>
      </c>
      <c r="E13" s="2">
        <f t="shared" ca="1" si="7"/>
        <v>36700</v>
      </c>
      <c r="F13" s="2">
        <f t="shared" ca="1" si="7"/>
        <v>34500</v>
      </c>
      <c r="G13" s="2">
        <f t="shared" ca="1" si="7"/>
        <v>43000</v>
      </c>
      <c r="H13" s="3">
        <f t="shared" ca="1" si="7"/>
        <v>34700</v>
      </c>
      <c r="I13" s="6">
        <f t="shared" ca="1" si="2"/>
        <v>222700</v>
      </c>
      <c r="J13" s="32">
        <f t="shared" ca="1" si="3"/>
        <v>37116.666666666664</v>
      </c>
    </row>
    <row r="14" spans="2:10">
      <c r="B14" s="113" t="s">
        <v>32</v>
      </c>
      <c r="C14" s="71">
        <f ca="1">RANDBETWEEN(30,60)*100</f>
        <v>3900</v>
      </c>
      <c r="D14" s="2">
        <f t="shared" ref="D14:H14" ca="1" si="8">RANDBETWEEN(30,60)*100</f>
        <v>5800</v>
      </c>
      <c r="E14" s="2">
        <f t="shared" ca="1" si="8"/>
        <v>4300</v>
      </c>
      <c r="F14" s="2">
        <f t="shared" ca="1" si="8"/>
        <v>4400</v>
      </c>
      <c r="G14" s="2">
        <f t="shared" ca="1" si="8"/>
        <v>3100</v>
      </c>
      <c r="H14" s="3">
        <f t="shared" ca="1" si="8"/>
        <v>3600</v>
      </c>
      <c r="I14" s="6">
        <f t="shared" ca="1" si="2"/>
        <v>25100</v>
      </c>
      <c r="J14" s="32">
        <f t="shared" ca="1" si="3"/>
        <v>4183.333333333333</v>
      </c>
    </row>
    <row r="15" spans="2:10">
      <c r="B15" s="113" t="s">
        <v>33</v>
      </c>
      <c r="C15" s="71">
        <f ca="1">RANDBETWEEN(1,15)*1000</f>
        <v>13000</v>
      </c>
      <c r="D15" s="2">
        <f t="shared" ref="D15:H15" ca="1" si="9">RANDBETWEEN(1,15)*1000</f>
        <v>5000</v>
      </c>
      <c r="E15" s="2">
        <f t="shared" ca="1" si="9"/>
        <v>8000</v>
      </c>
      <c r="F15" s="2">
        <f t="shared" ca="1" si="9"/>
        <v>10000</v>
      </c>
      <c r="G15" s="2">
        <f t="shared" ca="1" si="9"/>
        <v>3000</v>
      </c>
      <c r="H15" s="3">
        <f t="shared" ca="1" si="9"/>
        <v>1000</v>
      </c>
      <c r="I15" s="6">
        <f t="shared" ca="1" si="2"/>
        <v>40000</v>
      </c>
      <c r="J15" s="32">
        <f t="shared" ca="1" si="3"/>
        <v>6666.666666666667</v>
      </c>
    </row>
    <row r="16" spans="2:10">
      <c r="B16" s="114" t="s">
        <v>34</v>
      </c>
      <c r="C16" s="71">
        <f ca="1">SUM(C12:C15)</f>
        <v>63700</v>
      </c>
      <c r="D16" s="2">
        <f t="shared" ref="D16:H16" ca="1" si="10">SUM(D12:D15)</f>
        <v>53600</v>
      </c>
      <c r="E16" s="2">
        <f t="shared" ca="1" si="10"/>
        <v>54100</v>
      </c>
      <c r="F16" s="2">
        <f t="shared" ca="1" si="10"/>
        <v>57500</v>
      </c>
      <c r="G16" s="2">
        <f t="shared" ca="1" si="10"/>
        <v>56700</v>
      </c>
      <c r="H16" s="3">
        <f t="shared" ca="1" si="10"/>
        <v>48300</v>
      </c>
      <c r="I16" s="6">
        <f t="shared" ca="1" si="2"/>
        <v>333900</v>
      </c>
      <c r="J16" s="32">
        <f t="shared" ca="1" si="3"/>
        <v>55650</v>
      </c>
    </row>
    <row r="17" spans="2:10" ht="6" customHeight="1">
      <c r="B17" s="113"/>
      <c r="C17" s="71"/>
      <c r="D17" s="2"/>
      <c r="E17" s="2"/>
      <c r="F17" s="2"/>
      <c r="G17" s="2"/>
      <c r="H17" s="3"/>
      <c r="I17" s="6"/>
      <c r="J17" s="32"/>
    </row>
    <row r="18" spans="2:10">
      <c r="B18" s="113" t="s">
        <v>35</v>
      </c>
      <c r="C18" s="71">
        <v>30000</v>
      </c>
      <c r="D18" s="2">
        <v>30000</v>
      </c>
      <c r="E18" s="2">
        <v>30000</v>
      </c>
      <c r="F18" s="2">
        <v>30000</v>
      </c>
      <c r="G18" s="2">
        <v>30000</v>
      </c>
      <c r="H18" s="3">
        <v>30000</v>
      </c>
      <c r="I18" s="6">
        <f t="shared" si="2"/>
        <v>180000</v>
      </c>
      <c r="J18" s="32">
        <f t="shared" si="3"/>
        <v>30000</v>
      </c>
    </row>
    <row r="19" spans="2:10">
      <c r="B19" s="113" t="s">
        <v>36</v>
      </c>
      <c r="C19" s="71">
        <f ca="1">(C10-C18)*0.13</f>
        <v>14820</v>
      </c>
      <c r="D19" s="2">
        <f t="shared" ref="D19:H19" ca="1" si="11">(D10-D18)*0.13</f>
        <v>15600</v>
      </c>
      <c r="E19" s="2">
        <f t="shared" ca="1" si="11"/>
        <v>17160</v>
      </c>
      <c r="F19" s="2">
        <f t="shared" ca="1" si="11"/>
        <v>14300</v>
      </c>
      <c r="G19" s="2">
        <f t="shared" ca="1" si="11"/>
        <v>16250</v>
      </c>
      <c r="H19" s="3">
        <f t="shared" ca="1" si="11"/>
        <v>14040</v>
      </c>
      <c r="I19" s="6">
        <f t="shared" ca="1" si="2"/>
        <v>92170</v>
      </c>
      <c r="J19" s="32">
        <f t="shared" ca="1" si="3"/>
        <v>15361.666666666666</v>
      </c>
    </row>
    <row r="20" spans="2:10">
      <c r="B20" s="113" t="s">
        <v>37</v>
      </c>
      <c r="C20" s="71">
        <f ca="1">C7*0.02</f>
        <v>1660</v>
      </c>
      <c r="D20" s="2">
        <f t="shared" ref="D20:H20" ca="1" si="12">D7*0.02</f>
        <v>1880</v>
      </c>
      <c r="E20" s="2">
        <f t="shared" ca="1" si="12"/>
        <v>1680</v>
      </c>
      <c r="F20" s="2">
        <f t="shared" ca="1" si="12"/>
        <v>1740</v>
      </c>
      <c r="G20" s="2">
        <f t="shared" ca="1" si="12"/>
        <v>1980</v>
      </c>
      <c r="H20" s="3">
        <f t="shared" ca="1" si="12"/>
        <v>1740</v>
      </c>
      <c r="I20" s="6">
        <f t="shared" ca="1" si="2"/>
        <v>10680</v>
      </c>
      <c r="J20" s="32">
        <f t="shared" ca="1" si="3"/>
        <v>1780</v>
      </c>
    </row>
    <row r="21" spans="2:10">
      <c r="B21" s="114" t="s">
        <v>38</v>
      </c>
      <c r="C21" s="71">
        <f ca="1">SUM(C18:C20)</f>
        <v>46480</v>
      </c>
      <c r="D21" s="2">
        <f t="shared" ref="D21:H21" ca="1" si="13">SUM(D18:D20)</f>
        <v>47480</v>
      </c>
      <c r="E21" s="2">
        <f t="shared" ca="1" si="13"/>
        <v>48840</v>
      </c>
      <c r="F21" s="2">
        <f t="shared" ca="1" si="13"/>
        <v>46040</v>
      </c>
      <c r="G21" s="2">
        <f t="shared" ca="1" si="13"/>
        <v>48230</v>
      </c>
      <c r="H21" s="3">
        <f t="shared" ca="1" si="13"/>
        <v>45780</v>
      </c>
      <c r="I21" s="6">
        <f t="shared" ca="1" si="2"/>
        <v>282850</v>
      </c>
      <c r="J21" s="32">
        <f t="shared" ca="1" si="3"/>
        <v>47141.666666666664</v>
      </c>
    </row>
    <row r="22" spans="2:10" ht="6" customHeight="1">
      <c r="B22" s="113"/>
      <c r="C22" s="71"/>
      <c r="D22" s="2"/>
      <c r="E22" s="2"/>
      <c r="F22" s="2"/>
      <c r="G22" s="2"/>
      <c r="H22" s="3"/>
      <c r="I22" s="6"/>
      <c r="J22" s="32"/>
    </row>
    <row r="23" spans="2:10" ht="24.75" customHeight="1" thickBot="1">
      <c r="B23" s="115" t="s">
        <v>39</v>
      </c>
      <c r="C23" s="110">
        <f ca="1">C10-C16-C21</f>
        <v>33820</v>
      </c>
      <c r="D23" s="104">
        <f t="shared" ref="D23:H23" ca="1" si="14">D10-D16-D21</f>
        <v>48920</v>
      </c>
      <c r="E23" s="104">
        <f t="shared" ca="1" si="14"/>
        <v>59060</v>
      </c>
      <c r="F23" s="104">
        <f t="shared" ca="1" si="14"/>
        <v>36460</v>
      </c>
      <c r="G23" s="104">
        <f t="shared" ca="1" si="14"/>
        <v>50070</v>
      </c>
      <c r="H23" s="107">
        <f t="shared" ca="1" si="14"/>
        <v>43920</v>
      </c>
      <c r="I23" s="108">
        <f t="shared" ca="1" si="2"/>
        <v>272250</v>
      </c>
      <c r="J23" s="105">
        <f t="shared" ca="1" si="3"/>
        <v>45375</v>
      </c>
    </row>
    <row r="24" spans="2:10">
      <c r="B24" s="28"/>
    </row>
    <row r="25" spans="2:10">
      <c r="B25" s="28"/>
    </row>
    <row r="26" spans="2:10">
      <c r="B26" s="28"/>
    </row>
    <row r="27" spans="2:10">
      <c r="B27" s="28"/>
    </row>
    <row r="28" spans="2:10">
      <c r="B28" s="28"/>
    </row>
    <row r="29" spans="2:10">
      <c r="B29" s="28"/>
    </row>
    <row r="30" spans="2:10">
      <c r="B30" s="28"/>
    </row>
    <row r="31" spans="2:10">
      <c r="B31" s="28"/>
    </row>
    <row r="32" spans="2:10">
      <c r="B32" s="28"/>
    </row>
    <row r="33" spans="2:10">
      <c r="B33" s="28"/>
    </row>
    <row r="34" spans="2:10">
      <c r="B34" s="28"/>
    </row>
    <row r="35" spans="2:10">
      <c r="B35" s="28"/>
    </row>
    <row r="36" spans="2:10">
      <c r="B36" s="28"/>
    </row>
    <row r="37" spans="2:10">
      <c r="B37" s="28"/>
    </row>
    <row r="38" spans="2:10">
      <c r="B38" s="28"/>
    </row>
    <row r="44" spans="2:10">
      <c r="C44" s="1"/>
      <c r="D44" s="1"/>
      <c r="E44" s="1"/>
      <c r="F44" s="1"/>
      <c r="G44" s="1"/>
      <c r="H44" s="1"/>
      <c r="I44" s="1"/>
      <c r="J44" s="1"/>
    </row>
    <row r="45" spans="2:10">
      <c r="C45" s="1"/>
      <c r="D45" s="1"/>
      <c r="E45" s="1"/>
      <c r="F45" s="1"/>
      <c r="G45" s="1"/>
      <c r="H45" s="1"/>
      <c r="I45" s="1"/>
      <c r="J45" s="1"/>
    </row>
    <row r="46" spans="2:10">
      <c r="C46" s="1"/>
      <c r="D46" s="1"/>
      <c r="E46" s="1"/>
      <c r="F46" s="1"/>
      <c r="G46" s="1"/>
      <c r="H46" s="1"/>
      <c r="I46" s="1"/>
      <c r="J46" s="1"/>
    </row>
    <row r="47" spans="2:10">
      <c r="C47" s="1"/>
      <c r="D47" s="1"/>
      <c r="E47" s="1"/>
      <c r="F47" s="1"/>
      <c r="G47" s="1"/>
      <c r="H47" s="1"/>
      <c r="I47" s="1"/>
      <c r="J47" s="1"/>
    </row>
    <row r="48" spans="2:10">
      <c r="C48" s="1"/>
      <c r="D48" s="1"/>
      <c r="E48" s="1"/>
      <c r="F48" s="1"/>
      <c r="G48" s="1"/>
      <c r="H48" s="1"/>
      <c r="I48" s="1"/>
      <c r="J48" s="1"/>
    </row>
    <row r="49" spans="3:10">
      <c r="C49" s="1"/>
      <c r="D49" s="1"/>
      <c r="E49" s="1"/>
      <c r="F49" s="1"/>
      <c r="G49" s="1"/>
      <c r="H49" s="1"/>
      <c r="I49" s="1"/>
      <c r="J49" s="1"/>
    </row>
    <row r="50" spans="3:10">
      <c r="C50" s="1"/>
      <c r="D50" s="1"/>
      <c r="E50" s="1"/>
      <c r="F50" s="1"/>
      <c r="G50" s="1"/>
      <c r="H50" s="1"/>
      <c r="I50" s="1"/>
      <c r="J50" s="1"/>
    </row>
    <row r="51" spans="3:10">
      <c r="C51" s="1"/>
      <c r="D51" s="1"/>
      <c r="E51" s="1"/>
      <c r="F51" s="1"/>
      <c r="G51" s="1"/>
      <c r="H51" s="1"/>
      <c r="I51" s="1"/>
      <c r="J51" s="1"/>
    </row>
  </sheetData>
  <mergeCells count="2">
    <mergeCell ref="B2:J2"/>
    <mergeCell ref="B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3"/>
  <sheetViews>
    <sheetView workbookViewId="0">
      <selection activeCell="B30" sqref="B30"/>
    </sheetView>
  </sheetViews>
  <sheetFormatPr defaultRowHeight="12.75"/>
  <cols>
    <col min="2" max="2" width="31.28515625" bestFit="1" customWidth="1"/>
    <col min="3" max="8" width="12.85546875" customWidth="1"/>
    <col min="9" max="9" width="13.42578125" bestFit="1" customWidth="1"/>
    <col min="10" max="10" width="12.42578125" customWidth="1"/>
  </cols>
  <sheetData>
    <row r="2" spans="2:10">
      <c r="B2" s="83" t="s">
        <v>40</v>
      </c>
      <c r="C2" s="83"/>
      <c r="D2" s="83"/>
      <c r="E2" s="83"/>
      <c r="F2" s="83"/>
      <c r="G2" s="83"/>
      <c r="H2" s="83"/>
      <c r="I2" s="83"/>
      <c r="J2" s="83"/>
    </row>
    <row r="3" spans="2:10" ht="13.5" thickBot="1"/>
    <row r="4" spans="2:10" ht="18.75" customHeight="1" thickBot="1">
      <c r="B4" s="84" t="s">
        <v>43</v>
      </c>
      <c r="C4" s="85"/>
      <c r="D4" s="85"/>
      <c r="E4" s="85"/>
      <c r="F4" s="85"/>
      <c r="G4" s="85"/>
      <c r="H4" s="85"/>
      <c r="I4" s="85"/>
      <c r="J4" s="86"/>
    </row>
    <row r="5" spans="2:10">
      <c r="B5" s="5" t="s">
        <v>44</v>
      </c>
      <c r="C5" s="39" t="s">
        <v>18</v>
      </c>
      <c r="D5" s="39" t="s">
        <v>19</v>
      </c>
      <c r="E5" s="39" t="s">
        <v>20</v>
      </c>
      <c r="F5" s="39" t="s">
        <v>21</v>
      </c>
      <c r="G5" s="39" t="s">
        <v>22</v>
      </c>
      <c r="H5" s="116" t="s">
        <v>23</v>
      </c>
      <c r="I5" s="120" t="s">
        <v>16</v>
      </c>
      <c r="J5" s="40" t="s">
        <v>25</v>
      </c>
    </row>
    <row r="6" spans="2:10">
      <c r="B6" s="6" t="s">
        <v>45</v>
      </c>
      <c r="C6" s="34">
        <v>300000</v>
      </c>
      <c r="D6" s="34">
        <v>350000</v>
      </c>
      <c r="E6" s="34">
        <v>290000</v>
      </c>
      <c r="F6" s="34">
        <v>250000</v>
      </c>
      <c r="G6" s="34">
        <v>400000</v>
      </c>
      <c r="H6" s="117">
        <v>335000</v>
      </c>
      <c r="I6" s="121">
        <f>SUM(C6:H6)</f>
        <v>1925000</v>
      </c>
      <c r="J6" s="41">
        <f>AVERAGEA(C6:H6)</f>
        <v>320833.33333333331</v>
      </c>
    </row>
    <row r="7" spans="2:10">
      <c r="B7" s="6" t="s">
        <v>46</v>
      </c>
      <c r="C7" s="34">
        <f>20*C6/120</f>
        <v>50000</v>
      </c>
      <c r="D7" s="34">
        <f t="shared" ref="D7:H7" si="0">20*D6/120</f>
        <v>58333.333333333336</v>
      </c>
      <c r="E7" s="34">
        <f t="shared" si="0"/>
        <v>48333.333333333336</v>
      </c>
      <c r="F7" s="34">
        <f t="shared" si="0"/>
        <v>41666.666666666664</v>
      </c>
      <c r="G7" s="34">
        <f t="shared" si="0"/>
        <v>66666.666666666672</v>
      </c>
      <c r="H7" s="117">
        <f t="shared" si="0"/>
        <v>55833.333333333336</v>
      </c>
      <c r="I7" s="121">
        <f t="shared" ref="I7:I19" si="1">SUM(C7:H7)</f>
        <v>320833.33333333331</v>
      </c>
      <c r="J7" s="41">
        <f t="shared" ref="J7:J19" si="2">AVERAGEA(C7:H7)</f>
        <v>53472.222222222219</v>
      </c>
    </row>
    <row r="8" spans="2:10">
      <c r="B8" s="6" t="s">
        <v>47</v>
      </c>
      <c r="C8" s="34">
        <f>100*C6/120</f>
        <v>250000</v>
      </c>
      <c r="D8" s="34">
        <f t="shared" ref="D8:H8" si="3">100*D6/120</f>
        <v>291666.66666666669</v>
      </c>
      <c r="E8" s="34">
        <f t="shared" si="3"/>
        <v>241666.66666666666</v>
      </c>
      <c r="F8" s="34">
        <f t="shared" si="3"/>
        <v>208333.33333333334</v>
      </c>
      <c r="G8" s="34">
        <f t="shared" si="3"/>
        <v>333333.33333333331</v>
      </c>
      <c r="H8" s="117">
        <f t="shared" si="3"/>
        <v>279166.66666666669</v>
      </c>
      <c r="I8" s="121">
        <f t="shared" si="1"/>
        <v>1604166.6666666667</v>
      </c>
      <c r="J8" s="41">
        <f t="shared" si="2"/>
        <v>267361.11111111112</v>
      </c>
    </row>
    <row r="9" spans="2:10">
      <c r="B9" s="6" t="s">
        <v>48</v>
      </c>
      <c r="C9" s="34">
        <f>C8/5</f>
        <v>50000</v>
      </c>
      <c r="D9" s="34">
        <f t="shared" ref="D9:H9" si="4">D8/5</f>
        <v>58333.333333333336</v>
      </c>
      <c r="E9" s="34">
        <f t="shared" si="4"/>
        <v>48333.333333333328</v>
      </c>
      <c r="F9" s="34">
        <f t="shared" si="4"/>
        <v>41666.666666666672</v>
      </c>
      <c r="G9" s="34">
        <f t="shared" si="4"/>
        <v>66666.666666666657</v>
      </c>
      <c r="H9" s="117">
        <f t="shared" si="4"/>
        <v>55833.333333333336</v>
      </c>
      <c r="I9" s="121">
        <f t="shared" si="1"/>
        <v>320833.33333333331</v>
      </c>
      <c r="J9" s="41">
        <f t="shared" si="2"/>
        <v>53472.222222222219</v>
      </c>
    </row>
    <row r="10" spans="2:10">
      <c r="B10" s="6" t="s">
        <v>49</v>
      </c>
      <c r="C10" s="34">
        <f>0.1*C9</f>
        <v>5000</v>
      </c>
      <c r="D10" s="34">
        <f t="shared" ref="D10:H10" si="5">0.1*D9</f>
        <v>5833.3333333333339</v>
      </c>
      <c r="E10" s="34">
        <f t="shared" si="5"/>
        <v>4833.333333333333</v>
      </c>
      <c r="F10" s="34">
        <f t="shared" si="5"/>
        <v>4166.666666666667</v>
      </c>
      <c r="G10" s="34">
        <f t="shared" si="5"/>
        <v>6666.6666666666661</v>
      </c>
      <c r="H10" s="117">
        <f t="shared" si="5"/>
        <v>5583.3333333333339</v>
      </c>
      <c r="I10" s="121">
        <f t="shared" si="1"/>
        <v>32083.333333333336</v>
      </c>
      <c r="J10" s="41">
        <f t="shared" si="2"/>
        <v>5347.2222222222226</v>
      </c>
    </row>
    <row r="11" spans="2:10">
      <c r="B11" s="6" t="s">
        <v>50</v>
      </c>
      <c r="C11" s="34">
        <v>80000</v>
      </c>
      <c r="D11" s="34">
        <v>80000</v>
      </c>
      <c r="E11" s="34">
        <v>80000</v>
      </c>
      <c r="F11" s="34">
        <v>80000</v>
      </c>
      <c r="G11" s="34">
        <v>80000</v>
      </c>
      <c r="H11" s="117">
        <v>80000</v>
      </c>
      <c r="I11" s="121">
        <f t="shared" si="1"/>
        <v>480000</v>
      </c>
      <c r="J11" s="41">
        <f t="shared" si="2"/>
        <v>80000</v>
      </c>
    </row>
    <row r="12" spans="2:10">
      <c r="B12" s="6" t="s">
        <v>51</v>
      </c>
      <c r="C12" s="34">
        <f>0.3*C11</f>
        <v>24000</v>
      </c>
      <c r="D12" s="34">
        <f t="shared" ref="D12:H12" si="6">0.3*D11</f>
        <v>24000</v>
      </c>
      <c r="E12" s="34">
        <f t="shared" si="6"/>
        <v>24000</v>
      </c>
      <c r="F12" s="34">
        <f t="shared" si="6"/>
        <v>24000</v>
      </c>
      <c r="G12" s="34">
        <f t="shared" si="6"/>
        <v>24000</v>
      </c>
      <c r="H12" s="117">
        <f t="shared" si="6"/>
        <v>24000</v>
      </c>
      <c r="I12" s="121">
        <f t="shared" si="1"/>
        <v>144000</v>
      </c>
      <c r="J12" s="41">
        <f t="shared" si="2"/>
        <v>24000</v>
      </c>
    </row>
    <row r="13" spans="2:10">
      <c r="B13" s="6" t="s">
        <v>52</v>
      </c>
      <c r="C13" s="34">
        <v>20000</v>
      </c>
      <c r="D13" s="34">
        <v>20000</v>
      </c>
      <c r="E13" s="34">
        <v>20000</v>
      </c>
      <c r="F13" s="34">
        <v>20000</v>
      </c>
      <c r="G13" s="34">
        <v>20000</v>
      </c>
      <c r="H13" s="117">
        <v>20000</v>
      </c>
      <c r="I13" s="121">
        <f t="shared" si="1"/>
        <v>120000</v>
      </c>
      <c r="J13" s="41">
        <f t="shared" si="2"/>
        <v>20000</v>
      </c>
    </row>
    <row r="14" spans="2:10">
      <c r="B14" s="6" t="s">
        <v>53</v>
      </c>
      <c r="C14" s="34">
        <v>40000</v>
      </c>
      <c r="D14" s="34">
        <v>40000</v>
      </c>
      <c r="E14" s="34">
        <v>40000</v>
      </c>
      <c r="F14" s="34">
        <v>40000</v>
      </c>
      <c r="G14" s="34">
        <v>40000</v>
      </c>
      <c r="H14" s="117">
        <v>40000</v>
      </c>
      <c r="I14" s="121">
        <f t="shared" si="1"/>
        <v>240000</v>
      </c>
      <c r="J14" s="41">
        <f t="shared" si="2"/>
        <v>40000</v>
      </c>
    </row>
    <row r="15" spans="2:10">
      <c r="B15" s="6" t="s">
        <v>54</v>
      </c>
      <c r="C15" s="34">
        <v>20000</v>
      </c>
      <c r="D15" s="34">
        <v>20000</v>
      </c>
      <c r="E15" s="34">
        <v>20000</v>
      </c>
      <c r="F15" s="34">
        <v>20000</v>
      </c>
      <c r="G15" s="34">
        <v>20000</v>
      </c>
      <c r="H15" s="117">
        <v>20000</v>
      </c>
      <c r="I15" s="121">
        <f t="shared" si="1"/>
        <v>120000</v>
      </c>
      <c r="J15" s="41">
        <f t="shared" si="2"/>
        <v>20000</v>
      </c>
    </row>
    <row r="16" spans="2:10">
      <c r="B16" s="6" t="s">
        <v>55</v>
      </c>
      <c r="C16" s="33">
        <f>C9+C10+1.3*C11+C14+C13+C15</f>
        <v>239000</v>
      </c>
      <c r="D16" s="33">
        <f t="shared" ref="D16:H16" si="7">D9+D10+1.3*D11+D14+D13+D15</f>
        <v>248166.66666666669</v>
      </c>
      <c r="E16" s="33">
        <f t="shared" si="7"/>
        <v>237166.66666666666</v>
      </c>
      <c r="F16" s="33">
        <f t="shared" si="7"/>
        <v>229833.33333333334</v>
      </c>
      <c r="G16" s="33">
        <f t="shared" si="7"/>
        <v>257333.33333333331</v>
      </c>
      <c r="H16" s="118">
        <f t="shared" si="7"/>
        <v>245416.66666666669</v>
      </c>
      <c r="I16" s="121">
        <f t="shared" si="1"/>
        <v>1456916.6666666667</v>
      </c>
      <c r="J16" s="41">
        <f t="shared" si="2"/>
        <v>242819.44444444447</v>
      </c>
    </row>
    <row r="17" spans="2:10">
      <c r="B17" s="6" t="s">
        <v>56</v>
      </c>
      <c r="C17" s="33">
        <f>C8-C16</f>
        <v>11000</v>
      </c>
      <c r="D17" s="33">
        <f t="shared" ref="D17:H17" si="8">D8-D16</f>
        <v>43500</v>
      </c>
      <c r="E17" s="33">
        <f t="shared" si="8"/>
        <v>4500</v>
      </c>
      <c r="F17" s="33">
        <f t="shared" si="8"/>
        <v>-21500</v>
      </c>
      <c r="G17" s="33">
        <f t="shared" si="8"/>
        <v>76000</v>
      </c>
      <c r="H17" s="118">
        <f t="shared" si="8"/>
        <v>33750</v>
      </c>
      <c r="I17" s="121">
        <f t="shared" si="1"/>
        <v>147250</v>
      </c>
      <c r="J17" s="41">
        <f t="shared" si="2"/>
        <v>24541.666666666668</v>
      </c>
    </row>
    <row r="18" spans="2:10">
      <c r="B18" s="6" t="s">
        <v>57</v>
      </c>
      <c r="C18" s="33">
        <f>0.2*C17</f>
        <v>2200</v>
      </c>
      <c r="D18" s="33">
        <f t="shared" ref="D18:H18" si="9">0.2*D17</f>
        <v>8700</v>
      </c>
      <c r="E18" s="33">
        <f t="shared" si="9"/>
        <v>900</v>
      </c>
      <c r="F18" s="33">
        <f t="shared" si="9"/>
        <v>-4300</v>
      </c>
      <c r="G18" s="33">
        <f t="shared" si="9"/>
        <v>15200</v>
      </c>
      <c r="H18" s="118">
        <f t="shared" si="9"/>
        <v>6750</v>
      </c>
      <c r="I18" s="121">
        <f t="shared" si="1"/>
        <v>29450</v>
      </c>
      <c r="J18" s="41">
        <f t="shared" si="2"/>
        <v>4908.333333333333</v>
      </c>
    </row>
    <row r="19" spans="2:10" ht="13.5" thickBot="1">
      <c r="B19" s="7" t="s">
        <v>58</v>
      </c>
      <c r="C19" s="42">
        <f>IF(C17&gt;0,C17-C18,C17)</f>
        <v>8800</v>
      </c>
      <c r="D19" s="42">
        <f t="shared" ref="D19:H19" si="10">IF(D17&gt;0,D17-D18,D17)</f>
        <v>34800</v>
      </c>
      <c r="E19" s="42">
        <f t="shared" si="10"/>
        <v>3600</v>
      </c>
      <c r="F19" s="42">
        <f t="shared" si="10"/>
        <v>-21500</v>
      </c>
      <c r="G19" s="42">
        <f t="shared" si="10"/>
        <v>60800</v>
      </c>
      <c r="H19" s="119">
        <f t="shared" si="10"/>
        <v>27000</v>
      </c>
      <c r="I19" s="122">
        <f t="shared" si="1"/>
        <v>113500</v>
      </c>
      <c r="J19" s="43">
        <f t="shared" si="2"/>
        <v>18916.666666666668</v>
      </c>
    </row>
    <row r="20" spans="2:10" ht="13.5" thickBot="1"/>
    <row r="21" spans="2:10" ht="13.5" thickBot="1">
      <c r="B21" s="35" t="s">
        <v>59</v>
      </c>
      <c r="C21" s="36">
        <f>C19/C16</f>
        <v>3.682008368200837E-2</v>
      </c>
      <c r="D21" s="36">
        <f t="shared" ref="D21:J21" si="11">D19/D16</f>
        <v>0.1402283411685695</v>
      </c>
      <c r="E21" s="36">
        <f t="shared" si="11"/>
        <v>1.5179198875614898E-2</v>
      </c>
      <c r="F21" s="36">
        <f t="shared" si="11"/>
        <v>-9.3546047860768672E-2</v>
      </c>
      <c r="G21" s="36">
        <f t="shared" si="11"/>
        <v>0.2362694300518135</v>
      </c>
      <c r="H21" s="36">
        <f t="shared" si="11"/>
        <v>0.11001697792869269</v>
      </c>
      <c r="I21" s="38">
        <f t="shared" si="11"/>
        <v>7.7904249842704332E-2</v>
      </c>
      <c r="J21" s="37">
        <f t="shared" si="11"/>
        <v>7.7904249842704346E-2</v>
      </c>
    </row>
    <row r="22" spans="2:10" ht="13.5" thickBot="1"/>
    <row r="23" spans="2:10" ht="13.5" thickBot="1">
      <c r="B23" s="35" t="s">
        <v>61</v>
      </c>
      <c r="C23" s="37">
        <f>('Задание 3 ч 2'!I21-'Задание 3'!I21)/'Задание 3 ч 2'!I21</f>
        <v>-3.2747460170099303</v>
      </c>
    </row>
  </sheetData>
  <mergeCells count="2">
    <mergeCell ref="B2:J2"/>
    <mergeCell ref="B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J21"/>
  <sheetViews>
    <sheetView workbookViewId="0">
      <selection activeCell="D25" sqref="D25"/>
    </sheetView>
  </sheetViews>
  <sheetFormatPr defaultRowHeight="12.75"/>
  <cols>
    <col min="2" max="2" width="31.28515625" bestFit="1" customWidth="1"/>
    <col min="3" max="8" width="12.85546875" customWidth="1"/>
    <col min="9" max="9" width="13" customWidth="1"/>
    <col min="10" max="10" width="12.85546875" customWidth="1"/>
  </cols>
  <sheetData>
    <row r="2" spans="2:10">
      <c r="B2" s="83" t="s">
        <v>60</v>
      </c>
      <c r="C2" s="83"/>
      <c r="D2" s="83"/>
      <c r="E2" s="83"/>
      <c r="F2" s="83"/>
      <c r="G2" s="83"/>
      <c r="H2" s="83"/>
      <c r="I2" s="83"/>
      <c r="J2" s="83"/>
    </row>
    <row r="3" spans="2:10" ht="13.5" thickBot="1"/>
    <row r="4" spans="2:10" ht="20.25" customHeight="1" thickBot="1">
      <c r="B4" s="84" t="s">
        <v>43</v>
      </c>
      <c r="C4" s="85"/>
      <c r="D4" s="85"/>
      <c r="E4" s="85"/>
      <c r="F4" s="85"/>
      <c r="G4" s="85"/>
      <c r="H4" s="85"/>
      <c r="I4" s="85"/>
      <c r="J4" s="86"/>
    </row>
    <row r="5" spans="2:10">
      <c r="B5" s="5" t="s">
        <v>44</v>
      </c>
      <c r="C5" s="39" t="s">
        <v>18</v>
      </c>
      <c r="D5" s="39" t="s">
        <v>19</v>
      </c>
      <c r="E5" s="39" t="s">
        <v>20</v>
      </c>
      <c r="F5" s="39" t="s">
        <v>21</v>
      </c>
      <c r="G5" s="39" t="s">
        <v>22</v>
      </c>
      <c r="H5" s="116" t="s">
        <v>23</v>
      </c>
      <c r="I5" s="120" t="s">
        <v>16</v>
      </c>
      <c r="J5" s="40" t="s">
        <v>25</v>
      </c>
    </row>
    <row r="6" spans="2:10">
      <c r="B6" s="6" t="s">
        <v>45</v>
      </c>
      <c r="C6" s="34">
        <v>300000</v>
      </c>
      <c r="D6" s="34">
        <v>325000</v>
      </c>
      <c r="E6" s="34">
        <v>270000</v>
      </c>
      <c r="F6" s="34">
        <v>250000</v>
      </c>
      <c r="G6" s="34">
        <v>310000</v>
      </c>
      <c r="H6" s="117">
        <v>305000</v>
      </c>
      <c r="I6" s="121">
        <f>SUM(C6:H6)</f>
        <v>1760000</v>
      </c>
      <c r="J6" s="41">
        <f>AVERAGEA(C6:H6)</f>
        <v>293333.33333333331</v>
      </c>
    </row>
    <row r="7" spans="2:10">
      <c r="B7" s="6" t="s">
        <v>46</v>
      </c>
      <c r="C7" s="34">
        <f>20*C6/120</f>
        <v>50000</v>
      </c>
      <c r="D7" s="34">
        <f t="shared" ref="D7:H7" si="0">20*D6/120</f>
        <v>54166.666666666664</v>
      </c>
      <c r="E7" s="34">
        <f t="shared" si="0"/>
        <v>45000</v>
      </c>
      <c r="F7" s="34">
        <f t="shared" si="0"/>
        <v>41666.666666666664</v>
      </c>
      <c r="G7" s="34">
        <f t="shared" si="0"/>
        <v>51666.666666666664</v>
      </c>
      <c r="H7" s="117">
        <f t="shared" si="0"/>
        <v>50833.333333333336</v>
      </c>
      <c r="I7" s="121">
        <f t="shared" ref="I7:I19" si="1">SUM(C7:H7)</f>
        <v>293333.33333333331</v>
      </c>
      <c r="J7" s="41">
        <f t="shared" ref="J7:J19" si="2">AVERAGEA(C7:H7)</f>
        <v>48888.888888888883</v>
      </c>
    </row>
    <row r="8" spans="2:10">
      <c r="B8" s="6" t="s">
        <v>47</v>
      </c>
      <c r="C8" s="34">
        <f>100*C6/120</f>
        <v>250000</v>
      </c>
      <c r="D8" s="34">
        <f t="shared" ref="D8:H8" si="3">100*D6/120</f>
        <v>270833.33333333331</v>
      </c>
      <c r="E8" s="34">
        <f t="shared" si="3"/>
        <v>225000</v>
      </c>
      <c r="F8" s="34">
        <f t="shared" si="3"/>
        <v>208333.33333333334</v>
      </c>
      <c r="G8" s="34">
        <f t="shared" si="3"/>
        <v>258333.33333333334</v>
      </c>
      <c r="H8" s="117">
        <f t="shared" si="3"/>
        <v>254166.66666666666</v>
      </c>
      <c r="I8" s="121">
        <f t="shared" si="1"/>
        <v>1466666.6666666667</v>
      </c>
      <c r="J8" s="41">
        <f t="shared" si="2"/>
        <v>244444.44444444447</v>
      </c>
    </row>
    <row r="9" spans="2:10">
      <c r="B9" s="6" t="s">
        <v>48</v>
      </c>
      <c r="C9" s="34">
        <f>C8/5</f>
        <v>50000</v>
      </c>
      <c r="D9" s="34">
        <f t="shared" ref="D9:H9" si="4">D8/5</f>
        <v>54166.666666666664</v>
      </c>
      <c r="E9" s="34">
        <f t="shared" si="4"/>
        <v>45000</v>
      </c>
      <c r="F9" s="34">
        <f t="shared" si="4"/>
        <v>41666.666666666672</v>
      </c>
      <c r="G9" s="34">
        <f t="shared" si="4"/>
        <v>51666.666666666672</v>
      </c>
      <c r="H9" s="117">
        <f t="shared" si="4"/>
        <v>50833.333333333328</v>
      </c>
      <c r="I9" s="121">
        <f t="shared" si="1"/>
        <v>293333.33333333331</v>
      </c>
      <c r="J9" s="41">
        <f t="shared" si="2"/>
        <v>48888.888888888883</v>
      </c>
    </row>
    <row r="10" spans="2:10">
      <c r="B10" s="6" t="s">
        <v>49</v>
      </c>
      <c r="C10" s="34">
        <f>0.1*C9</f>
        <v>5000</v>
      </c>
      <c r="D10" s="34">
        <f t="shared" ref="D10:H10" si="5">0.1*D9</f>
        <v>5416.666666666667</v>
      </c>
      <c r="E10" s="34">
        <f t="shared" si="5"/>
        <v>4500</v>
      </c>
      <c r="F10" s="34">
        <f t="shared" si="5"/>
        <v>4166.666666666667</v>
      </c>
      <c r="G10" s="34">
        <f t="shared" si="5"/>
        <v>5166.6666666666679</v>
      </c>
      <c r="H10" s="117">
        <f t="shared" si="5"/>
        <v>5083.333333333333</v>
      </c>
      <c r="I10" s="121">
        <f t="shared" si="1"/>
        <v>29333.333333333336</v>
      </c>
      <c r="J10" s="41">
        <f t="shared" si="2"/>
        <v>4888.8888888888896</v>
      </c>
    </row>
    <row r="11" spans="2:10">
      <c r="B11" s="6" t="s">
        <v>50</v>
      </c>
      <c r="C11" s="34">
        <v>80000</v>
      </c>
      <c r="D11" s="34">
        <v>80000</v>
      </c>
      <c r="E11" s="34">
        <v>80000</v>
      </c>
      <c r="F11" s="34">
        <v>80000</v>
      </c>
      <c r="G11" s="34">
        <v>80000</v>
      </c>
      <c r="H11" s="117">
        <v>80000</v>
      </c>
      <c r="I11" s="121">
        <f t="shared" si="1"/>
        <v>480000</v>
      </c>
      <c r="J11" s="41">
        <f t="shared" si="2"/>
        <v>80000</v>
      </c>
    </row>
    <row r="12" spans="2:10">
      <c r="B12" s="6" t="s">
        <v>51</v>
      </c>
      <c r="C12" s="34">
        <f>0.3*C11</f>
        <v>24000</v>
      </c>
      <c r="D12" s="34">
        <f t="shared" ref="D12:H12" si="6">0.3*D11</f>
        <v>24000</v>
      </c>
      <c r="E12" s="34">
        <f t="shared" si="6"/>
        <v>24000</v>
      </c>
      <c r="F12" s="34">
        <f t="shared" si="6"/>
        <v>24000</v>
      </c>
      <c r="G12" s="34">
        <f t="shared" si="6"/>
        <v>24000</v>
      </c>
      <c r="H12" s="117">
        <f t="shared" si="6"/>
        <v>24000</v>
      </c>
      <c r="I12" s="121">
        <f t="shared" si="1"/>
        <v>144000</v>
      </c>
      <c r="J12" s="41">
        <f t="shared" si="2"/>
        <v>24000</v>
      </c>
    </row>
    <row r="13" spans="2:10">
      <c r="B13" s="6" t="s">
        <v>52</v>
      </c>
      <c r="C13" s="34">
        <v>20000</v>
      </c>
      <c r="D13" s="34">
        <v>20000</v>
      </c>
      <c r="E13" s="34">
        <v>20000</v>
      </c>
      <c r="F13" s="34">
        <v>20000</v>
      </c>
      <c r="G13" s="34">
        <v>20000</v>
      </c>
      <c r="H13" s="117">
        <v>20000</v>
      </c>
      <c r="I13" s="121">
        <f t="shared" si="1"/>
        <v>120000</v>
      </c>
      <c r="J13" s="41">
        <f t="shared" si="2"/>
        <v>20000</v>
      </c>
    </row>
    <row r="14" spans="2:10">
      <c r="B14" s="6" t="s">
        <v>53</v>
      </c>
      <c r="C14" s="34">
        <v>40000</v>
      </c>
      <c r="D14" s="34">
        <v>40000</v>
      </c>
      <c r="E14" s="34">
        <v>40000</v>
      </c>
      <c r="F14" s="34">
        <v>40000</v>
      </c>
      <c r="G14" s="34">
        <v>40000</v>
      </c>
      <c r="H14" s="117">
        <v>40000</v>
      </c>
      <c r="I14" s="121">
        <f t="shared" si="1"/>
        <v>240000</v>
      </c>
      <c r="J14" s="41">
        <f t="shared" si="2"/>
        <v>40000</v>
      </c>
    </row>
    <row r="15" spans="2:10">
      <c r="B15" s="6" t="s">
        <v>54</v>
      </c>
      <c r="C15" s="34">
        <v>20000</v>
      </c>
      <c r="D15" s="34">
        <v>20000</v>
      </c>
      <c r="E15" s="34">
        <v>20000</v>
      </c>
      <c r="F15" s="34">
        <v>20000</v>
      </c>
      <c r="G15" s="34">
        <v>20000</v>
      </c>
      <c r="H15" s="117">
        <v>20000</v>
      </c>
      <c r="I15" s="121">
        <f t="shared" si="1"/>
        <v>120000</v>
      </c>
      <c r="J15" s="41">
        <f t="shared" si="2"/>
        <v>20000</v>
      </c>
    </row>
    <row r="16" spans="2:10">
      <c r="B16" s="6" t="s">
        <v>55</v>
      </c>
      <c r="C16" s="33">
        <f>C9+C10+1.3*C11+C14+C13+C15</f>
        <v>239000</v>
      </c>
      <c r="D16" s="33">
        <f t="shared" ref="D16:H16" si="7">D9+D10+1.3*D11+D14+D13+D15</f>
        <v>243583.33333333331</v>
      </c>
      <c r="E16" s="33">
        <f t="shared" si="7"/>
        <v>233500</v>
      </c>
      <c r="F16" s="33">
        <f t="shared" si="7"/>
        <v>229833.33333333334</v>
      </c>
      <c r="G16" s="33">
        <f t="shared" si="7"/>
        <v>240833.33333333334</v>
      </c>
      <c r="H16" s="118">
        <f t="shared" si="7"/>
        <v>239916.66666666666</v>
      </c>
      <c r="I16" s="121">
        <f t="shared" si="1"/>
        <v>1426666.6666666667</v>
      </c>
      <c r="J16" s="41">
        <f t="shared" si="2"/>
        <v>237777.77777777778</v>
      </c>
    </row>
    <row r="17" spans="2:10">
      <c r="B17" s="6" t="s">
        <v>56</v>
      </c>
      <c r="C17" s="33">
        <f>C8-C16</f>
        <v>11000</v>
      </c>
      <c r="D17" s="33">
        <f t="shared" ref="D17:H17" si="8">D8-D16</f>
        <v>27250</v>
      </c>
      <c r="E17" s="33">
        <f t="shared" si="8"/>
        <v>-8500</v>
      </c>
      <c r="F17" s="33">
        <f t="shared" si="8"/>
        <v>-21500</v>
      </c>
      <c r="G17" s="33">
        <f t="shared" si="8"/>
        <v>17500</v>
      </c>
      <c r="H17" s="118">
        <f t="shared" si="8"/>
        <v>14250</v>
      </c>
      <c r="I17" s="121">
        <f t="shared" si="1"/>
        <v>40000</v>
      </c>
      <c r="J17" s="41">
        <f t="shared" si="2"/>
        <v>6666.666666666667</v>
      </c>
    </row>
    <row r="18" spans="2:10">
      <c r="B18" s="6" t="s">
        <v>57</v>
      </c>
      <c r="C18" s="33">
        <f>0.2*C17</f>
        <v>2200</v>
      </c>
      <c r="D18" s="33">
        <f t="shared" ref="D18:H18" si="9">0.2*D17</f>
        <v>5450</v>
      </c>
      <c r="E18" s="33">
        <f t="shared" si="9"/>
        <v>-1700</v>
      </c>
      <c r="F18" s="33">
        <f t="shared" si="9"/>
        <v>-4300</v>
      </c>
      <c r="G18" s="33">
        <f t="shared" si="9"/>
        <v>3500</v>
      </c>
      <c r="H18" s="118">
        <f t="shared" si="9"/>
        <v>2850</v>
      </c>
      <c r="I18" s="121">
        <f t="shared" si="1"/>
        <v>8000</v>
      </c>
      <c r="J18" s="41">
        <f t="shared" si="2"/>
        <v>1333.3333333333333</v>
      </c>
    </row>
    <row r="19" spans="2:10" ht="13.5" thickBot="1">
      <c r="B19" s="7" t="s">
        <v>58</v>
      </c>
      <c r="C19" s="42">
        <f>IF(C17&gt;0,C17-C18,C17)</f>
        <v>8800</v>
      </c>
      <c r="D19" s="42">
        <f t="shared" ref="D19:H19" si="10">IF(D17&gt;0,D17-D18,D17)</f>
        <v>21800</v>
      </c>
      <c r="E19" s="42">
        <f t="shared" si="10"/>
        <v>-8500</v>
      </c>
      <c r="F19" s="42">
        <f t="shared" si="10"/>
        <v>-21500</v>
      </c>
      <c r="G19" s="42">
        <f t="shared" si="10"/>
        <v>14000</v>
      </c>
      <c r="H19" s="119">
        <f t="shared" si="10"/>
        <v>11400</v>
      </c>
      <c r="I19" s="122">
        <f t="shared" si="1"/>
        <v>26000</v>
      </c>
      <c r="J19" s="43">
        <f t="shared" si="2"/>
        <v>4333.333333333333</v>
      </c>
    </row>
    <row r="20" spans="2:10" ht="13.5" thickBot="1"/>
    <row r="21" spans="2:10" ht="13.5" thickBot="1">
      <c r="B21" s="35" t="s">
        <v>59</v>
      </c>
      <c r="C21" s="36">
        <f>C19/C16</f>
        <v>3.682008368200837E-2</v>
      </c>
      <c r="D21" s="36">
        <f t="shared" ref="D21:J21" si="11">D19/D16</f>
        <v>8.949709202873761E-2</v>
      </c>
      <c r="E21" s="36">
        <f t="shared" si="11"/>
        <v>-3.6402569593147749E-2</v>
      </c>
      <c r="F21" s="36">
        <f t="shared" si="11"/>
        <v>-9.3546047860768672E-2</v>
      </c>
      <c r="G21" s="36">
        <f t="shared" si="11"/>
        <v>5.8131487889273352E-2</v>
      </c>
      <c r="H21" s="36">
        <f t="shared" si="11"/>
        <v>4.7516498784300108E-2</v>
      </c>
      <c r="I21" s="38">
        <f t="shared" si="11"/>
        <v>1.8224299065420561E-2</v>
      </c>
      <c r="J21" s="37">
        <f t="shared" si="11"/>
        <v>1.8224299065420561E-2</v>
      </c>
    </row>
  </sheetData>
  <mergeCells count="2">
    <mergeCell ref="B2:J2"/>
    <mergeCell ref="B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J2"/>
  <sheetViews>
    <sheetView topLeftCell="A40" zoomScaleNormal="100" workbookViewId="0">
      <selection activeCell="O62" sqref="O62"/>
    </sheetView>
  </sheetViews>
  <sheetFormatPr defaultRowHeight="12.75"/>
  <sheetData>
    <row r="2" spans="2:10">
      <c r="B2" s="83" t="s">
        <v>62</v>
      </c>
      <c r="C2" s="83"/>
      <c r="D2" s="83"/>
      <c r="E2" s="83"/>
      <c r="F2" s="83"/>
      <c r="G2" s="83"/>
      <c r="H2" s="83"/>
      <c r="I2" s="83"/>
      <c r="J2" s="83"/>
    </row>
  </sheetData>
  <mergeCells count="1">
    <mergeCell ref="B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J2"/>
  <sheetViews>
    <sheetView workbookViewId="0">
      <selection activeCell="M16" sqref="M16"/>
    </sheetView>
  </sheetViews>
  <sheetFormatPr defaultRowHeight="12.75"/>
  <sheetData>
    <row r="2" spans="2:10">
      <c r="B2" s="83" t="s">
        <v>63</v>
      </c>
      <c r="C2" s="83"/>
      <c r="D2" s="83"/>
      <c r="E2" s="83"/>
      <c r="F2" s="83"/>
      <c r="G2" s="83"/>
      <c r="H2" s="83"/>
      <c r="I2" s="83"/>
      <c r="J2" s="83"/>
    </row>
  </sheetData>
  <mergeCells count="1">
    <mergeCell ref="B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9"/>
  <sheetViews>
    <sheetView showGridLines="0" workbookViewId="0">
      <selection activeCell="K28" sqref="K28"/>
    </sheetView>
  </sheetViews>
  <sheetFormatPr defaultRowHeight="12.75"/>
  <cols>
    <col min="1" max="1" width="2.28515625" customWidth="1"/>
    <col min="2" max="2" width="7.85546875" customWidth="1"/>
    <col min="3" max="3" width="14.28515625" bestFit="1" customWidth="1"/>
    <col min="4" max="4" width="20" bestFit="1" customWidth="1"/>
    <col min="5" max="5" width="14" bestFit="1" customWidth="1"/>
    <col min="6" max="6" width="10" bestFit="1" customWidth="1"/>
    <col min="7" max="7" width="12" bestFit="1" customWidth="1"/>
  </cols>
  <sheetData>
    <row r="1" spans="1:5">
      <c r="A1" s="49" t="s">
        <v>90</v>
      </c>
    </row>
    <row r="2" spans="1:5">
      <c r="A2" s="49" t="s">
        <v>91</v>
      </c>
    </row>
    <row r="3" spans="1:5">
      <c r="A3" s="49" t="s">
        <v>92</v>
      </c>
    </row>
    <row r="6" spans="1:5" ht="13.5" thickBot="1">
      <c r="A6" t="s">
        <v>93</v>
      </c>
    </row>
    <row r="7" spans="1:5" ht="13.5" thickBot="1">
      <c r="B7" s="55" t="s">
        <v>94</v>
      </c>
      <c r="C7" s="55" t="s">
        <v>95</v>
      </c>
      <c r="D7" s="55" t="s">
        <v>96</v>
      </c>
      <c r="E7" s="55" t="s">
        <v>97</v>
      </c>
    </row>
    <row r="8" spans="1:5" ht="13.5" thickBot="1">
      <c r="B8" s="54" t="s">
        <v>104</v>
      </c>
      <c r="C8" s="54" t="s">
        <v>89</v>
      </c>
      <c r="D8" s="57">
        <v>-40</v>
      </c>
      <c r="E8" s="57">
        <v>2.1053302734963473</v>
      </c>
    </row>
    <row r="11" spans="1:5" ht="13.5" thickBot="1">
      <c r="A11" t="s">
        <v>98</v>
      </c>
    </row>
    <row r="12" spans="1:5" ht="13.5" thickBot="1">
      <c r="B12" s="55" t="s">
        <v>94</v>
      </c>
      <c r="C12" s="55" t="s">
        <v>95</v>
      </c>
      <c r="D12" s="55" t="s">
        <v>96</v>
      </c>
      <c r="E12" s="55" t="s">
        <v>97</v>
      </c>
    </row>
    <row r="13" spans="1:5" ht="13.5" thickBot="1">
      <c r="B13" s="54" t="s">
        <v>105</v>
      </c>
      <c r="C13" s="54" t="s">
        <v>106</v>
      </c>
      <c r="D13" s="57">
        <v>0</v>
      </c>
      <c r="E13" s="57">
        <v>1.3517402291530598</v>
      </c>
    </row>
    <row r="16" spans="1:5" ht="13.5" thickBot="1">
      <c r="A16" t="s">
        <v>99</v>
      </c>
    </row>
    <row r="17" spans="2:7" ht="13.5" thickBot="1">
      <c r="B17" s="55" t="s">
        <v>94</v>
      </c>
      <c r="C17" s="55" t="s">
        <v>95</v>
      </c>
      <c r="D17" s="55" t="s">
        <v>100</v>
      </c>
      <c r="E17" s="55" t="s">
        <v>101</v>
      </c>
      <c r="F17" s="55" t="s">
        <v>102</v>
      </c>
      <c r="G17" s="55" t="s">
        <v>103</v>
      </c>
    </row>
    <row r="18" spans="2:7">
      <c r="B18" s="56" t="s">
        <v>105</v>
      </c>
      <c r="C18" s="56" t="s">
        <v>106</v>
      </c>
      <c r="D18" s="58">
        <v>1.3517402291530598</v>
      </c>
      <c r="E18" s="56" t="s">
        <v>107</v>
      </c>
      <c r="F18" s="56" t="s">
        <v>108</v>
      </c>
      <c r="G18" s="58">
        <v>1.3517402291530598</v>
      </c>
    </row>
    <row r="19" spans="2:7" ht="13.5" thickBot="1">
      <c r="B19" s="54" t="s">
        <v>105</v>
      </c>
      <c r="C19" s="54" t="s">
        <v>106</v>
      </c>
      <c r="D19" s="57">
        <v>1.3517402291530598</v>
      </c>
      <c r="E19" s="54" t="s">
        <v>109</v>
      </c>
      <c r="F19" s="54" t="s">
        <v>108</v>
      </c>
      <c r="G19" s="54">
        <v>48.648259770846941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2"/>
  <sheetViews>
    <sheetView showGridLines="0" workbookViewId="0">
      <selection activeCell="N39" sqref="N39"/>
    </sheetView>
  </sheetViews>
  <sheetFormatPr defaultRowHeight="12.75"/>
  <cols>
    <col min="1" max="1" width="2.28515625" customWidth="1"/>
    <col min="2" max="2" width="7.85546875" customWidth="1"/>
    <col min="3" max="3" width="14.28515625" bestFit="1" customWidth="1"/>
    <col min="4" max="4" width="12" bestFit="1" customWidth="1"/>
    <col min="5" max="5" width="9.42578125" bestFit="1" customWidth="1"/>
  </cols>
  <sheetData>
    <row r="1" spans="1:5">
      <c r="A1" s="49" t="s">
        <v>110</v>
      </c>
    </row>
    <row r="2" spans="1:5">
      <c r="A2" s="49" t="s">
        <v>91</v>
      </c>
    </row>
    <row r="3" spans="1:5">
      <c r="A3" s="49" t="s">
        <v>92</v>
      </c>
    </row>
    <row r="6" spans="1:5" ht="13.5" thickBot="1">
      <c r="A6" t="s">
        <v>98</v>
      </c>
    </row>
    <row r="7" spans="1:5">
      <c r="B7" s="59"/>
      <c r="C7" s="59"/>
      <c r="D7" s="59" t="s">
        <v>111</v>
      </c>
      <c r="E7" s="59" t="s">
        <v>113</v>
      </c>
    </row>
    <row r="8" spans="1:5" ht="13.5" thickBot="1">
      <c r="B8" s="60" t="s">
        <v>94</v>
      </c>
      <c r="C8" s="60" t="s">
        <v>95</v>
      </c>
      <c r="D8" s="60" t="s">
        <v>112</v>
      </c>
      <c r="E8" s="60" t="s">
        <v>114</v>
      </c>
    </row>
    <row r="9" spans="1:5" ht="13.5" thickBot="1">
      <c r="B9" s="54" t="s">
        <v>105</v>
      </c>
      <c r="C9" s="54" t="s">
        <v>106</v>
      </c>
      <c r="D9" s="57">
        <v>1.3517402291530598</v>
      </c>
      <c r="E9" s="57">
        <v>0</v>
      </c>
    </row>
    <row r="11" spans="1:5">
      <c r="A11" t="s">
        <v>99</v>
      </c>
    </row>
    <row r="12" spans="1:5">
      <c r="B12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O33" sqref="O33"/>
    </sheetView>
  </sheetViews>
  <sheetFormatPr defaultRowHeight="12.75"/>
  <cols>
    <col min="1" max="1" width="2.28515625" customWidth="1"/>
    <col min="2" max="2" width="7.85546875" customWidth="1"/>
    <col min="3" max="3" width="4.7109375" customWidth="1"/>
    <col min="4" max="4" width="12.5703125" bestFit="1" customWidth="1"/>
    <col min="5" max="5" width="9.42578125" bestFit="1" customWidth="1"/>
  </cols>
  <sheetData>
    <row r="1" spans="1:5">
      <c r="A1" s="49" t="s">
        <v>110</v>
      </c>
    </row>
    <row r="2" spans="1:5">
      <c r="A2" s="49" t="s">
        <v>91</v>
      </c>
    </row>
    <row r="3" spans="1:5">
      <c r="A3" s="49" t="s">
        <v>126</v>
      </c>
    </row>
    <row r="6" spans="1:5" ht="13.5" thickBot="1">
      <c r="A6" t="s">
        <v>98</v>
      </c>
    </row>
    <row r="7" spans="1:5">
      <c r="B7" s="59"/>
      <c r="C7" s="59"/>
      <c r="D7" s="59" t="s">
        <v>111</v>
      </c>
      <c r="E7" s="59" t="s">
        <v>113</v>
      </c>
    </row>
    <row r="8" spans="1:5" ht="13.5" thickBot="1">
      <c r="B8" s="60" t="s">
        <v>94</v>
      </c>
      <c r="C8" s="60" t="s">
        <v>95</v>
      </c>
      <c r="D8" s="60" t="s">
        <v>112</v>
      </c>
      <c r="E8" s="60" t="s">
        <v>114</v>
      </c>
    </row>
    <row r="9" spans="1:5">
      <c r="B9" s="56" t="s">
        <v>127</v>
      </c>
      <c r="C9" s="56" t="s">
        <v>123</v>
      </c>
      <c r="D9" s="58">
        <v>0.13793110344827586</v>
      </c>
      <c r="E9" s="58">
        <v>0</v>
      </c>
    </row>
    <row r="10" spans="1:5">
      <c r="B10" s="56" t="s">
        <v>128</v>
      </c>
      <c r="C10" s="56" t="s">
        <v>124</v>
      </c>
      <c r="D10" s="58">
        <v>-0.27586220689655172</v>
      </c>
      <c r="E10" s="58">
        <v>0</v>
      </c>
    </row>
    <row r="11" spans="1:5" ht="13.5" thickBot="1">
      <c r="B11" s="54" t="s">
        <v>129</v>
      </c>
      <c r="C11" s="54" t="s">
        <v>125</v>
      </c>
      <c r="D11" s="57">
        <v>0.20689665517241379</v>
      </c>
      <c r="E11" s="57">
        <v>0</v>
      </c>
    </row>
    <row r="13" spans="1:5">
      <c r="A13" t="s">
        <v>99</v>
      </c>
    </row>
    <row r="14" spans="1:5">
      <c r="B1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Задание 1</vt:lpstr>
      <vt:lpstr>Задание 2</vt:lpstr>
      <vt:lpstr>Задание 3</vt:lpstr>
      <vt:lpstr>Задание 3 ч 2</vt:lpstr>
      <vt:lpstr>Задание 4</vt:lpstr>
      <vt:lpstr>Задание 4 ч 2</vt:lpstr>
      <vt:lpstr>Отчет по результатам 1</vt:lpstr>
      <vt:lpstr>Отчет по устойчивости 1</vt:lpstr>
      <vt:lpstr>Отчет по устойчивости 2</vt:lpstr>
      <vt:lpstr>Задание 5</vt:lpstr>
      <vt:lpstr>Задание 6</vt:lpstr>
      <vt:lpstr>Задание 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IRONMANN (AKA SHAMAN)</cp:lastModifiedBy>
  <dcterms:created xsi:type="dcterms:W3CDTF">2012-09-22T07:04:34Z</dcterms:created>
  <dcterms:modified xsi:type="dcterms:W3CDTF">2022-07-21T09:32:36Z</dcterms:modified>
</cp:coreProperties>
</file>