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em3\lab_fiz\302\"/>
    </mc:Choice>
  </mc:AlternateContent>
  <bookViews>
    <workbookView xWindow="0" yWindow="0" windowWidth="23040" windowHeight="9192" activeTab="6"/>
  </bookViews>
  <sheets>
    <sheet name="Arkusz1" sheetId="1" r:id="rId1"/>
    <sheet name="rozpr" sheetId="2" r:id="rId2"/>
    <sheet name="Skupiajace" sheetId="3" r:id="rId3"/>
    <sheet name="A" sheetId="4" r:id="rId4"/>
    <sheet name="B" sheetId="5" r:id="rId5"/>
    <sheet name="C" sheetId="6" r:id="rId6"/>
    <sheet name="rozpraszajace" sheetId="8" r:id="rId7"/>
    <sheet name="A+1" sheetId="9" r:id="rId8"/>
    <sheet name="A+2" sheetId="10" r:id="rId9"/>
    <sheet name="A+3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2" l="1"/>
  <c r="O17" i="2"/>
  <c r="O16" i="2"/>
  <c r="P16" i="2" s="1"/>
  <c r="O11" i="2"/>
  <c r="O10" i="2"/>
  <c r="O9" i="2"/>
  <c r="P9" i="2" s="1"/>
  <c r="R9" i="2" s="1"/>
  <c r="R2" i="2"/>
  <c r="O4" i="2"/>
  <c r="O3" i="2"/>
  <c r="O2" i="2"/>
  <c r="R16" i="2" l="1"/>
  <c r="B12" i="11"/>
  <c r="B9" i="11"/>
  <c r="C7" i="11"/>
  <c r="B7" i="11"/>
  <c r="A7" i="11"/>
  <c r="C6" i="11"/>
  <c r="B6" i="11"/>
  <c r="A6" i="11"/>
  <c r="C5" i="11"/>
  <c r="B5" i="11"/>
  <c r="A5" i="11"/>
  <c r="C4" i="11"/>
  <c r="B4" i="11"/>
  <c r="A4" i="11"/>
  <c r="C3" i="11"/>
  <c r="B11" i="11" s="1"/>
  <c r="B3" i="11"/>
  <c r="A3" i="11"/>
  <c r="C2" i="11"/>
  <c r="A2" i="11"/>
  <c r="B12" i="10"/>
  <c r="B9" i="10"/>
  <c r="C7" i="10"/>
  <c r="B7" i="10"/>
  <c r="A7" i="10"/>
  <c r="C6" i="10"/>
  <c r="B6" i="10"/>
  <c r="A6" i="10"/>
  <c r="C5" i="10"/>
  <c r="B5" i="10"/>
  <c r="A5" i="10"/>
  <c r="C4" i="10"/>
  <c r="B4" i="10"/>
  <c r="A4" i="10"/>
  <c r="C3" i="10"/>
  <c r="B3" i="10"/>
  <c r="A3" i="10"/>
  <c r="C2" i="10"/>
  <c r="A2" i="10"/>
  <c r="B9" i="9"/>
  <c r="B12" i="9"/>
  <c r="B11" i="9"/>
  <c r="B10" i="9"/>
  <c r="C7" i="9"/>
  <c r="B7" i="9"/>
  <c r="A7" i="9"/>
  <c r="C6" i="9"/>
  <c r="B6" i="9"/>
  <c r="A6" i="9"/>
  <c r="C5" i="9"/>
  <c r="B5" i="9"/>
  <c r="A5" i="9"/>
  <c r="C4" i="9"/>
  <c r="B4" i="9"/>
  <c r="A4" i="9"/>
  <c r="C3" i="9"/>
  <c r="B3" i="9"/>
  <c r="A3" i="9"/>
  <c r="C2" i="9"/>
  <c r="A2" i="9"/>
  <c r="A2" i="4"/>
  <c r="B2" i="4"/>
  <c r="C2" i="4"/>
  <c r="D2" i="4"/>
  <c r="E2" i="4"/>
  <c r="F2" i="4"/>
  <c r="G2" i="4"/>
  <c r="I2" i="4"/>
  <c r="A3" i="4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G9" i="8"/>
  <c r="G10" i="8" s="1"/>
  <c r="G11" i="8" s="1"/>
  <c r="F9" i="8"/>
  <c r="F10" i="8" s="1"/>
  <c r="F11" i="8" s="1"/>
  <c r="E9" i="8"/>
  <c r="E10" i="8" s="1"/>
  <c r="E11" i="8" s="1"/>
  <c r="D9" i="8"/>
  <c r="D10" i="8" s="1"/>
  <c r="D11" i="8" s="1"/>
  <c r="C9" i="8"/>
  <c r="C10" i="8" s="1"/>
  <c r="C11" i="8" s="1"/>
  <c r="B9" i="8"/>
  <c r="B10" i="8" s="1"/>
  <c r="B11" i="8" s="1"/>
  <c r="G8" i="8"/>
  <c r="F8" i="8"/>
  <c r="E8" i="8"/>
  <c r="D8" i="8"/>
  <c r="C8" i="8"/>
  <c r="B8" i="8"/>
  <c r="AF7" i="8"/>
  <c r="AJ7" i="8" s="1"/>
  <c r="AE7" i="8"/>
  <c r="AD7" i="8"/>
  <c r="P7" i="8"/>
  <c r="N7" i="8"/>
  <c r="U7" i="8" s="1"/>
  <c r="M7" i="8"/>
  <c r="T7" i="8" s="1"/>
  <c r="L7" i="8"/>
  <c r="S7" i="8" s="1"/>
  <c r="K7" i="8"/>
  <c r="J7" i="8"/>
  <c r="Q7" i="8" s="1"/>
  <c r="I7" i="8"/>
  <c r="AF6" i="8"/>
  <c r="AJ6" i="8" s="1"/>
  <c r="AE6" i="8"/>
  <c r="AI6" i="8" s="1"/>
  <c r="AD6" i="8"/>
  <c r="AH6" i="8" s="1"/>
  <c r="P6" i="8"/>
  <c r="N6" i="8"/>
  <c r="M6" i="8"/>
  <c r="T6" i="8" s="1"/>
  <c r="L6" i="8"/>
  <c r="S6" i="8" s="1"/>
  <c r="K6" i="8"/>
  <c r="R6" i="8" s="1"/>
  <c r="J6" i="8"/>
  <c r="Q6" i="8" s="1"/>
  <c r="I6" i="8"/>
  <c r="AF5" i="8"/>
  <c r="AJ5" i="8" s="1"/>
  <c r="AE5" i="8"/>
  <c r="AI5" i="8" s="1"/>
  <c r="AD5" i="8"/>
  <c r="AH5" i="8" s="1"/>
  <c r="S5" i="8"/>
  <c r="R5" i="8"/>
  <c r="N5" i="8"/>
  <c r="U5" i="8" s="1"/>
  <c r="M5" i="8"/>
  <c r="T5" i="8" s="1"/>
  <c r="L5" i="8"/>
  <c r="K5" i="8"/>
  <c r="J5" i="8"/>
  <c r="Q5" i="8" s="1"/>
  <c r="I5" i="8"/>
  <c r="P5" i="8" s="1"/>
  <c r="AH4" i="8"/>
  <c r="AF4" i="8"/>
  <c r="AE4" i="8"/>
  <c r="AD4" i="8"/>
  <c r="Q4" i="8"/>
  <c r="P4" i="8"/>
  <c r="N4" i="8"/>
  <c r="U4" i="8" s="1"/>
  <c r="M4" i="8"/>
  <c r="T4" i="8" s="1"/>
  <c r="L4" i="8"/>
  <c r="K4" i="8"/>
  <c r="R4" i="8" s="1"/>
  <c r="J4" i="8"/>
  <c r="I4" i="8"/>
  <c r="AF3" i="8"/>
  <c r="AE3" i="8"/>
  <c r="AD3" i="8"/>
  <c r="T3" i="8"/>
  <c r="P3" i="8"/>
  <c r="N3" i="8"/>
  <c r="M3" i="8"/>
  <c r="L3" i="8"/>
  <c r="S3" i="8" s="1"/>
  <c r="K3" i="8"/>
  <c r="J3" i="8"/>
  <c r="Q3" i="8" s="1"/>
  <c r="I3" i="8"/>
  <c r="D12" i="6"/>
  <c r="C12" i="6"/>
  <c r="B12" i="6"/>
  <c r="D12" i="4"/>
  <c r="D12" i="5"/>
  <c r="C12" i="5"/>
  <c r="B12" i="5"/>
  <c r="C12" i="4"/>
  <c r="B12" i="4"/>
  <c r="E3" i="6"/>
  <c r="F3" i="6"/>
  <c r="E4" i="6"/>
  <c r="F4" i="6"/>
  <c r="E5" i="6"/>
  <c r="F5" i="6"/>
  <c r="C11" i="6" s="1"/>
  <c r="E6" i="6"/>
  <c r="F6" i="6"/>
  <c r="E7" i="6"/>
  <c r="F7" i="6"/>
  <c r="F2" i="6"/>
  <c r="E2" i="6"/>
  <c r="D3" i="6"/>
  <c r="D4" i="6"/>
  <c r="D5" i="6"/>
  <c r="D6" i="6"/>
  <c r="D7" i="6"/>
  <c r="D2" i="6"/>
  <c r="C7" i="6"/>
  <c r="C3" i="6"/>
  <c r="C4" i="6"/>
  <c r="C5" i="6"/>
  <c r="C6" i="6"/>
  <c r="C2" i="6"/>
  <c r="B3" i="6"/>
  <c r="B4" i="6"/>
  <c r="B5" i="6"/>
  <c r="B6" i="6"/>
  <c r="B7" i="6"/>
  <c r="B2" i="6"/>
  <c r="A3" i="6"/>
  <c r="A4" i="6"/>
  <c r="A5" i="6"/>
  <c r="A6" i="6"/>
  <c r="A7" i="6"/>
  <c r="A2" i="6"/>
  <c r="E3" i="5"/>
  <c r="F3" i="5"/>
  <c r="E4" i="5"/>
  <c r="F4" i="5"/>
  <c r="E5" i="5"/>
  <c r="F5" i="5"/>
  <c r="E6" i="5"/>
  <c r="F6" i="5"/>
  <c r="C10" i="5" s="1"/>
  <c r="E7" i="5"/>
  <c r="F7" i="5"/>
  <c r="F2" i="5"/>
  <c r="E2" i="5"/>
  <c r="D3" i="5"/>
  <c r="D4" i="5"/>
  <c r="D5" i="5"/>
  <c r="D6" i="5"/>
  <c r="D7" i="5"/>
  <c r="D2" i="5"/>
  <c r="C3" i="5"/>
  <c r="C4" i="5"/>
  <c r="C5" i="5"/>
  <c r="C6" i="5"/>
  <c r="C7" i="5"/>
  <c r="C2" i="5"/>
  <c r="B3" i="5"/>
  <c r="B4" i="5"/>
  <c r="B5" i="5"/>
  <c r="B6" i="5"/>
  <c r="B7" i="5"/>
  <c r="B2" i="5"/>
  <c r="A3" i="5"/>
  <c r="A4" i="5"/>
  <c r="A5" i="5"/>
  <c r="A6" i="5"/>
  <c r="A7" i="5"/>
  <c r="A2" i="5"/>
  <c r="D11" i="6"/>
  <c r="B11" i="6"/>
  <c r="D10" i="6"/>
  <c r="B10" i="6"/>
  <c r="D9" i="6"/>
  <c r="C9" i="6"/>
  <c r="B9" i="6"/>
  <c r="D11" i="5"/>
  <c r="B11" i="5"/>
  <c r="D10" i="5"/>
  <c r="B10" i="5"/>
  <c r="D9" i="5"/>
  <c r="C9" i="5"/>
  <c r="B9" i="5"/>
  <c r="I7" i="6"/>
  <c r="H7" i="6"/>
  <c r="G7" i="6"/>
  <c r="I6" i="6"/>
  <c r="H6" i="6"/>
  <c r="G6" i="6"/>
  <c r="I5" i="6"/>
  <c r="H5" i="6"/>
  <c r="G5" i="6"/>
  <c r="I4" i="6"/>
  <c r="H4" i="6"/>
  <c r="G4" i="6"/>
  <c r="I3" i="6"/>
  <c r="H3" i="6"/>
  <c r="G3" i="6"/>
  <c r="I2" i="6"/>
  <c r="G2" i="6"/>
  <c r="I7" i="5"/>
  <c r="H7" i="5"/>
  <c r="G7" i="5"/>
  <c r="I6" i="5"/>
  <c r="H6" i="5"/>
  <c r="G6" i="5"/>
  <c r="I5" i="5"/>
  <c r="H5" i="5"/>
  <c r="G5" i="5"/>
  <c r="I4" i="5"/>
  <c r="H4" i="5"/>
  <c r="G4" i="5"/>
  <c r="I3" i="5"/>
  <c r="H3" i="5"/>
  <c r="G3" i="5"/>
  <c r="I2" i="5"/>
  <c r="G2" i="5"/>
  <c r="D11" i="4"/>
  <c r="C11" i="4"/>
  <c r="B11" i="4"/>
  <c r="D10" i="4"/>
  <c r="C10" i="4"/>
  <c r="B10" i="4"/>
  <c r="D9" i="4"/>
  <c r="C9" i="4"/>
  <c r="B9" i="4"/>
  <c r="AM8" i="3"/>
  <c r="AN8" i="3"/>
  <c r="AL8" i="3"/>
  <c r="AM3" i="3"/>
  <c r="AN3" i="3"/>
  <c r="AM4" i="3"/>
  <c r="AN4" i="3"/>
  <c r="AM5" i="3"/>
  <c r="AN5" i="3"/>
  <c r="AM6" i="3"/>
  <c r="AN6" i="3"/>
  <c r="AM7" i="3"/>
  <c r="AN7" i="3"/>
  <c r="AL4" i="3"/>
  <c r="AL5" i="3"/>
  <c r="AL6" i="3"/>
  <c r="AL7" i="3"/>
  <c r="AL3" i="3"/>
  <c r="AD8" i="3"/>
  <c r="AE8" i="3"/>
  <c r="AF8" i="3"/>
  <c r="AD9" i="3"/>
  <c r="AD10" i="3" s="1"/>
  <c r="AD11" i="3" s="1"/>
  <c r="AE9" i="3"/>
  <c r="AF9" i="3"/>
  <c r="AE10" i="3"/>
  <c r="AE11" i="3" s="1"/>
  <c r="AF10" i="3"/>
  <c r="AF11" i="3" s="1"/>
  <c r="Y4" i="3"/>
  <c r="Y5" i="3"/>
  <c r="Y6" i="3"/>
  <c r="Y7" i="3"/>
  <c r="Z4" i="3"/>
  <c r="Z5" i="3"/>
  <c r="Z6" i="3"/>
  <c r="Z7" i="3"/>
  <c r="AA4" i="3"/>
  <c r="AA5" i="3"/>
  <c r="AA6" i="3"/>
  <c r="AA7" i="3"/>
  <c r="AB4" i="3"/>
  <c r="AB5" i="3"/>
  <c r="AB6" i="3"/>
  <c r="AB7" i="3"/>
  <c r="AB3" i="3"/>
  <c r="AA3" i="3"/>
  <c r="Z3" i="3"/>
  <c r="Y3" i="3"/>
  <c r="X4" i="3"/>
  <c r="X5" i="3"/>
  <c r="X6" i="3"/>
  <c r="X7" i="3"/>
  <c r="X3" i="3"/>
  <c r="W6" i="3"/>
  <c r="W4" i="3"/>
  <c r="W5" i="3"/>
  <c r="W7" i="3"/>
  <c r="W3" i="3"/>
  <c r="I11" i="3"/>
  <c r="J11" i="3"/>
  <c r="K11" i="3"/>
  <c r="L11" i="3"/>
  <c r="M11" i="3"/>
  <c r="N11" i="3"/>
  <c r="I10" i="3"/>
  <c r="J10" i="3"/>
  <c r="K10" i="3"/>
  <c r="L10" i="3"/>
  <c r="M10" i="3"/>
  <c r="N10" i="3"/>
  <c r="I9" i="3"/>
  <c r="J9" i="3"/>
  <c r="K9" i="3"/>
  <c r="L9" i="3"/>
  <c r="M9" i="3"/>
  <c r="N9" i="3"/>
  <c r="I8" i="3"/>
  <c r="J8" i="3"/>
  <c r="K8" i="3"/>
  <c r="L8" i="3"/>
  <c r="M8" i="3"/>
  <c r="N8" i="3"/>
  <c r="AI4" i="3"/>
  <c r="AI5" i="3"/>
  <c r="AI6" i="3"/>
  <c r="AI7" i="3"/>
  <c r="AJ4" i="3"/>
  <c r="AJ5" i="3"/>
  <c r="AJ6" i="3"/>
  <c r="AJ7" i="3"/>
  <c r="AI3" i="3"/>
  <c r="AJ3" i="3"/>
  <c r="AH4" i="3"/>
  <c r="AH5" i="3"/>
  <c r="AH6" i="3"/>
  <c r="AH7" i="3"/>
  <c r="AH3" i="3"/>
  <c r="AF4" i="3"/>
  <c r="AF5" i="3"/>
  <c r="AF6" i="3"/>
  <c r="AF7" i="3"/>
  <c r="AF3" i="3"/>
  <c r="AE4" i="3"/>
  <c r="AE5" i="3"/>
  <c r="AE6" i="3"/>
  <c r="AE7" i="3"/>
  <c r="AE3" i="3"/>
  <c r="AD4" i="3"/>
  <c r="AD5" i="3"/>
  <c r="AD6" i="3"/>
  <c r="AD7" i="3"/>
  <c r="AD3" i="3"/>
  <c r="U4" i="3"/>
  <c r="R7" i="3"/>
  <c r="P3" i="3"/>
  <c r="I4" i="3"/>
  <c r="P4" i="3" s="1"/>
  <c r="J4" i="3"/>
  <c r="Q4" i="3" s="1"/>
  <c r="K4" i="3"/>
  <c r="R4" i="3" s="1"/>
  <c r="L4" i="3"/>
  <c r="S4" i="3" s="1"/>
  <c r="M4" i="3"/>
  <c r="T4" i="3" s="1"/>
  <c r="N4" i="3"/>
  <c r="I5" i="3"/>
  <c r="P5" i="3" s="1"/>
  <c r="J5" i="3"/>
  <c r="Q5" i="3" s="1"/>
  <c r="K5" i="3"/>
  <c r="R5" i="3" s="1"/>
  <c r="L5" i="3"/>
  <c r="S5" i="3" s="1"/>
  <c r="M5" i="3"/>
  <c r="T5" i="3" s="1"/>
  <c r="N5" i="3"/>
  <c r="U5" i="3" s="1"/>
  <c r="I6" i="3"/>
  <c r="P6" i="3" s="1"/>
  <c r="J6" i="3"/>
  <c r="Q6" i="3" s="1"/>
  <c r="K6" i="3"/>
  <c r="R6" i="3" s="1"/>
  <c r="L6" i="3"/>
  <c r="S6" i="3" s="1"/>
  <c r="M6" i="3"/>
  <c r="T6" i="3" s="1"/>
  <c r="N6" i="3"/>
  <c r="U6" i="3" s="1"/>
  <c r="I7" i="3"/>
  <c r="P7" i="3" s="1"/>
  <c r="J7" i="3"/>
  <c r="Q7" i="3" s="1"/>
  <c r="K7" i="3"/>
  <c r="L7" i="3"/>
  <c r="S7" i="3" s="1"/>
  <c r="M7" i="3"/>
  <c r="T7" i="3" s="1"/>
  <c r="N7" i="3"/>
  <c r="U7" i="3" s="1"/>
  <c r="J3" i="3"/>
  <c r="Q3" i="3" s="1"/>
  <c r="K3" i="3"/>
  <c r="R3" i="3" s="1"/>
  <c r="L3" i="3"/>
  <c r="S3" i="3" s="1"/>
  <c r="M3" i="3"/>
  <c r="T3" i="3" s="1"/>
  <c r="N3" i="3"/>
  <c r="U3" i="3" s="1"/>
  <c r="I3" i="3"/>
  <c r="G10" i="3"/>
  <c r="G11" i="3" s="1"/>
  <c r="G9" i="3"/>
  <c r="F9" i="3"/>
  <c r="F10" i="3" s="1"/>
  <c r="F11" i="3" s="1"/>
  <c r="E9" i="3"/>
  <c r="E10" i="3" s="1"/>
  <c r="E11" i="3" s="1"/>
  <c r="D9" i="3"/>
  <c r="D10" i="3" s="1"/>
  <c r="D11" i="3" s="1"/>
  <c r="C9" i="3"/>
  <c r="C10" i="3" s="1"/>
  <c r="C11" i="3" s="1"/>
  <c r="B9" i="3"/>
  <c r="B10" i="3" s="1"/>
  <c r="B11" i="3" s="1"/>
  <c r="G8" i="3"/>
  <c r="F8" i="3"/>
  <c r="E8" i="3"/>
  <c r="D8" i="3"/>
  <c r="C8" i="3"/>
  <c r="B8" i="3"/>
  <c r="P2" i="2"/>
  <c r="E22" i="2"/>
  <c r="C20" i="2"/>
  <c r="I18" i="2"/>
  <c r="AB13" i="1"/>
  <c r="AB12" i="1"/>
  <c r="AB11" i="1"/>
  <c r="AF11" i="1"/>
  <c r="AG11" i="1"/>
  <c r="AH11" i="1"/>
  <c r="AI11" i="1"/>
  <c r="AJ11" i="1"/>
  <c r="AE11" i="1"/>
  <c r="N11" i="1"/>
  <c r="O11" i="1"/>
  <c r="M11" i="1"/>
  <c r="N10" i="1"/>
  <c r="O10" i="1"/>
  <c r="M10" i="1"/>
  <c r="B10" i="11" l="1"/>
  <c r="B11" i="10"/>
  <c r="B10" i="10"/>
  <c r="J8" i="8"/>
  <c r="K9" i="8"/>
  <c r="K10" i="8" s="1"/>
  <c r="K11" i="8" s="1"/>
  <c r="AD9" i="8"/>
  <c r="AD10" i="8" s="1"/>
  <c r="AD11" i="8" s="1"/>
  <c r="AM6" i="8" s="1"/>
  <c r="AE8" i="8"/>
  <c r="Y7" i="8"/>
  <c r="M9" i="8"/>
  <c r="M10" i="8" s="1"/>
  <c r="M11" i="8" s="1"/>
  <c r="AF8" i="8"/>
  <c r="N9" i="8"/>
  <c r="N10" i="8" s="1"/>
  <c r="N11" i="8" s="1"/>
  <c r="AI3" i="8"/>
  <c r="N8" i="8"/>
  <c r="AJ3" i="8"/>
  <c r="I8" i="8"/>
  <c r="AN6" i="8"/>
  <c r="AA7" i="8"/>
  <c r="AN3" i="8"/>
  <c r="AL5" i="8"/>
  <c r="AL6" i="8"/>
  <c r="AM3" i="8"/>
  <c r="AM5" i="8"/>
  <c r="AB4" i="8"/>
  <c r="AB7" i="8"/>
  <c r="AN4" i="8"/>
  <c r="Y5" i="8"/>
  <c r="AA5" i="8"/>
  <c r="AA6" i="8"/>
  <c r="AA3" i="8"/>
  <c r="AB3" i="8"/>
  <c r="AB5" i="8"/>
  <c r="AL7" i="8"/>
  <c r="Y4" i="8"/>
  <c r="Y6" i="8"/>
  <c r="Y3" i="8"/>
  <c r="AE9" i="8"/>
  <c r="AE10" i="8" s="1"/>
  <c r="AE11" i="8" s="1"/>
  <c r="K8" i="8"/>
  <c r="I9" i="8"/>
  <c r="I10" i="8" s="1"/>
  <c r="I11" i="8" s="1"/>
  <c r="W3" i="8" s="1"/>
  <c r="R3" i="8"/>
  <c r="AL3" i="8"/>
  <c r="L8" i="8"/>
  <c r="J9" i="8"/>
  <c r="J10" i="8" s="1"/>
  <c r="J11" i="8" s="1"/>
  <c r="X3" i="8" s="1"/>
  <c r="AF9" i="8"/>
  <c r="AF10" i="8" s="1"/>
  <c r="AF11" i="8" s="1"/>
  <c r="AI4" i="8"/>
  <c r="AH7" i="8"/>
  <c r="M8" i="8"/>
  <c r="AJ4" i="8"/>
  <c r="U3" i="8"/>
  <c r="AA4" i="8"/>
  <c r="X5" i="8"/>
  <c r="AD8" i="8"/>
  <c r="W5" i="8"/>
  <c r="AB6" i="8"/>
  <c r="AI7" i="8"/>
  <c r="L9" i="8"/>
  <c r="L10" i="8" s="1"/>
  <c r="L11" i="8" s="1"/>
  <c r="Z4" i="8" s="1"/>
  <c r="S4" i="8"/>
  <c r="U6" i="8"/>
  <c r="R7" i="8"/>
  <c r="AH3" i="8"/>
  <c r="C10" i="6"/>
  <c r="C11" i="5"/>
  <c r="N29" i="1"/>
  <c r="O29" i="1"/>
  <c r="N28" i="1"/>
  <c r="O28" i="1"/>
  <c r="M29" i="1"/>
  <c r="M28" i="1"/>
  <c r="N24" i="1"/>
  <c r="N25" i="1"/>
  <c r="N26" i="1"/>
  <c r="N27" i="1"/>
  <c r="O24" i="1"/>
  <c r="O25" i="1"/>
  <c r="O26" i="1"/>
  <c r="O27" i="1"/>
  <c r="N23" i="1"/>
  <c r="O23" i="1"/>
  <c r="M24" i="1"/>
  <c r="M25" i="1"/>
  <c r="M26" i="1"/>
  <c r="M27" i="1"/>
  <c r="M23" i="1"/>
  <c r="K24" i="1"/>
  <c r="K25" i="1"/>
  <c r="K26" i="1"/>
  <c r="K27" i="1"/>
  <c r="K23" i="1"/>
  <c r="J24" i="1"/>
  <c r="J25" i="1"/>
  <c r="J26" i="1"/>
  <c r="J27" i="1"/>
  <c r="J23" i="1"/>
  <c r="I24" i="1"/>
  <c r="I25" i="1"/>
  <c r="I26" i="1"/>
  <c r="I27" i="1"/>
  <c r="I23" i="1"/>
  <c r="AF9" i="1"/>
  <c r="AG9" i="1"/>
  <c r="AH9" i="1"/>
  <c r="AI9" i="1"/>
  <c r="AJ9" i="1"/>
  <c r="AE9" i="1"/>
  <c r="AJ8" i="1"/>
  <c r="AF8" i="1"/>
  <c r="AG8" i="1"/>
  <c r="AH8" i="1"/>
  <c r="AI8" i="1"/>
  <c r="AE8" i="1"/>
  <c r="X4" i="1"/>
  <c r="AE4" i="1" s="1"/>
  <c r="X5" i="1"/>
  <c r="AE5" i="1" s="1"/>
  <c r="X6" i="1"/>
  <c r="AE6" i="1" s="1"/>
  <c r="X7" i="1"/>
  <c r="AE7" i="1" s="1"/>
  <c r="X3" i="1"/>
  <c r="AF4" i="1"/>
  <c r="AG4" i="1"/>
  <c r="AH4" i="1"/>
  <c r="AI4" i="1"/>
  <c r="AJ4" i="1"/>
  <c r="AF5" i="1"/>
  <c r="AG5" i="1"/>
  <c r="AH5" i="1"/>
  <c r="AI5" i="1"/>
  <c r="AJ5" i="1"/>
  <c r="AF6" i="1"/>
  <c r="AG6" i="1"/>
  <c r="AH6" i="1"/>
  <c r="AI6" i="1"/>
  <c r="AJ6" i="1"/>
  <c r="AF7" i="1"/>
  <c r="AG7" i="1"/>
  <c r="AH7" i="1"/>
  <c r="AI7" i="1"/>
  <c r="AJ7" i="1"/>
  <c r="AF3" i="1"/>
  <c r="AG3" i="1"/>
  <c r="AH3" i="1"/>
  <c r="AI3" i="1"/>
  <c r="AJ3" i="1"/>
  <c r="AE3" i="1"/>
  <c r="Y4" i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3" i="1"/>
  <c r="Z3" i="1"/>
  <c r="AA3" i="1"/>
  <c r="AB3" i="1"/>
  <c r="AC3" i="1"/>
  <c r="V4" i="1"/>
  <c r="V5" i="1"/>
  <c r="V6" i="1"/>
  <c r="V7" i="1"/>
  <c r="V3" i="1"/>
  <c r="R7" i="1"/>
  <c r="S7" i="1"/>
  <c r="T7" i="1"/>
  <c r="U7" i="1"/>
  <c r="U6" i="1"/>
  <c r="R6" i="1"/>
  <c r="S6" i="1"/>
  <c r="T6" i="1"/>
  <c r="R5" i="1"/>
  <c r="S5" i="1"/>
  <c r="T5" i="1"/>
  <c r="U5" i="1"/>
  <c r="R4" i="1"/>
  <c r="S4" i="1"/>
  <c r="T4" i="1"/>
  <c r="U4" i="1"/>
  <c r="S3" i="1"/>
  <c r="T3" i="1"/>
  <c r="U3" i="1"/>
  <c r="R3" i="1"/>
  <c r="Q4" i="1"/>
  <c r="Q5" i="1"/>
  <c r="Q6" i="1"/>
  <c r="Q7" i="1"/>
  <c r="Q3" i="1"/>
  <c r="N9" i="1"/>
  <c r="O9" i="1"/>
  <c r="O8" i="1"/>
  <c r="N8" i="1"/>
  <c r="M9" i="1"/>
  <c r="M8" i="1"/>
  <c r="O4" i="1"/>
  <c r="O5" i="1"/>
  <c r="O6" i="1"/>
  <c r="O7" i="1"/>
  <c r="O3" i="1"/>
  <c r="N4" i="1"/>
  <c r="N5" i="1"/>
  <c r="N6" i="1"/>
  <c r="N7" i="1"/>
  <c r="N3" i="1"/>
  <c r="M4" i="1"/>
  <c r="M5" i="1"/>
  <c r="M6" i="1"/>
  <c r="M7" i="1"/>
  <c r="M3" i="1"/>
  <c r="K4" i="1"/>
  <c r="K5" i="1"/>
  <c r="K6" i="1"/>
  <c r="K7" i="1"/>
  <c r="K3" i="1"/>
  <c r="J4" i="1"/>
  <c r="J5" i="1"/>
  <c r="J6" i="1"/>
  <c r="J7" i="1"/>
  <c r="J3" i="1"/>
  <c r="I4" i="1"/>
  <c r="I5" i="1"/>
  <c r="I6" i="1"/>
  <c r="I7" i="1"/>
  <c r="I3" i="1"/>
  <c r="AN5" i="8" l="1"/>
  <c r="AN7" i="8"/>
  <c r="AM4" i="8"/>
  <c r="AM8" i="8" s="1"/>
  <c r="AM7" i="8"/>
  <c r="AL4" i="8"/>
  <c r="AL8" i="8" s="1"/>
  <c r="X4" i="8"/>
  <c r="X7" i="8"/>
  <c r="W6" i="8"/>
  <c r="X6" i="8"/>
  <c r="Z5" i="8"/>
  <c r="Z7" i="8"/>
  <c r="Z6" i="8"/>
  <c r="W4" i="8"/>
  <c r="Z3" i="8"/>
  <c r="AN8" i="8"/>
  <c r="W7" i="8"/>
  <c r="E21" i="2"/>
  <c r="E54" i="2" l="1"/>
  <c r="C54" i="2"/>
  <c r="H54" i="2" s="1"/>
  <c r="I54" i="2" s="1"/>
  <c r="E53" i="2"/>
  <c r="C53" i="2"/>
  <c r="F52" i="2"/>
  <c r="G52" i="2" s="1"/>
  <c r="E52" i="2"/>
  <c r="H52" i="2" s="1"/>
  <c r="I52" i="2" s="1"/>
  <c r="C52" i="2"/>
  <c r="E51" i="2"/>
  <c r="C51" i="2"/>
  <c r="E50" i="2"/>
  <c r="C50" i="2"/>
  <c r="F50" i="2" s="1"/>
  <c r="G50" i="2" s="1"/>
  <c r="E37" i="2"/>
  <c r="C37" i="2"/>
  <c r="E36" i="2"/>
  <c r="C36" i="2"/>
  <c r="E35" i="2"/>
  <c r="C35" i="2"/>
  <c r="E34" i="2"/>
  <c r="C34" i="2"/>
  <c r="E33" i="2"/>
  <c r="C33" i="2"/>
  <c r="F33" i="2" s="1"/>
  <c r="G33" i="2" s="1"/>
  <c r="F21" i="2"/>
  <c r="H35" i="2" l="1"/>
  <c r="I35" i="2" s="1"/>
  <c r="H53" i="2"/>
  <c r="I53" i="2" s="1"/>
  <c r="F53" i="2"/>
  <c r="G53" i="2" s="1"/>
  <c r="G56" i="2" s="1"/>
  <c r="H51" i="2"/>
  <c r="I51" i="2" s="1"/>
  <c r="H50" i="2"/>
  <c r="I50" i="2" s="1"/>
  <c r="F54" i="2"/>
  <c r="G54" i="2" s="1"/>
  <c r="F51" i="2"/>
  <c r="G51" i="2" s="1"/>
  <c r="H36" i="2"/>
  <c r="I36" i="2" s="1"/>
  <c r="H37" i="2"/>
  <c r="I37" i="2" s="1"/>
  <c r="H34" i="2"/>
  <c r="I34" i="2" s="1"/>
  <c r="H33" i="2"/>
  <c r="I33" i="2" s="1"/>
  <c r="I39" i="2" s="1"/>
  <c r="F37" i="2"/>
  <c r="G37" i="2" s="1"/>
  <c r="F36" i="2"/>
  <c r="G36" i="2" s="1"/>
  <c r="F35" i="2"/>
  <c r="G35" i="2" s="1"/>
  <c r="F34" i="2"/>
  <c r="G34" i="2" s="1"/>
  <c r="E15" i="2"/>
  <c r="E14" i="2"/>
  <c r="E13" i="2"/>
  <c r="E12" i="2"/>
  <c r="C11" i="2"/>
  <c r="C12" i="2"/>
  <c r="C14" i="2"/>
  <c r="C15" i="2"/>
  <c r="F15" i="2" s="1"/>
  <c r="G15" i="2" s="1"/>
  <c r="E11" i="2"/>
  <c r="C13" i="2"/>
  <c r="F13" i="2" s="1"/>
  <c r="G13" i="2" s="1"/>
  <c r="G38" i="2" l="1"/>
  <c r="C42" i="2" s="1"/>
  <c r="E43" i="2" s="1"/>
  <c r="F43" i="2" s="1"/>
  <c r="G55" i="2"/>
  <c r="C59" i="2" s="1"/>
  <c r="E60" i="2" s="1"/>
  <c r="F60" i="2" s="1"/>
  <c r="I56" i="2"/>
  <c r="I55" i="2"/>
  <c r="I38" i="2"/>
  <c r="G39" i="2"/>
  <c r="H11" i="2"/>
  <c r="I11" i="2" s="1"/>
  <c r="H12" i="2"/>
  <c r="I12" i="2" s="1"/>
  <c r="F12" i="2"/>
  <c r="G12" i="2" s="1"/>
  <c r="F14" i="2"/>
  <c r="G14" i="2" s="1"/>
  <c r="H15" i="2"/>
  <c r="I15" i="2" s="1"/>
  <c r="H14" i="2"/>
  <c r="I14" i="2" s="1"/>
  <c r="F11" i="2"/>
  <c r="G11" i="2" s="1"/>
  <c r="H13" i="2"/>
  <c r="I13" i="2" s="1"/>
  <c r="B9" i="1"/>
  <c r="G29" i="1"/>
  <c r="F29" i="1"/>
  <c r="E29" i="1"/>
  <c r="D29" i="1"/>
  <c r="C29" i="1"/>
  <c r="B29" i="1"/>
  <c r="G9" i="1"/>
  <c r="F9" i="1"/>
  <c r="E9" i="1"/>
  <c r="D9" i="1"/>
  <c r="C9" i="1"/>
  <c r="C28" i="1"/>
  <c r="C31" i="1" s="1"/>
  <c r="C30" i="1" s="1"/>
  <c r="D28" i="1"/>
  <c r="D31" i="1" s="1"/>
  <c r="D30" i="1" s="1"/>
  <c r="D32" i="1" s="1"/>
  <c r="D33" i="1" s="1"/>
  <c r="E39" i="1" s="1"/>
  <c r="E28" i="1"/>
  <c r="E31" i="1" s="1"/>
  <c r="E30" i="1" s="1"/>
  <c r="F28" i="1"/>
  <c r="F31" i="1" s="1"/>
  <c r="F30" i="1" s="1"/>
  <c r="F32" i="1" s="1"/>
  <c r="F33" i="1" s="1"/>
  <c r="H39" i="1" s="1"/>
  <c r="G28" i="1"/>
  <c r="G31" i="1" s="1"/>
  <c r="G30" i="1" s="1"/>
  <c r="B28" i="1"/>
  <c r="B31" i="1" s="1"/>
  <c r="B30" i="1" s="1"/>
  <c r="B32" i="1" s="1"/>
  <c r="B33" i="1" s="1"/>
  <c r="B39" i="1" s="1"/>
  <c r="C8" i="1"/>
  <c r="D8" i="1"/>
  <c r="E8" i="1"/>
  <c r="F8" i="1"/>
  <c r="G8" i="1"/>
  <c r="B8" i="1"/>
  <c r="E36" i="1" s="1"/>
  <c r="H40" i="1" s="1"/>
  <c r="H41" i="1" s="1"/>
  <c r="B40" i="1" l="1"/>
  <c r="B41" i="1" s="1"/>
  <c r="E40" i="1"/>
  <c r="E41" i="1" s="1"/>
  <c r="G16" i="2"/>
  <c r="G17" i="2"/>
  <c r="I17" i="2"/>
  <c r="I16" i="2"/>
</calcChain>
</file>

<file path=xl/sharedStrings.xml><?xml version="1.0" encoding="utf-8"?>
<sst xmlns="http://schemas.openxmlformats.org/spreadsheetml/2006/main" count="337" uniqueCount="84">
  <si>
    <t>A</t>
  </si>
  <si>
    <t>B</t>
  </si>
  <si>
    <t>C</t>
  </si>
  <si>
    <t>soczekwa</t>
  </si>
  <si>
    <t xml:space="preserve">położenie na ławie optycznej względem środka  </t>
  </si>
  <si>
    <t>soczekwa: skupiajaca + rozpraszajaca</t>
  </si>
  <si>
    <t>A + 1</t>
  </si>
  <si>
    <t xml:space="preserve">A + 2 </t>
  </si>
  <si>
    <t>A + 3</t>
  </si>
  <si>
    <t xml:space="preserve">średnia arytmetyczna </t>
  </si>
  <si>
    <t>średnia arytmetyczna</t>
  </si>
  <si>
    <t>odchylenie standarodowe</t>
  </si>
  <si>
    <t>f</t>
  </si>
  <si>
    <t xml:space="preserve">f </t>
  </si>
  <si>
    <t>l</t>
  </si>
  <si>
    <t>e</t>
  </si>
  <si>
    <t>o</t>
  </si>
  <si>
    <t>położenie na ławie optycznej względem środka  (mierzone jest p)</t>
  </si>
  <si>
    <t>odchylenie standardowe</t>
  </si>
  <si>
    <t>p</t>
  </si>
  <si>
    <t xml:space="preserve">Ogniskowa soczewek rozpraszajacych </t>
  </si>
  <si>
    <t>X = {1, 2, 3}</t>
  </si>
  <si>
    <t>dla X=1</t>
  </si>
  <si>
    <t xml:space="preserve">1/fA </t>
  </si>
  <si>
    <t xml:space="preserve">d </t>
  </si>
  <si>
    <t>1/f1 = ?</t>
  </si>
  <si>
    <t>dla X=2</t>
  </si>
  <si>
    <t>dla X=3</t>
  </si>
  <si>
    <t>1/f3 = ?</t>
  </si>
  <si>
    <t>1/f2 = ?</t>
  </si>
  <si>
    <t>1/fAX = 1/fA + 1/fX - d / fA * fX</t>
  </si>
  <si>
    <t>1/fA2</t>
  </si>
  <si>
    <t>1/fA3</t>
  </si>
  <si>
    <t>d</t>
  </si>
  <si>
    <t>1/fA1</t>
  </si>
  <si>
    <t xml:space="preserve">f1 </t>
  </si>
  <si>
    <t>p'</t>
  </si>
  <si>
    <t>o'</t>
  </si>
  <si>
    <t>e=o-p</t>
  </si>
  <si>
    <t>e=o-o'</t>
  </si>
  <si>
    <t>fbessela</t>
  </si>
  <si>
    <t>l=1</t>
  </si>
  <si>
    <t>sr aryt</t>
  </si>
  <si>
    <t>odch stand</t>
  </si>
  <si>
    <t>A+1</t>
  </si>
  <si>
    <t>A+2</t>
  </si>
  <si>
    <t>A+3</t>
  </si>
  <si>
    <t>1/f2</t>
  </si>
  <si>
    <t>f2</t>
  </si>
  <si>
    <t xml:space="preserve">sr </t>
  </si>
  <si>
    <t>odch</t>
  </si>
  <si>
    <t>1/f</t>
  </si>
  <si>
    <t>f 1</t>
  </si>
  <si>
    <t>f1</t>
  </si>
  <si>
    <t>sr</t>
  </si>
  <si>
    <t>wspl studentafishera</t>
  </si>
  <si>
    <t>f_bessela A</t>
  </si>
  <si>
    <t>f_bessela B</t>
  </si>
  <si>
    <t>f_bessela C</t>
  </si>
  <si>
    <t xml:space="preserve">blad sredniej arytmetycznej </t>
  </si>
  <si>
    <t>fA+i</t>
  </si>
  <si>
    <t>fA</t>
  </si>
  <si>
    <t>delat_fA+i</t>
  </si>
  <si>
    <t>delta_fA</t>
  </si>
  <si>
    <t>delata_d</t>
  </si>
  <si>
    <t>odch * współczynnik studnet fishera dla n = 5 1,14</t>
  </si>
  <si>
    <t xml:space="preserve">odchylenie standardowe średniej arytmetycznej </t>
  </si>
  <si>
    <t>$f_2$</t>
  </si>
  <si>
    <t>$f_1$</t>
  </si>
  <si>
    <t>$f_{bessela}$</t>
  </si>
  <si>
    <t>$\Delta f_{bessela}$</t>
  </si>
  <si>
    <t>$\Delta f_1$</t>
  </si>
  <si>
    <t>$\Delta f_2$</t>
  </si>
  <si>
    <t xml:space="preserve">\Delta </t>
  </si>
  <si>
    <t>średnia:</t>
  </si>
  <si>
    <t>odch. Stand</t>
  </si>
  <si>
    <t>śr. Aryt.</t>
  </si>
  <si>
    <t>$\Delta f$</t>
  </si>
  <si>
    <t>Odch. Stand.</t>
  </si>
  <si>
    <t>t</t>
  </si>
  <si>
    <t xml:space="preserve"> </t>
  </si>
  <si>
    <t>i=1</t>
  </si>
  <si>
    <t>i=2</t>
  </si>
  <si>
    <t>i=3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</si>
</sst>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\ _z_ł_-;\-* #,##0.00\ _z_ł_-;_-* &quot;-&quot;??\ _z_ł_-;_-@_-"/>
    <numFmt numFmtId="164" formatCode="0.000"/>
    <numFmt numFmtId="165" formatCode="0.000000"/>
    <numFmt numFmtId="166" formatCode="0.0000000"/>
    <numFmt numFmtId="167" formatCode="0.00000000"/>
    <numFmt numFmtId="168" formatCode="_-* #,##0.0000000\ _z_ł_-;\-* #,##0.0000000\ _z_ł_-;_-* &quot;-&quot;??\ _z_ł_-;_-@_-"/>
    <numFmt numFmtId="169" formatCode="_-* #,##0.0000000000000\ _z_ł_-;\-* #,##0.0000000000000\ _z_ł_-;_-* &quot;-&quot;??\ _z_ł_-;_-@_-"/>
    <numFmt numFmtId="170" formatCode="0.0000"/>
    <numFmt numFmtId="171" formatCode="0.000000000"/>
    <numFmt numFmtId="172" formatCode="0.0000000000"/>
    <numFmt numFmtId="173" formatCode="0.0000000000000"/>
    <numFmt numFmtId="174" formatCode="0.000000000000000"/>
    <numFmt numFmtId="175" formatCode="0.00000000000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Border="1" applyAlignment="1">
      <alignment vertical="center"/>
    </xf>
    <xf numFmtId="164" fontId="0" fillId="2" borderId="1" xfId="0" applyNumberFormat="1" applyFill="1" applyBorder="1"/>
    <xf numFmtId="0" fontId="0" fillId="6" borderId="1" xfId="0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6" borderId="0" xfId="0" applyFill="1" applyBorder="1"/>
    <xf numFmtId="0" fontId="0" fillId="0" borderId="0" xfId="0" applyAlignment="1">
      <alignment horizontal="center"/>
    </xf>
    <xf numFmtId="2" fontId="0" fillId="0" borderId="2" xfId="0" applyNumberFormat="1" applyBorder="1"/>
    <xf numFmtId="2" fontId="0" fillId="0" borderId="0" xfId="0" applyNumberFormat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2" fontId="0" fillId="0" borderId="0" xfId="0" applyNumberFormat="1"/>
    <xf numFmtId="0" fontId="0" fillId="2" borderId="0" xfId="0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/>
    <xf numFmtId="167" fontId="0" fillId="0" borderId="0" xfId="0" applyNumberFormat="1" applyBorder="1"/>
    <xf numFmtId="172" fontId="0" fillId="0" borderId="0" xfId="0" applyNumberFormat="1" applyBorder="1"/>
    <xf numFmtId="173" fontId="0" fillId="0" borderId="0" xfId="0" applyNumberFormat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/>
    <xf numFmtId="175" fontId="0" fillId="2" borderId="1" xfId="0" applyNumberFormat="1" applyFill="1" applyBorder="1"/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165" fontId="0" fillId="0" borderId="1" xfId="0" applyNumberFormat="1" applyBorder="1"/>
    <xf numFmtId="167" fontId="0" fillId="0" borderId="1" xfId="0" applyNumberFormat="1" applyBorder="1"/>
    <xf numFmtId="170" fontId="0" fillId="0" borderId="1" xfId="0" applyNumberFormat="1" applyBorder="1"/>
    <xf numFmtId="168" fontId="0" fillId="0" borderId="1" xfId="1" applyNumberFormat="1" applyFont="1" applyBorder="1"/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0" xfId="0" applyFill="1"/>
    <xf numFmtId="0" fontId="0" fillId="0" borderId="7" xfId="0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71" fontId="0" fillId="0" borderId="1" xfId="0" applyNumberFormat="1" applyBorder="1"/>
    <xf numFmtId="164" fontId="0" fillId="0" borderId="1" xfId="0" applyNumberFormat="1" applyBorder="1"/>
    <xf numFmtId="174" fontId="0" fillId="0" borderId="1" xfId="0" applyNumberForma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opLeftCell="A15" workbookViewId="0">
      <selection activeCell="A21" sqref="A21:G27"/>
    </sheetView>
  </sheetViews>
  <sheetFormatPr defaultRowHeight="14.4" x14ac:dyDescent="0.3"/>
  <cols>
    <col min="1" max="1" width="23.5546875" customWidth="1"/>
    <col min="2" max="2" width="10.6640625" customWidth="1"/>
    <col min="3" max="3" width="10.109375" customWidth="1"/>
    <col min="4" max="4" width="10.44140625" bestFit="1" customWidth="1"/>
    <col min="6" max="6" width="11.44140625" bestFit="1" customWidth="1"/>
    <col min="13" max="13" width="12.44140625" bestFit="1" customWidth="1"/>
    <col min="14" max="14" width="13" customWidth="1"/>
    <col min="15" max="15" width="12" customWidth="1"/>
    <col min="17" max="17" width="12" customWidth="1"/>
    <col min="18" max="18" width="12.88671875" customWidth="1"/>
    <col min="19" max="19" width="14.21875" customWidth="1"/>
    <col min="28" max="28" width="19.6640625" bestFit="1" customWidth="1"/>
    <col min="31" max="31" width="17.109375" customWidth="1"/>
    <col min="32" max="32" width="19.6640625" bestFit="1" customWidth="1"/>
    <col min="33" max="33" width="16.77734375" customWidth="1"/>
    <col min="34" max="34" width="23.77734375" bestFit="1" customWidth="1"/>
    <col min="35" max="36" width="11.44140625" bestFit="1" customWidth="1"/>
  </cols>
  <sheetData>
    <row r="1" spans="1:36" x14ac:dyDescent="0.3">
      <c r="A1" s="7" t="s">
        <v>3</v>
      </c>
      <c r="B1" s="59" t="s">
        <v>0</v>
      </c>
      <c r="C1" s="59"/>
      <c r="D1" s="59" t="s">
        <v>1</v>
      </c>
      <c r="E1" s="59"/>
      <c r="F1" s="59" t="s">
        <v>2</v>
      </c>
      <c r="G1" s="59"/>
      <c r="I1" t="s">
        <v>14</v>
      </c>
      <c r="J1">
        <v>100</v>
      </c>
      <c r="L1" t="s">
        <v>24</v>
      </c>
      <c r="M1">
        <v>6</v>
      </c>
      <c r="Q1" s="62" t="s">
        <v>0</v>
      </c>
      <c r="R1" s="62"/>
      <c r="S1" s="62" t="s">
        <v>1</v>
      </c>
      <c r="T1" s="62"/>
      <c r="U1" s="62" t="s">
        <v>2</v>
      </c>
      <c r="V1" s="62"/>
      <c r="X1" s="62" t="s">
        <v>0</v>
      </c>
      <c r="Y1" s="62"/>
      <c r="Z1" s="62" t="s">
        <v>1</v>
      </c>
      <c r="AA1" s="62"/>
      <c r="AB1" s="62" t="s">
        <v>2</v>
      </c>
      <c r="AC1" s="62"/>
      <c r="AE1" s="62" t="s">
        <v>0</v>
      </c>
      <c r="AF1" s="62"/>
      <c r="AG1" s="62" t="s">
        <v>1</v>
      </c>
      <c r="AH1" s="62"/>
      <c r="AI1" s="62" t="s">
        <v>2</v>
      </c>
      <c r="AJ1" s="62"/>
    </row>
    <row r="2" spans="1:36" ht="64.2" customHeight="1" x14ac:dyDescent="0.3">
      <c r="A2" s="14" t="s">
        <v>17</v>
      </c>
      <c r="B2" s="3" t="s">
        <v>19</v>
      </c>
      <c r="C2" s="3" t="s">
        <v>36</v>
      </c>
      <c r="D2" s="3" t="s">
        <v>19</v>
      </c>
      <c r="E2" s="3" t="s">
        <v>36</v>
      </c>
      <c r="F2" s="3" t="s">
        <v>19</v>
      </c>
      <c r="G2" s="3" t="s">
        <v>36</v>
      </c>
      <c r="I2" s="31" t="s">
        <v>15</v>
      </c>
      <c r="J2" s="31" t="s">
        <v>15</v>
      </c>
      <c r="K2" s="31" t="s">
        <v>15</v>
      </c>
      <c r="M2" s="33" t="s">
        <v>56</v>
      </c>
      <c r="N2" s="33" t="s">
        <v>57</v>
      </c>
      <c r="O2" s="33" t="s">
        <v>58</v>
      </c>
      <c r="Q2" s="33" t="s">
        <v>16</v>
      </c>
      <c r="R2" s="33" t="s">
        <v>16</v>
      </c>
      <c r="S2" s="33" t="s">
        <v>16</v>
      </c>
      <c r="T2" s="33" t="s">
        <v>16</v>
      </c>
      <c r="U2" s="33" t="s">
        <v>16</v>
      </c>
      <c r="V2" s="33" t="s">
        <v>16</v>
      </c>
      <c r="X2" s="33" t="s">
        <v>51</v>
      </c>
      <c r="Y2" s="33" t="s">
        <v>51</v>
      </c>
      <c r="Z2" s="33" t="s">
        <v>51</v>
      </c>
      <c r="AA2" s="33" t="s">
        <v>51</v>
      </c>
      <c r="AB2" s="33" t="s">
        <v>51</v>
      </c>
      <c r="AC2" s="33" t="s">
        <v>51</v>
      </c>
      <c r="AE2" s="33" t="s">
        <v>52</v>
      </c>
      <c r="AF2" s="33" t="s">
        <v>48</v>
      </c>
      <c r="AG2" s="33" t="s">
        <v>53</v>
      </c>
      <c r="AH2" s="33" t="s">
        <v>48</v>
      </c>
      <c r="AI2" s="33" t="s">
        <v>53</v>
      </c>
      <c r="AJ2" s="33" t="s">
        <v>48</v>
      </c>
    </row>
    <row r="3" spans="1:36" x14ac:dyDescent="0.3">
      <c r="A3" s="8">
        <v>1</v>
      </c>
      <c r="B3" s="4">
        <v>11.35</v>
      </c>
      <c r="C3" s="4">
        <v>89.35</v>
      </c>
      <c r="D3" s="4">
        <v>17.5</v>
      </c>
      <c r="E3" s="4">
        <v>83.1</v>
      </c>
      <c r="F3" s="4">
        <v>28.3</v>
      </c>
      <c r="G3" s="4">
        <v>72.25</v>
      </c>
      <c r="I3" s="32">
        <f>C3-B3</f>
        <v>78</v>
      </c>
      <c r="J3" s="32">
        <f>E3-D3</f>
        <v>65.599999999999994</v>
      </c>
      <c r="K3" s="32">
        <f>G3-F3</f>
        <v>43.95</v>
      </c>
      <c r="M3" s="32">
        <f>((100*100)-(I3*I3))/(4*100)</f>
        <v>9.7899999999999991</v>
      </c>
      <c r="N3" s="32">
        <f>((100*100)-(J3*J3))/(4*100)</f>
        <v>14.2416</v>
      </c>
      <c r="O3" s="32">
        <f>((100*100)-(K3*K3))/(4*100)</f>
        <v>20.170993750000001</v>
      </c>
      <c r="Q3" s="32">
        <f>100-B3</f>
        <v>88.65</v>
      </c>
      <c r="R3" s="32">
        <f>100-C3</f>
        <v>10.650000000000006</v>
      </c>
      <c r="S3" s="32">
        <f t="shared" ref="S3:V7" si="0">100-D3</f>
        <v>82.5</v>
      </c>
      <c r="T3" s="32">
        <f t="shared" si="0"/>
        <v>16.900000000000006</v>
      </c>
      <c r="U3" s="32">
        <f t="shared" si="0"/>
        <v>71.7</v>
      </c>
      <c r="V3" s="32">
        <f t="shared" si="0"/>
        <v>27.75</v>
      </c>
      <c r="X3" s="32">
        <f>(1/Q3)+(1/B3)</f>
        <v>9.9386042721090473E-2</v>
      </c>
      <c r="Y3" s="32">
        <f t="shared" ref="Y3:AC3" si="1">1/R3+1/C3</f>
        <v>0.10508865541692605</v>
      </c>
      <c r="Z3" s="32">
        <f t="shared" si="1"/>
        <v>6.9264069264069264E-2</v>
      </c>
      <c r="AA3" s="32">
        <f t="shared" si="1"/>
        <v>7.1205291977299731E-2</v>
      </c>
      <c r="AB3" s="32">
        <f t="shared" si="1"/>
        <v>4.9282690440636538E-2</v>
      </c>
      <c r="AC3" s="32">
        <f t="shared" si="1"/>
        <v>4.9876866485863022E-2</v>
      </c>
      <c r="AE3" s="34">
        <f>1/X3</f>
        <v>10.061774999999999</v>
      </c>
      <c r="AF3" s="34">
        <f t="shared" ref="AF3:AJ3" si="2">1/Y3</f>
        <v>9.515775000000005</v>
      </c>
      <c r="AG3" s="32">
        <f t="shared" si="2"/>
        <v>14.4375</v>
      </c>
      <c r="AH3" s="32">
        <f t="shared" si="2"/>
        <v>14.043900000000004</v>
      </c>
      <c r="AI3" s="32">
        <f t="shared" si="2"/>
        <v>20.2911</v>
      </c>
      <c r="AJ3" s="32">
        <f t="shared" si="2"/>
        <v>20.049375000000001</v>
      </c>
    </row>
    <row r="4" spans="1:36" x14ac:dyDescent="0.3">
      <c r="A4" s="8">
        <v>2</v>
      </c>
      <c r="B4" s="4">
        <v>11.35</v>
      </c>
      <c r="C4" s="4">
        <v>89.5</v>
      </c>
      <c r="D4" s="4">
        <v>17.3</v>
      </c>
      <c r="E4" s="4">
        <v>82.9</v>
      </c>
      <c r="F4" s="4">
        <v>28.35</v>
      </c>
      <c r="G4" s="4">
        <v>72.75</v>
      </c>
      <c r="I4" s="32">
        <f t="shared" ref="I4:I7" si="3">C4-B4</f>
        <v>78.150000000000006</v>
      </c>
      <c r="J4" s="32">
        <f t="shared" ref="J4:J7" si="4">E4-D4</f>
        <v>65.600000000000009</v>
      </c>
      <c r="K4" s="32">
        <f t="shared" ref="K4:K7" si="5">G4-F4</f>
        <v>44.4</v>
      </c>
      <c r="M4" s="32">
        <f t="shared" ref="M4:M7" si="6">((100*100)-(I4*I4))/(4*100)</f>
        <v>9.7314437499999986</v>
      </c>
      <c r="N4" s="32">
        <f t="shared" ref="N4:N7" si="7">((100*100)-(J4*J4))/(4*100)</f>
        <v>14.241599999999996</v>
      </c>
      <c r="O4" s="32">
        <f t="shared" ref="O4:O7" si="8">((100*100)-(K4*K4))/(4*100)</f>
        <v>20.0716</v>
      </c>
      <c r="Q4" s="32">
        <f t="shared" ref="Q4:Q7" si="9">100-B4</f>
        <v>88.65</v>
      </c>
      <c r="R4" s="32">
        <f t="shared" ref="R4:R7" si="10">100-C4</f>
        <v>10.5</v>
      </c>
      <c r="S4" s="32">
        <f t="shared" si="0"/>
        <v>82.7</v>
      </c>
      <c r="T4" s="32">
        <f t="shared" si="0"/>
        <v>17.099999999999994</v>
      </c>
      <c r="U4" s="32">
        <f t="shared" si="0"/>
        <v>71.650000000000006</v>
      </c>
      <c r="V4" s="32">
        <f t="shared" si="0"/>
        <v>27.25</v>
      </c>
      <c r="X4" s="32">
        <f t="shared" ref="X4:X7" si="11">(1/Q4)+(1/B4)</f>
        <v>9.9386042721090473E-2</v>
      </c>
      <c r="Y4" s="32">
        <f t="shared" ref="Y4:Y7" si="12">1/R4+1/C4</f>
        <v>0.10641127959563713</v>
      </c>
      <c r="Z4" s="32">
        <f t="shared" ref="Z4:Z7" si="13">1/S4+1/D4</f>
        <v>6.9895366636145692E-2</v>
      </c>
      <c r="AA4" s="32">
        <f t="shared" ref="AA4:AA7" si="14">1/T4+1/E4</f>
        <v>7.0542258339858513E-2</v>
      </c>
      <c r="AB4" s="32">
        <f t="shared" ref="AB4:AB7" si="15">1/U4+1/F4</f>
        <v>4.9230102730916867E-2</v>
      </c>
      <c r="AC4" s="32">
        <f t="shared" ref="AC4:AC7" si="16">1/V4+1/G4</f>
        <v>5.0442952173775972E-2</v>
      </c>
      <c r="AE4" s="34">
        <f t="shared" ref="AE4:AE7" si="17">1/X4</f>
        <v>10.061774999999999</v>
      </c>
      <c r="AF4" s="34">
        <f t="shared" ref="AF4:AF7" si="18">1/Y4</f>
        <v>9.3975000000000009</v>
      </c>
      <c r="AG4" s="32">
        <f t="shared" ref="AG4:AG7" si="19">1/Z4</f>
        <v>14.3071</v>
      </c>
      <c r="AH4" s="32">
        <f t="shared" ref="AH4:AH7" si="20">1/AA4</f>
        <v>14.175899999999995</v>
      </c>
      <c r="AI4" s="32">
        <f t="shared" ref="AI4:AI7" si="21">1/AB4</f>
        <v>20.312775000000002</v>
      </c>
      <c r="AJ4" s="32">
        <f t="shared" ref="AJ4:AJ7" si="22">1/AC4</f>
        <v>19.824375</v>
      </c>
    </row>
    <row r="5" spans="1:36" x14ac:dyDescent="0.3">
      <c r="A5" s="8">
        <v>3</v>
      </c>
      <c r="B5" s="4">
        <v>11.2</v>
      </c>
      <c r="C5" s="4">
        <v>89.4</v>
      </c>
      <c r="D5" s="4">
        <v>17.850000000000001</v>
      </c>
      <c r="E5" s="4">
        <v>83.1</v>
      </c>
      <c r="F5" s="4">
        <v>28.15</v>
      </c>
      <c r="G5" s="4">
        <v>71.900000000000006</v>
      </c>
      <c r="I5" s="32">
        <f t="shared" si="3"/>
        <v>78.2</v>
      </c>
      <c r="J5" s="32">
        <f t="shared" si="4"/>
        <v>65.25</v>
      </c>
      <c r="K5" s="32">
        <f t="shared" si="5"/>
        <v>43.750000000000007</v>
      </c>
      <c r="M5" s="32">
        <f t="shared" si="6"/>
        <v>9.7118999999999982</v>
      </c>
      <c r="N5" s="32">
        <f t="shared" si="7"/>
        <v>14.356093749999999</v>
      </c>
      <c r="O5" s="32">
        <f t="shared" si="8"/>
        <v>20.214843749999996</v>
      </c>
      <c r="Q5" s="32">
        <f t="shared" si="9"/>
        <v>88.8</v>
      </c>
      <c r="R5" s="32">
        <f t="shared" si="10"/>
        <v>10.599999999999994</v>
      </c>
      <c r="S5" s="32">
        <f t="shared" si="0"/>
        <v>82.15</v>
      </c>
      <c r="T5" s="32">
        <f t="shared" si="0"/>
        <v>16.900000000000006</v>
      </c>
      <c r="U5" s="32">
        <f t="shared" si="0"/>
        <v>71.849999999999994</v>
      </c>
      <c r="V5" s="32">
        <f t="shared" si="0"/>
        <v>28.099999999999994</v>
      </c>
      <c r="X5" s="32">
        <f t="shared" si="11"/>
        <v>0.10054697554697554</v>
      </c>
      <c r="Y5" s="32">
        <f t="shared" si="12"/>
        <v>0.10552530496813141</v>
      </c>
      <c r="Z5" s="32">
        <f t="shared" si="13"/>
        <v>6.8195263497973738E-2</v>
      </c>
      <c r="AA5" s="32">
        <f t="shared" si="14"/>
        <v>7.1205291977299731E-2</v>
      </c>
      <c r="AB5" s="32">
        <f t="shared" si="15"/>
        <v>4.9441863167171599E-2</v>
      </c>
      <c r="AC5" s="32">
        <f t="shared" si="16"/>
        <v>4.9495394453546109E-2</v>
      </c>
      <c r="AE5" s="34">
        <f t="shared" si="17"/>
        <v>9.9456000000000007</v>
      </c>
      <c r="AF5" s="34">
        <f t="shared" si="18"/>
        <v>9.4763999999999946</v>
      </c>
      <c r="AG5" s="32">
        <f t="shared" si="19"/>
        <v>14.663775000000003</v>
      </c>
      <c r="AH5" s="32">
        <f t="shared" si="20"/>
        <v>14.043900000000004</v>
      </c>
      <c r="AI5" s="32">
        <f t="shared" si="21"/>
        <v>20.225774999999999</v>
      </c>
      <c r="AJ5" s="32">
        <f t="shared" si="22"/>
        <v>20.203899999999994</v>
      </c>
    </row>
    <row r="6" spans="1:36" x14ac:dyDescent="0.3">
      <c r="A6" s="8">
        <v>4</v>
      </c>
      <c r="B6" s="4">
        <v>11.3</v>
      </c>
      <c r="C6" s="4">
        <v>89.4</v>
      </c>
      <c r="D6" s="4">
        <v>17.45</v>
      </c>
      <c r="E6" s="4">
        <v>82.95</v>
      </c>
      <c r="F6" s="4">
        <v>28.2</v>
      </c>
      <c r="G6" s="4">
        <v>72</v>
      </c>
      <c r="I6" s="32">
        <f t="shared" si="3"/>
        <v>78.100000000000009</v>
      </c>
      <c r="J6" s="32">
        <f t="shared" si="4"/>
        <v>65.5</v>
      </c>
      <c r="K6" s="32">
        <f t="shared" si="5"/>
        <v>43.8</v>
      </c>
      <c r="M6" s="32">
        <f t="shared" si="6"/>
        <v>9.7509749999999968</v>
      </c>
      <c r="N6" s="32">
        <f t="shared" si="7"/>
        <v>14.274374999999999</v>
      </c>
      <c r="O6" s="32">
        <f t="shared" si="8"/>
        <v>20.203900000000001</v>
      </c>
      <c r="Q6" s="32">
        <f t="shared" si="9"/>
        <v>88.7</v>
      </c>
      <c r="R6" s="32">
        <f t="shared" si="10"/>
        <v>10.599999999999994</v>
      </c>
      <c r="S6" s="32">
        <f t="shared" si="0"/>
        <v>82.55</v>
      </c>
      <c r="T6" s="32">
        <f t="shared" si="0"/>
        <v>17.049999999999997</v>
      </c>
      <c r="U6" s="32">
        <f t="shared" si="0"/>
        <v>71.8</v>
      </c>
      <c r="V6" s="32">
        <f t="shared" si="0"/>
        <v>28</v>
      </c>
      <c r="X6" s="32">
        <f t="shared" si="11"/>
        <v>9.9769532380201725E-2</v>
      </c>
      <c r="Y6" s="32">
        <f t="shared" si="12"/>
        <v>0.10552530496813141</v>
      </c>
      <c r="Z6" s="32">
        <f t="shared" si="13"/>
        <v>6.942046063946658E-2</v>
      </c>
      <c r="AA6" s="32">
        <f t="shared" si="14"/>
        <v>7.0706481486391665E-2</v>
      </c>
      <c r="AB6" s="32">
        <f t="shared" si="15"/>
        <v>4.9388569509472735E-2</v>
      </c>
      <c r="AC6" s="32">
        <f t="shared" si="16"/>
        <v>4.96031746031746E-2</v>
      </c>
      <c r="AE6" s="34">
        <f t="shared" si="17"/>
        <v>10.023100000000001</v>
      </c>
      <c r="AF6" s="34">
        <f t="shared" si="18"/>
        <v>9.4763999999999946</v>
      </c>
      <c r="AG6" s="32">
        <f t="shared" si="19"/>
        <v>14.404974999999999</v>
      </c>
      <c r="AH6" s="32">
        <f t="shared" si="20"/>
        <v>14.142974999999998</v>
      </c>
      <c r="AI6" s="32">
        <f t="shared" si="21"/>
        <v>20.247599999999998</v>
      </c>
      <c r="AJ6" s="32">
        <f t="shared" si="22"/>
        <v>20.16</v>
      </c>
    </row>
    <row r="7" spans="1:36" x14ac:dyDescent="0.3">
      <c r="A7" s="8">
        <v>5</v>
      </c>
      <c r="B7" s="4">
        <v>11.25</v>
      </c>
      <c r="C7" s="4">
        <v>89.45</v>
      </c>
      <c r="D7" s="4">
        <v>17.5</v>
      </c>
      <c r="E7" s="4">
        <v>82.95</v>
      </c>
      <c r="F7" s="4">
        <v>28.25</v>
      </c>
      <c r="G7" s="4">
        <v>72.349999999999994</v>
      </c>
      <c r="I7" s="32">
        <f t="shared" si="3"/>
        <v>78.2</v>
      </c>
      <c r="J7" s="32">
        <f t="shared" si="4"/>
        <v>65.45</v>
      </c>
      <c r="K7" s="32">
        <f t="shared" si="5"/>
        <v>44.099999999999994</v>
      </c>
      <c r="M7" s="32">
        <f t="shared" si="6"/>
        <v>9.7118999999999982</v>
      </c>
      <c r="N7" s="32">
        <f t="shared" si="7"/>
        <v>14.290743749999999</v>
      </c>
      <c r="O7" s="32">
        <f t="shared" si="8"/>
        <v>20.137975000000001</v>
      </c>
      <c r="Q7" s="32">
        <f t="shared" si="9"/>
        <v>88.75</v>
      </c>
      <c r="R7" s="32">
        <f t="shared" si="10"/>
        <v>10.549999999999997</v>
      </c>
      <c r="S7" s="32">
        <f t="shared" si="0"/>
        <v>82.5</v>
      </c>
      <c r="T7" s="32">
        <f t="shared" si="0"/>
        <v>17.049999999999997</v>
      </c>
      <c r="U7" s="32">
        <f t="shared" si="0"/>
        <v>71.75</v>
      </c>
      <c r="V7" s="32">
        <f t="shared" si="0"/>
        <v>27.650000000000006</v>
      </c>
      <c r="X7" s="32">
        <f t="shared" si="11"/>
        <v>0.10015649452269171</v>
      </c>
      <c r="Y7" s="32">
        <f t="shared" si="12"/>
        <v>0.10596615970689763</v>
      </c>
      <c r="Z7" s="32">
        <f t="shared" si="13"/>
        <v>6.9264069264069264E-2</v>
      </c>
      <c r="AA7" s="32">
        <f t="shared" si="14"/>
        <v>7.0706481486391665E-2</v>
      </c>
      <c r="AB7" s="32">
        <f t="shared" si="15"/>
        <v>4.9335512318460728E-2</v>
      </c>
      <c r="AC7" s="32">
        <f t="shared" si="16"/>
        <v>4.9988065349397828E-2</v>
      </c>
      <c r="AE7" s="34">
        <f t="shared" si="17"/>
        <v>9.984375</v>
      </c>
      <c r="AF7" s="34">
        <f t="shared" si="18"/>
        <v>9.4369749999999986</v>
      </c>
      <c r="AG7" s="32">
        <f t="shared" si="19"/>
        <v>14.4375</v>
      </c>
      <c r="AH7" s="32">
        <f t="shared" si="20"/>
        <v>14.142974999999998</v>
      </c>
      <c r="AI7" s="32">
        <f t="shared" si="21"/>
        <v>20.269375</v>
      </c>
      <c r="AJ7" s="32">
        <f t="shared" si="22"/>
        <v>20.004775000000002</v>
      </c>
    </row>
    <row r="8" spans="1:36" x14ac:dyDescent="0.3">
      <c r="A8" s="1" t="s">
        <v>9</v>
      </c>
      <c r="B8" s="1">
        <f>AVERAGEA(B3:B7)</f>
        <v>11.290000000000001</v>
      </c>
      <c r="C8" s="1">
        <f t="shared" ref="C8:G8" si="23">AVERAGEA(C3:C7)</f>
        <v>89.419999999999987</v>
      </c>
      <c r="D8" s="1">
        <f t="shared" si="23"/>
        <v>17.52</v>
      </c>
      <c r="E8" s="1">
        <f t="shared" si="23"/>
        <v>83</v>
      </c>
      <c r="F8" s="1">
        <f t="shared" si="23"/>
        <v>28.25</v>
      </c>
      <c r="G8" s="1">
        <f t="shared" si="23"/>
        <v>72.25</v>
      </c>
      <c r="L8" t="s">
        <v>49</v>
      </c>
      <c r="M8" s="36">
        <f>AVERAGEA(M3:M7)</f>
        <v>9.7392437499999982</v>
      </c>
      <c r="N8" s="36">
        <f>AVERAGEA(N3:N7)</f>
        <v>14.280882499999999</v>
      </c>
      <c r="O8" s="36">
        <f>AVERAGEA(O3:O7)</f>
        <v>20.159862499999999</v>
      </c>
      <c r="P8" s="36"/>
      <c r="Q8" s="36"/>
      <c r="R8" s="36"/>
      <c r="S8" s="36"/>
      <c r="T8" s="36"/>
      <c r="U8" s="36"/>
      <c r="V8" s="36"/>
      <c r="AE8" s="34">
        <f>AVERAGEA(AE3:AE7)</f>
        <v>10.015325000000001</v>
      </c>
      <c r="AF8" s="34">
        <f t="shared" ref="AF8:AI8" si="24">AVERAGEA(AF3:AF7)</f>
        <v>9.4606099999999991</v>
      </c>
      <c r="AG8" s="35">
        <f t="shared" si="24"/>
        <v>14.45017</v>
      </c>
      <c r="AH8" s="35">
        <f t="shared" si="24"/>
        <v>14.10993</v>
      </c>
      <c r="AI8" s="34">
        <f t="shared" si="24"/>
        <v>20.269324999999998</v>
      </c>
      <c r="AJ8" s="34">
        <f>AVERAGEA(AJ3:AJ7)</f>
        <v>20.048484999999999</v>
      </c>
    </row>
    <row r="9" spans="1:36" x14ac:dyDescent="0.3">
      <c r="A9" s="14" t="s">
        <v>18</v>
      </c>
      <c r="B9" s="16">
        <f>STDEV(B3:B7)</f>
        <v>6.5192024052026593E-2</v>
      </c>
      <c r="C9" s="16">
        <f t="shared" ref="C9:G9" si="25">STDEV(C3:C7)</f>
        <v>5.700877125495802E-2</v>
      </c>
      <c r="D9" s="16">
        <f t="shared" si="25"/>
        <v>0.20186629238186396</v>
      </c>
      <c r="E9" s="16">
        <f t="shared" si="25"/>
        <v>9.3541434669343226E-2</v>
      </c>
      <c r="F9" s="16">
        <f t="shared" si="25"/>
        <v>7.9056941504210609E-2</v>
      </c>
      <c r="G9" s="16">
        <f t="shared" si="25"/>
        <v>0.33354160160315643</v>
      </c>
      <c r="L9" t="s">
        <v>50</v>
      </c>
      <c r="M9" s="36">
        <f>STDEV(M3:M7)</f>
        <v>3.2672696815345903E-2</v>
      </c>
      <c r="N9" s="36">
        <f t="shared" ref="N9:O9" si="26">STDEV(N3:N7)</f>
        <v>4.7123649972373685E-2</v>
      </c>
      <c r="O9" s="36">
        <f t="shared" si="26"/>
        <v>5.7782946331237414E-2</v>
      </c>
      <c r="P9" s="36"/>
      <c r="Q9" s="36"/>
      <c r="AE9" s="34">
        <f>STDEV(AE3:AE7)</f>
        <v>5.0485477491056141E-2</v>
      </c>
      <c r="AF9" s="34">
        <f t="shared" ref="AF9:AJ9" si="27">STDEV(AF3:AF7)</f>
        <v>4.4953617068040727E-2</v>
      </c>
      <c r="AG9" s="35">
        <f t="shared" si="27"/>
        <v>0.1308240868017061</v>
      </c>
      <c r="AH9" s="35">
        <f t="shared" si="27"/>
        <v>6.1757401884304453E-2</v>
      </c>
      <c r="AI9" s="34">
        <f t="shared" si="27"/>
        <v>3.4389801358834418E-2</v>
      </c>
      <c r="AJ9" s="34">
        <f t="shared" si="27"/>
        <v>0.14893460456690208</v>
      </c>
    </row>
    <row r="10" spans="1:36" x14ac:dyDescent="0.3">
      <c r="K10" t="s">
        <v>55</v>
      </c>
      <c r="L10">
        <v>1.1399999999999999</v>
      </c>
      <c r="M10">
        <f>M8*$L$10</f>
        <v>11.102737874999997</v>
      </c>
      <c r="N10">
        <f t="shared" ref="N10:O10" si="28">N8*$L$10</f>
        <v>16.280206049999997</v>
      </c>
      <c r="O10">
        <f t="shared" si="28"/>
        <v>22.982243249999996</v>
      </c>
    </row>
    <row r="11" spans="1:36" x14ac:dyDescent="0.3">
      <c r="L11" t="s">
        <v>59</v>
      </c>
      <c r="M11">
        <f>M9/(SQRT(5))</f>
        <v>1.4611674217470866E-2</v>
      </c>
      <c r="N11">
        <f t="shared" ref="N11:O11" si="29">N9/(SQRT(5))</f>
        <v>2.1074336937226729E-2</v>
      </c>
      <c r="O11">
        <f t="shared" si="29"/>
        <v>2.5841319187373785E-2</v>
      </c>
      <c r="AB11" s="39">
        <f>AVERAGE(AE3:AE7)</f>
        <v>10.015325000000001</v>
      </c>
      <c r="AE11">
        <f>AE9/(SQRT(5))</f>
        <v>2.257779190930741E-2</v>
      </c>
      <c r="AF11">
        <f t="shared" ref="AF11:AJ11" si="30">AF9/(SQRT(5))</f>
        <v>2.0103868719726772E-2</v>
      </c>
      <c r="AG11">
        <f t="shared" si="30"/>
        <v>5.8506310236589573E-2</v>
      </c>
      <c r="AH11">
        <f t="shared" si="30"/>
        <v>2.7618749745415672E-2</v>
      </c>
      <c r="AI11">
        <f t="shared" si="30"/>
        <v>1.5379586714213678E-2</v>
      </c>
      <c r="AJ11">
        <f t="shared" si="30"/>
        <v>6.6605580002728731E-2</v>
      </c>
    </row>
    <row r="12" spans="1:36" x14ac:dyDescent="0.3">
      <c r="AB12">
        <f>SUM(AE3:AE7)/5</f>
        <v>10.015325000000001</v>
      </c>
    </row>
    <row r="13" spans="1:36" x14ac:dyDescent="0.3">
      <c r="AB13" s="32">
        <f>SUM(AE3:AE7)</f>
        <v>50.076625</v>
      </c>
    </row>
    <row r="14" spans="1:36" x14ac:dyDescent="0.3">
      <c r="J14" s="4">
        <v>89.35</v>
      </c>
      <c r="K14">
        <v>10.65</v>
      </c>
      <c r="M14" s="4">
        <v>83.1</v>
      </c>
      <c r="N14">
        <v>16.899999999999999</v>
      </c>
      <c r="P14" s="4">
        <v>72.25</v>
      </c>
      <c r="Q14">
        <v>27.75</v>
      </c>
    </row>
    <row r="15" spans="1:36" x14ac:dyDescent="0.3">
      <c r="J15" s="4">
        <v>89.5</v>
      </c>
      <c r="K15">
        <v>10.5</v>
      </c>
      <c r="M15" s="4">
        <v>82.9</v>
      </c>
      <c r="N15">
        <v>17.100000000000001</v>
      </c>
      <c r="P15" s="4">
        <v>72.75</v>
      </c>
      <c r="Q15">
        <v>27.25</v>
      </c>
    </row>
    <row r="16" spans="1:36" x14ac:dyDescent="0.3">
      <c r="A16" s="15"/>
      <c r="B16" s="13"/>
      <c r="C16" s="13"/>
      <c r="D16" s="13"/>
      <c r="E16" s="13"/>
      <c r="F16" s="13"/>
      <c r="G16" s="13"/>
      <c r="J16" s="4">
        <v>89.4</v>
      </c>
      <c r="K16">
        <v>10.6</v>
      </c>
      <c r="M16" s="4">
        <v>83.1</v>
      </c>
      <c r="N16">
        <v>16.899999999999999</v>
      </c>
      <c r="P16" s="4">
        <v>71.900000000000006</v>
      </c>
      <c r="Q16">
        <v>28.1</v>
      </c>
    </row>
    <row r="17" spans="1:17" x14ac:dyDescent="0.3">
      <c r="A17" s="15"/>
      <c r="B17" s="13"/>
      <c r="C17" s="13"/>
      <c r="D17" s="13"/>
      <c r="E17" s="13"/>
      <c r="F17" s="13"/>
      <c r="G17" s="13"/>
      <c r="J17" s="4">
        <v>89.4</v>
      </c>
      <c r="K17">
        <v>10.6</v>
      </c>
      <c r="M17" s="4">
        <v>82.95</v>
      </c>
      <c r="N17">
        <v>17.05</v>
      </c>
      <c r="P17" s="4">
        <v>72</v>
      </c>
      <c r="Q17">
        <v>28</v>
      </c>
    </row>
    <row r="18" spans="1:17" x14ac:dyDescent="0.3">
      <c r="A18" s="15"/>
      <c r="B18" s="11"/>
      <c r="C18" s="11"/>
      <c r="D18" s="11"/>
      <c r="E18" s="11"/>
      <c r="F18" s="11"/>
      <c r="G18" s="11"/>
      <c r="J18" s="4">
        <v>89.45</v>
      </c>
      <c r="K18">
        <v>10.55</v>
      </c>
      <c r="M18" s="4">
        <v>82.95</v>
      </c>
      <c r="N18">
        <v>17.05</v>
      </c>
      <c r="P18" s="4">
        <v>72.349999999999994</v>
      </c>
      <c r="Q18">
        <v>27.65</v>
      </c>
    </row>
    <row r="19" spans="1:17" x14ac:dyDescent="0.3">
      <c r="A19" s="15"/>
      <c r="B19" s="61"/>
      <c r="C19" s="61"/>
      <c r="D19" s="61"/>
      <c r="E19" s="61"/>
      <c r="F19" s="61"/>
      <c r="G19" s="61"/>
    </row>
    <row r="21" spans="1:17" ht="28.8" x14ac:dyDescent="0.3">
      <c r="A21" s="10" t="s">
        <v>5</v>
      </c>
      <c r="B21" s="60" t="s">
        <v>6</v>
      </c>
      <c r="C21" s="60"/>
      <c r="D21" s="60" t="s">
        <v>7</v>
      </c>
      <c r="E21" s="60"/>
      <c r="F21" s="60" t="s">
        <v>8</v>
      </c>
      <c r="G21" s="60"/>
    </row>
    <row r="22" spans="1:17" ht="28.8" x14ac:dyDescent="0.3">
      <c r="A22" s="2" t="s">
        <v>4</v>
      </c>
      <c r="B22" s="3" t="s">
        <v>19</v>
      </c>
      <c r="C22" s="3" t="s">
        <v>36</v>
      </c>
      <c r="D22" s="3" t="s">
        <v>19</v>
      </c>
      <c r="E22" s="3" t="s">
        <v>36</v>
      </c>
      <c r="F22" s="3" t="s">
        <v>19</v>
      </c>
      <c r="G22" s="3" t="s">
        <v>36</v>
      </c>
      <c r="I22" s="31" t="s">
        <v>15</v>
      </c>
      <c r="J22" s="31" t="s">
        <v>15</v>
      </c>
      <c r="K22" s="31" t="s">
        <v>15</v>
      </c>
      <c r="M22" s="33" t="s">
        <v>12</v>
      </c>
      <c r="N22" s="33" t="s">
        <v>12</v>
      </c>
      <c r="O22" s="33" t="s">
        <v>12</v>
      </c>
    </row>
    <row r="23" spans="1:17" x14ac:dyDescent="0.3">
      <c r="A23" s="8">
        <v>1</v>
      </c>
      <c r="B23" s="4">
        <v>24.85</v>
      </c>
      <c r="C23" s="4">
        <v>89.9</v>
      </c>
      <c r="D23" s="4">
        <v>18.2</v>
      </c>
      <c r="E23" s="4">
        <v>91.45</v>
      </c>
      <c r="F23" s="4">
        <v>16.75</v>
      </c>
      <c r="G23" s="4">
        <v>91.85</v>
      </c>
      <c r="I23" s="32">
        <f>C23-B23</f>
        <v>65.050000000000011</v>
      </c>
      <c r="J23" s="32">
        <f>E23-D23</f>
        <v>73.25</v>
      </c>
      <c r="K23" s="32">
        <f>G23-F23</f>
        <v>75.099999999999994</v>
      </c>
      <c r="M23" s="32">
        <f>((100*100)-(I23*I23))/(4*100)</f>
        <v>14.421243749999997</v>
      </c>
      <c r="N23" s="32">
        <f t="shared" ref="N23:O27" si="31">((100*100)-(J23*J23))/(4*100)</f>
        <v>11.58609375</v>
      </c>
      <c r="O23" s="32">
        <f t="shared" si="31"/>
        <v>10.899975000000001</v>
      </c>
    </row>
    <row r="24" spans="1:17" x14ac:dyDescent="0.3">
      <c r="A24" s="8">
        <v>2</v>
      </c>
      <c r="B24" s="4">
        <v>24.6</v>
      </c>
      <c r="C24" s="4">
        <v>90</v>
      </c>
      <c r="D24" s="4">
        <v>18.350000000000001</v>
      </c>
      <c r="E24" s="4">
        <v>91.4</v>
      </c>
      <c r="F24" s="4">
        <v>16.600000000000001</v>
      </c>
      <c r="G24" s="4">
        <v>91.65</v>
      </c>
      <c r="I24" s="32">
        <f t="shared" ref="I24:I27" si="32">C24-B24</f>
        <v>65.400000000000006</v>
      </c>
      <c r="J24" s="32">
        <f t="shared" ref="J24:J27" si="33">E24-D24</f>
        <v>73.050000000000011</v>
      </c>
      <c r="K24" s="32">
        <f t="shared" ref="K24:K27" si="34">G24-F24</f>
        <v>75.050000000000011</v>
      </c>
      <c r="M24" s="32">
        <f t="shared" ref="M24:M27" si="35">((100*100)-(I24*I24))/(4*100)</f>
        <v>14.307099999999998</v>
      </c>
      <c r="N24" s="32">
        <f t="shared" si="31"/>
        <v>11.659243749999996</v>
      </c>
      <c r="O24" s="32">
        <f t="shared" si="31"/>
        <v>10.918743749999997</v>
      </c>
    </row>
    <row r="25" spans="1:17" x14ac:dyDescent="0.3">
      <c r="A25" s="8">
        <v>3</v>
      </c>
      <c r="B25" s="4">
        <v>24.85</v>
      </c>
      <c r="C25" s="4">
        <v>89.35</v>
      </c>
      <c r="D25" s="4">
        <v>18.100000000000001</v>
      </c>
      <c r="E25" s="4">
        <v>91.35</v>
      </c>
      <c r="F25" s="4">
        <v>16.600000000000001</v>
      </c>
      <c r="G25" s="4">
        <v>91.7</v>
      </c>
      <c r="I25" s="32">
        <f t="shared" si="32"/>
        <v>64.5</v>
      </c>
      <c r="J25" s="32">
        <f t="shared" si="33"/>
        <v>73.25</v>
      </c>
      <c r="K25" s="32">
        <f t="shared" si="34"/>
        <v>75.099999999999994</v>
      </c>
      <c r="M25" s="32">
        <f t="shared" si="35"/>
        <v>14.599375</v>
      </c>
      <c r="N25" s="32">
        <f t="shared" si="31"/>
        <v>11.58609375</v>
      </c>
      <c r="O25" s="32">
        <f t="shared" si="31"/>
        <v>10.899975000000001</v>
      </c>
    </row>
    <row r="26" spans="1:17" x14ac:dyDescent="0.3">
      <c r="A26" s="8">
        <v>4</v>
      </c>
      <c r="B26" s="4">
        <v>24.6</v>
      </c>
      <c r="C26" s="4">
        <v>89.8</v>
      </c>
      <c r="D26" s="4">
        <v>18.149999999999999</v>
      </c>
      <c r="E26" s="4">
        <v>91.35</v>
      </c>
      <c r="F26" s="4">
        <v>16.7</v>
      </c>
      <c r="G26" s="4">
        <v>91.8</v>
      </c>
      <c r="I26" s="32">
        <f t="shared" si="32"/>
        <v>65.199999999999989</v>
      </c>
      <c r="J26" s="32">
        <f t="shared" si="33"/>
        <v>73.199999999999989</v>
      </c>
      <c r="K26" s="32">
        <f t="shared" si="34"/>
        <v>75.099999999999994</v>
      </c>
      <c r="M26" s="32">
        <f t="shared" si="35"/>
        <v>14.372400000000004</v>
      </c>
      <c r="N26" s="32">
        <f t="shared" si="31"/>
        <v>11.604400000000005</v>
      </c>
      <c r="O26" s="32">
        <f t="shared" si="31"/>
        <v>10.899975000000001</v>
      </c>
    </row>
    <row r="27" spans="1:17" x14ac:dyDescent="0.3">
      <c r="A27" s="8">
        <v>5</v>
      </c>
      <c r="B27" s="4">
        <v>24.8</v>
      </c>
      <c r="C27" s="4">
        <v>89.4</v>
      </c>
      <c r="D27" s="4">
        <v>18.149999999999999</v>
      </c>
      <c r="E27" s="4">
        <v>91.1</v>
      </c>
      <c r="F27" s="4">
        <v>16.7</v>
      </c>
      <c r="G27" s="4">
        <v>91.8</v>
      </c>
      <c r="I27" s="32">
        <f t="shared" si="32"/>
        <v>64.600000000000009</v>
      </c>
      <c r="J27" s="32">
        <f t="shared" si="33"/>
        <v>72.949999999999989</v>
      </c>
      <c r="K27" s="32">
        <f t="shared" si="34"/>
        <v>75.099999999999994</v>
      </c>
      <c r="M27" s="32">
        <f t="shared" si="35"/>
        <v>14.567099999999998</v>
      </c>
      <c r="N27" s="32">
        <f t="shared" si="31"/>
        <v>11.695743750000004</v>
      </c>
      <c r="O27" s="32">
        <f t="shared" si="31"/>
        <v>10.899975000000001</v>
      </c>
    </row>
    <row r="28" spans="1:17" x14ac:dyDescent="0.3">
      <c r="A28" s="6" t="s">
        <v>10</v>
      </c>
      <c r="B28" s="6">
        <f>AVERAGEA(B23:B27)</f>
        <v>24.740000000000002</v>
      </c>
      <c r="C28" s="6">
        <f t="shared" ref="C28:G28" si="36">AVERAGEA(C23:C27)</f>
        <v>89.690000000000012</v>
      </c>
      <c r="D28" s="6">
        <f t="shared" si="36"/>
        <v>18.189999999999998</v>
      </c>
      <c r="E28" s="6">
        <f t="shared" si="36"/>
        <v>91.330000000000013</v>
      </c>
      <c r="F28" s="6">
        <f t="shared" si="36"/>
        <v>16.670000000000002</v>
      </c>
      <c r="G28" s="6">
        <f t="shared" si="36"/>
        <v>91.76</v>
      </c>
      <c r="L28" t="s">
        <v>54</v>
      </c>
      <c r="M28">
        <f>AVERAGEA(M23:M27)</f>
        <v>14.45344375</v>
      </c>
      <c r="N28">
        <f t="shared" ref="N28:O28" si="37">AVERAGEA(N23:N27)</f>
        <v>11.626315000000002</v>
      </c>
      <c r="O28">
        <f t="shared" si="37"/>
        <v>10.903728749999999</v>
      </c>
    </row>
    <row r="29" spans="1:17" x14ac:dyDescent="0.3">
      <c r="A29" s="10" t="s">
        <v>11</v>
      </c>
      <c r="B29" s="18">
        <f>STDEV(B23:B27)</f>
        <v>0.12942179105544777</v>
      </c>
      <c r="C29" s="18">
        <f t="shared" ref="C29:G29" si="38">STDEV(C23:C27)</f>
        <v>0.29664793948382751</v>
      </c>
      <c r="D29" s="18">
        <f t="shared" si="38"/>
        <v>9.6176920308357269E-2</v>
      </c>
      <c r="E29" s="18">
        <f t="shared" si="38"/>
        <v>0.13509256086106633</v>
      </c>
      <c r="F29" s="18">
        <f t="shared" si="38"/>
        <v>6.7082039324992793E-2</v>
      </c>
      <c r="G29" s="18">
        <f t="shared" si="38"/>
        <v>8.2158383625770243E-2</v>
      </c>
      <c r="L29" t="s">
        <v>50</v>
      </c>
      <c r="M29">
        <f>STDEV(M23:M27)</f>
        <v>0.12573294662572498</v>
      </c>
      <c r="N29">
        <f t="shared" ref="N29:O29" si="39">STDEV(N23:N27)</f>
        <v>4.9041867397281211E-2</v>
      </c>
      <c r="O29">
        <f t="shared" si="39"/>
        <v>8.3936401705380498E-3</v>
      </c>
    </row>
    <row r="30" spans="1:17" x14ac:dyDescent="0.3">
      <c r="A30" s="12" t="s">
        <v>16</v>
      </c>
      <c r="B30" s="5">
        <f>$J$1 - B31</f>
        <v>75.259999999999991</v>
      </c>
      <c r="C30" s="5">
        <f>$J$1 - C31</f>
        <v>10.309999999999988</v>
      </c>
      <c r="D30" s="5">
        <f t="shared" ref="D30:G30" si="40">$J$1 - D31</f>
        <v>81.81</v>
      </c>
      <c r="E30" s="5">
        <f t="shared" si="40"/>
        <v>8.6699999999999875</v>
      </c>
      <c r="F30" s="5">
        <f t="shared" si="40"/>
        <v>83.33</v>
      </c>
      <c r="G30" s="5">
        <f t="shared" si="40"/>
        <v>8.2399999999999949</v>
      </c>
    </row>
    <row r="31" spans="1:17" x14ac:dyDescent="0.3">
      <c r="A31" s="12" t="s">
        <v>19</v>
      </c>
      <c r="B31" s="5">
        <f>B28</f>
        <v>24.740000000000002</v>
      </c>
      <c r="C31" s="5">
        <f>C28</f>
        <v>89.690000000000012</v>
      </c>
      <c r="D31" s="5">
        <f t="shared" ref="D31:G31" si="41">D28</f>
        <v>18.189999999999998</v>
      </c>
      <c r="E31" s="5">
        <f t="shared" si="41"/>
        <v>91.330000000000013</v>
      </c>
      <c r="F31" s="5">
        <f t="shared" si="41"/>
        <v>16.670000000000002</v>
      </c>
      <c r="G31" s="5">
        <f t="shared" si="41"/>
        <v>91.76</v>
      </c>
    </row>
    <row r="32" spans="1:17" x14ac:dyDescent="0.3">
      <c r="A32" s="12" t="s">
        <v>15</v>
      </c>
      <c r="B32" s="58">
        <f>B30-B31</f>
        <v>50.519999999999989</v>
      </c>
      <c r="C32" s="58"/>
      <c r="D32" s="58">
        <f t="shared" ref="D32" si="42">D30-D31</f>
        <v>63.620000000000005</v>
      </c>
      <c r="E32" s="58"/>
      <c r="F32" s="58">
        <f t="shared" ref="F32" si="43">F30-F31</f>
        <v>66.66</v>
      </c>
      <c r="G32" s="58"/>
    </row>
    <row r="33" spans="1:8" x14ac:dyDescent="0.3">
      <c r="A33" s="12" t="s">
        <v>13</v>
      </c>
      <c r="B33" s="58">
        <f>($J$1 * $J$1 - B32*B32)/(4*$J$1)</f>
        <v>18.619324000000002</v>
      </c>
      <c r="C33" s="58"/>
      <c r="D33" s="58">
        <f t="shared" ref="D33" si="44">($J$1 * $J$1 - D32*D32)/(4*$J$1)</f>
        <v>14.881238999999999</v>
      </c>
      <c r="E33" s="58"/>
      <c r="F33" s="58">
        <f t="shared" ref="F33" si="45">($J$1 * $J$1 - F32*F32)/(4*$J$1)</f>
        <v>13.891111</v>
      </c>
      <c r="G33" s="58"/>
    </row>
    <row r="35" spans="1:8" x14ac:dyDescent="0.3">
      <c r="A35" s="57" t="s">
        <v>20</v>
      </c>
      <c r="B35" s="57"/>
      <c r="C35" s="9" t="s">
        <v>21</v>
      </c>
      <c r="D35" s="9" t="s">
        <v>33</v>
      </c>
      <c r="E35" s="9">
        <v>6</v>
      </c>
    </row>
    <row r="36" spans="1:8" x14ac:dyDescent="0.3">
      <c r="A36" s="9" t="s">
        <v>30</v>
      </c>
      <c r="B36" s="9"/>
      <c r="C36" s="9"/>
      <c r="D36" s="9" t="s">
        <v>23</v>
      </c>
      <c r="E36" s="9">
        <f>B15</f>
        <v>0</v>
      </c>
    </row>
    <row r="38" spans="1:8" x14ac:dyDescent="0.3">
      <c r="A38" s="57" t="s">
        <v>22</v>
      </c>
      <c r="B38" s="57"/>
      <c r="C38" s="11"/>
      <c r="D38" s="57" t="s">
        <v>26</v>
      </c>
      <c r="E38" s="57"/>
      <c r="F38" s="11"/>
      <c r="G38" s="57" t="s">
        <v>27</v>
      </c>
      <c r="H38" s="57"/>
    </row>
    <row r="39" spans="1:8" x14ac:dyDescent="0.3">
      <c r="A39" s="9" t="s">
        <v>34</v>
      </c>
      <c r="B39" s="9">
        <f>B33</f>
        <v>18.619324000000002</v>
      </c>
      <c r="C39" s="11"/>
      <c r="D39" s="9" t="s">
        <v>31</v>
      </c>
      <c r="E39" s="9">
        <f>D33</f>
        <v>14.881238999999999</v>
      </c>
      <c r="F39" s="11"/>
      <c r="G39" s="9" t="s">
        <v>32</v>
      </c>
      <c r="H39" s="9">
        <f>F33</f>
        <v>13.891111</v>
      </c>
    </row>
    <row r="40" spans="1:8" x14ac:dyDescent="0.3">
      <c r="A40" s="9" t="s">
        <v>25</v>
      </c>
      <c r="B40" s="9">
        <f>((B39)-($E$36))/(1-($E$35 * $E$36))</f>
        <v>18.619324000000002</v>
      </c>
      <c r="C40" s="11"/>
      <c r="D40" s="9" t="s">
        <v>29</v>
      </c>
      <c r="E40" s="9">
        <f>((E39)-($E$36))/(1-($E$35 * $E$36))</f>
        <v>14.881238999999999</v>
      </c>
      <c r="F40" s="11"/>
      <c r="G40" s="9" t="s">
        <v>28</v>
      </c>
      <c r="H40" s="9">
        <f>((H39)-($E$36))/(1-($E$35 * $E$36))</f>
        <v>13.891111</v>
      </c>
    </row>
    <row r="41" spans="1:8" x14ac:dyDescent="0.3">
      <c r="A41" s="19" t="s">
        <v>35</v>
      </c>
      <c r="B41">
        <f>1/B40</f>
        <v>5.3707642661999969E-2</v>
      </c>
      <c r="E41">
        <f>1/E40</f>
        <v>6.7198705699169275E-2</v>
      </c>
      <c r="H41">
        <f>1/H40</f>
        <v>7.1988482418720856E-2</v>
      </c>
    </row>
  </sheetData>
  <mergeCells count="28">
    <mergeCell ref="AB1:AC1"/>
    <mergeCell ref="AE1:AF1"/>
    <mergeCell ref="AG1:AH1"/>
    <mergeCell ref="AI1:AJ1"/>
    <mergeCell ref="Q1:R1"/>
    <mergeCell ref="S1:T1"/>
    <mergeCell ref="U1:V1"/>
    <mergeCell ref="X1:Y1"/>
    <mergeCell ref="Z1:AA1"/>
    <mergeCell ref="B1:C1"/>
    <mergeCell ref="D1:E1"/>
    <mergeCell ref="F1:G1"/>
    <mergeCell ref="B21:C21"/>
    <mergeCell ref="D21:E21"/>
    <mergeCell ref="F21:G21"/>
    <mergeCell ref="D19:E19"/>
    <mergeCell ref="F19:G19"/>
    <mergeCell ref="B19:C19"/>
    <mergeCell ref="A35:B35"/>
    <mergeCell ref="A38:B38"/>
    <mergeCell ref="D38:E38"/>
    <mergeCell ref="G38:H38"/>
    <mergeCell ref="B32:C32"/>
    <mergeCell ref="B33:C33"/>
    <mergeCell ref="D32:E32"/>
    <mergeCell ref="D33:E33"/>
    <mergeCell ref="F32:G32"/>
    <mergeCell ref="F33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G1" workbookViewId="0">
      <selection activeCell="K16" sqref="K16:R21"/>
    </sheetView>
  </sheetViews>
  <sheetFormatPr defaultRowHeight="14.4" x14ac:dyDescent="0.3"/>
  <cols>
    <col min="1" max="1" width="13.33203125" customWidth="1"/>
    <col min="2" max="2" width="8.88671875" customWidth="1"/>
    <col min="3" max="3" width="16.88671875" customWidth="1"/>
    <col min="6" max="6" width="22.44140625" bestFit="1" customWidth="1"/>
    <col min="7" max="7" width="10.44140625" bestFit="1" customWidth="1"/>
    <col min="9" max="9" width="12.44140625" bestFit="1" customWidth="1"/>
    <col min="11" max="11" width="11.77734375" customWidth="1"/>
    <col min="13" max="13" width="12.44140625" customWidth="1"/>
    <col min="17" max="17" width="8.88671875" customWidth="1"/>
    <col min="18" max="18" width="21.77734375" bestFit="1" customWidth="1"/>
  </cols>
  <sheetData>
    <row r="1" spans="1:18" x14ac:dyDescent="0.3">
      <c r="D1" s="62"/>
      <c r="E1" s="62"/>
      <c r="F1" s="38"/>
      <c r="G1" s="20"/>
    </row>
    <row r="2" spans="1:18" x14ac:dyDescent="0.3">
      <c r="F2" s="11"/>
      <c r="G2" s="11"/>
      <c r="K2" s="5" t="s">
        <v>81</v>
      </c>
      <c r="L2" s="5" t="s">
        <v>60</v>
      </c>
      <c r="M2" s="5">
        <v>14.45344375</v>
      </c>
      <c r="N2" s="5"/>
      <c r="O2" s="5">
        <f>(M2 * (M4 - M2))/((M2-M3)*(M2-M3))*M5</f>
        <v>-9.2494856985904206E-2</v>
      </c>
      <c r="P2" s="5">
        <f>-O2</f>
        <v>9.2494856985904206E-2</v>
      </c>
      <c r="Q2" s="5"/>
      <c r="R2" s="65">
        <f>SUM(O3,P2,O4)</f>
        <v>0.20393693537794561</v>
      </c>
    </row>
    <row r="3" spans="1:18" x14ac:dyDescent="0.3">
      <c r="D3" s="22"/>
      <c r="E3" s="22"/>
      <c r="F3" s="22"/>
      <c r="G3" s="22"/>
      <c r="K3" s="5"/>
      <c r="L3" s="5" t="s">
        <v>61</v>
      </c>
      <c r="M3" s="5">
        <v>9.73924375</v>
      </c>
      <c r="N3" s="5"/>
      <c r="O3" s="5">
        <f>M2/(M2-M3)*M7</f>
        <v>6.131875503797039E-3</v>
      </c>
      <c r="P3" s="5"/>
      <c r="Q3" s="5"/>
      <c r="R3" s="5"/>
    </row>
    <row r="4" spans="1:18" x14ac:dyDescent="0.3">
      <c r="B4" t="s">
        <v>14</v>
      </c>
      <c r="C4">
        <v>100</v>
      </c>
      <c r="D4" s="22"/>
      <c r="E4" s="22"/>
      <c r="F4" s="22"/>
      <c r="G4" s="22"/>
      <c r="K4" s="5"/>
      <c r="L4" s="5" t="s">
        <v>33</v>
      </c>
      <c r="M4" s="5">
        <v>6</v>
      </c>
      <c r="N4" s="5"/>
      <c r="O4" s="5">
        <f>(M3*(M3-M4))/((M2-M3)*(M2-M3)) * M6</f>
        <v>0.10531020288824436</v>
      </c>
      <c r="P4" s="5"/>
      <c r="Q4" s="5"/>
      <c r="R4" s="5"/>
    </row>
    <row r="5" spans="1:18" x14ac:dyDescent="0.3">
      <c r="D5" s="22"/>
      <c r="E5" s="22"/>
      <c r="F5" s="22"/>
      <c r="G5" s="22"/>
      <c r="K5" s="5"/>
      <c r="L5" s="24" t="s">
        <v>63</v>
      </c>
      <c r="M5" s="5">
        <v>1.6823973999999998E-2</v>
      </c>
      <c r="N5" s="5"/>
      <c r="O5" s="5"/>
      <c r="P5" s="5"/>
      <c r="Q5" s="5"/>
      <c r="R5" s="5"/>
    </row>
    <row r="6" spans="1:18" x14ac:dyDescent="0.3">
      <c r="D6" s="22"/>
      <c r="E6" s="22"/>
      <c r="F6" s="22"/>
      <c r="G6" s="22"/>
      <c r="K6" s="5"/>
      <c r="L6" s="24" t="s">
        <v>62</v>
      </c>
      <c r="M6" s="63">
        <v>6.4265433999999996E-2</v>
      </c>
      <c r="N6" s="4"/>
      <c r="O6" s="5"/>
      <c r="P6" s="5"/>
      <c r="Q6" s="5"/>
      <c r="R6" s="5"/>
    </row>
    <row r="7" spans="1:18" x14ac:dyDescent="0.3">
      <c r="D7" s="22"/>
      <c r="E7" s="22"/>
      <c r="F7" s="22"/>
      <c r="G7" s="22"/>
      <c r="K7" s="5"/>
      <c r="L7" s="24" t="s">
        <v>64</v>
      </c>
      <c r="M7" s="64">
        <v>2E-3</v>
      </c>
      <c r="N7" s="4"/>
      <c r="O7" s="5"/>
      <c r="P7" s="5"/>
      <c r="Q7" s="5"/>
      <c r="R7" s="5"/>
    </row>
    <row r="8" spans="1:18" x14ac:dyDescent="0.3">
      <c r="B8" t="s">
        <v>41</v>
      </c>
      <c r="L8" s="11"/>
      <c r="M8" s="22"/>
      <c r="N8" s="22"/>
      <c r="O8" s="11"/>
    </row>
    <row r="9" spans="1:18" x14ac:dyDescent="0.3">
      <c r="B9" s="58" t="s">
        <v>44</v>
      </c>
      <c r="C9" s="58"/>
      <c r="D9" s="58"/>
      <c r="E9" s="58"/>
      <c r="F9" s="58"/>
      <c r="G9" s="58"/>
      <c r="H9" s="58"/>
      <c r="I9" s="58"/>
      <c r="K9" s="5" t="s">
        <v>82</v>
      </c>
      <c r="L9" s="5" t="s">
        <v>60</v>
      </c>
      <c r="M9" s="5">
        <v>11.626315</v>
      </c>
      <c r="N9" s="5"/>
      <c r="O9" s="5">
        <f>(M9 * (M11 - M9))/((M9-M10)*(M9-M10))*M12</f>
        <v>-0.30904243786906671</v>
      </c>
      <c r="P9" s="5">
        <f>-O9</f>
        <v>0.30904243786906671</v>
      </c>
      <c r="Q9" s="5"/>
      <c r="R9" s="65">
        <f>SUM(O10,P9,O11)</f>
        <v>1.0598175057076948</v>
      </c>
    </row>
    <row r="10" spans="1:18" x14ac:dyDescent="0.3">
      <c r="A10" t="s">
        <v>33</v>
      </c>
      <c r="B10" s="5" t="s">
        <v>19</v>
      </c>
      <c r="C10" s="5" t="s">
        <v>16</v>
      </c>
      <c r="D10" s="5" t="s">
        <v>36</v>
      </c>
      <c r="E10" s="24" t="s">
        <v>37</v>
      </c>
      <c r="F10" s="24" t="s">
        <v>38</v>
      </c>
      <c r="G10" s="5" t="s">
        <v>40</v>
      </c>
      <c r="H10" s="5" t="s">
        <v>39</v>
      </c>
      <c r="I10" s="5" t="s">
        <v>40</v>
      </c>
      <c r="K10" s="5"/>
      <c r="L10" s="5" t="s">
        <v>61</v>
      </c>
      <c r="M10" s="5">
        <v>9.73924375</v>
      </c>
      <c r="N10" s="5"/>
      <c r="O10" s="5">
        <f>M9/(M9-M10)*M14</f>
        <v>1.2322073159664746E-2</v>
      </c>
      <c r="P10" s="5"/>
      <c r="Q10" s="5"/>
      <c r="R10" s="5"/>
    </row>
    <row r="11" spans="1:18" x14ac:dyDescent="0.3">
      <c r="A11" t="s">
        <v>33</v>
      </c>
      <c r="B11" s="4">
        <v>24.85</v>
      </c>
      <c r="C11" s="4">
        <f>$C$4-B11</f>
        <v>75.150000000000006</v>
      </c>
      <c r="D11" s="4">
        <v>89.9</v>
      </c>
      <c r="E11" s="4">
        <f>$C$4-D11</f>
        <v>10.099999999999994</v>
      </c>
      <c r="F11" s="4">
        <f>C11-B11</f>
        <v>50.300000000000004</v>
      </c>
      <c r="G11" s="4">
        <f>($C$4*$C$4-F11*F11)/(4*$C$4)</f>
        <v>18.674775</v>
      </c>
      <c r="H11" s="4">
        <f>C11-E11</f>
        <v>65.050000000000011</v>
      </c>
      <c r="I11" s="4">
        <f>($C$4*$C$4-H11*H11)/(4*$C$4)</f>
        <v>14.421243749999997</v>
      </c>
      <c r="K11" s="5"/>
      <c r="L11" s="5" t="s">
        <v>33</v>
      </c>
      <c r="M11" s="5">
        <v>6</v>
      </c>
      <c r="N11" s="5"/>
      <c r="O11" s="5">
        <f>(M10*(M10-M11))/((M9-M10)*(M9-M10)) * M13</f>
        <v>0.7384529946789633</v>
      </c>
      <c r="P11" s="5"/>
      <c r="Q11" s="5"/>
      <c r="R11" s="5"/>
    </row>
    <row r="12" spans="1:18" x14ac:dyDescent="0.3">
      <c r="A12" t="s">
        <v>33</v>
      </c>
      <c r="B12" s="4">
        <v>24.6</v>
      </c>
      <c r="C12" s="4">
        <f t="shared" ref="C12:C15" si="0">$C$4-B12</f>
        <v>75.400000000000006</v>
      </c>
      <c r="D12" s="4">
        <v>90</v>
      </c>
      <c r="E12" s="4">
        <f t="shared" ref="E12:E15" si="1">$C$4-D12</f>
        <v>10</v>
      </c>
      <c r="F12" s="4">
        <f t="shared" ref="F12:F15" si="2">C12-B12</f>
        <v>50.800000000000004</v>
      </c>
      <c r="G12" s="4">
        <f>($C$4*$C$4-F12*F12)/(4*$C$4)</f>
        <v>18.548400000000001</v>
      </c>
      <c r="H12" s="4">
        <f>C12-E12</f>
        <v>65.400000000000006</v>
      </c>
      <c r="I12" s="4">
        <f t="shared" ref="I12:I15" si="3">($C$4*$C$4-H12*H12)/(4*$C$4)</f>
        <v>14.307099999999998</v>
      </c>
      <c r="K12" s="5"/>
      <c r="L12" s="24" t="s">
        <v>63</v>
      </c>
      <c r="M12" s="5">
        <v>1.6823973999999998E-2</v>
      </c>
      <c r="N12" s="5"/>
      <c r="O12" s="5"/>
      <c r="P12" s="5"/>
      <c r="Q12" s="5"/>
      <c r="R12" s="5"/>
    </row>
    <row r="13" spans="1:18" x14ac:dyDescent="0.3">
      <c r="A13" t="s">
        <v>33</v>
      </c>
      <c r="B13" s="4">
        <v>24.85</v>
      </c>
      <c r="C13" s="4">
        <f t="shared" si="0"/>
        <v>75.150000000000006</v>
      </c>
      <c r="D13" s="4">
        <v>89.35</v>
      </c>
      <c r="E13" s="4">
        <f t="shared" si="1"/>
        <v>10.650000000000006</v>
      </c>
      <c r="F13" s="4">
        <f t="shared" si="2"/>
        <v>50.300000000000004</v>
      </c>
      <c r="G13" s="4">
        <f>($C$4*$C$4-F13*F13)/(4*$C$4)</f>
        <v>18.674775</v>
      </c>
      <c r="H13" s="4">
        <f>C13-E13</f>
        <v>64.5</v>
      </c>
      <c r="I13" s="4">
        <f t="shared" si="3"/>
        <v>14.599375</v>
      </c>
      <c r="K13" s="5"/>
      <c r="L13" s="24" t="s">
        <v>62</v>
      </c>
      <c r="M13" s="63">
        <v>7.2208852000000004E-2</v>
      </c>
      <c r="N13" s="4"/>
      <c r="O13" s="5"/>
      <c r="P13" s="5"/>
      <c r="Q13" s="5"/>
      <c r="R13" s="5"/>
    </row>
    <row r="14" spans="1:18" x14ac:dyDescent="0.3">
      <c r="A14" t="s">
        <v>33</v>
      </c>
      <c r="B14" s="4">
        <v>24.6</v>
      </c>
      <c r="C14" s="4">
        <f t="shared" si="0"/>
        <v>75.400000000000006</v>
      </c>
      <c r="D14" s="4">
        <v>89.8</v>
      </c>
      <c r="E14" s="4">
        <f t="shared" si="1"/>
        <v>10.200000000000003</v>
      </c>
      <c r="F14" s="4">
        <f t="shared" si="2"/>
        <v>50.800000000000004</v>
      </c>
      <c r="G14" s="4">
        <f>($C$4*$C$4-F14*F14)/(4*$C$4)</f>
        <v>18.548400000000001</v>
      </c>
      <c r="H14" s="4">
        <f>C14-E14</f>
        <v>65.2</v>
      </c>
      <c r="I14" s="4">
        <f t="shared" si="3"/>
        <v>14.372400000000001</v>
      </c>
      <c r="K14" s="5"/>
      <c r="L14" s="24" t="s">
        <v>64</v>
      </c>
      <c r="M14" s="64">
        <v>2E-3</v>
      </c>
      <c r="N14" s="4"/>
      <c r="O14" s="5"/>
      <c r="P14" s="5"/>
      <c r="Q14" s="5"/>
      <c r="R14" s="5"/>
    </row>
    <row r="15" spans="1:18" x14ac:dyDescent="0.3">
      <c r="A15" t="s">
        <v>33</v>
      </c>
      <c r="B15" s="4">
        <v>24.8</v>
      </c>
      <c r="C15" s="21">
        <f t="shared" si="0"/>
        <v>75.2</v>
      </c>
      <c r="D15" s="4">
        <v>89.4</v>
      </c>
      <c r="E15" s="4">
        <f t="shared" si="1"/>
        <v>10.599999999999994</v>
      </c>
      <c r="F15" s="4">
        <f t="shared" si="2"/>
        <v>50.400000000000006</v>
      </c>
      <c r="G15" s="4">
        <f>($C$4*$C$4-F15*F15)/(4*$C$4)</f>
        <v>18.6496</v>
      </c>
      <c r="H15" s="4">
        <f>C15-E15</f>
        <v>64.600000000000009</v>
      </c>
      <c r="I15" s="4">
        <f t="shared" si="3"/>
        <v>14.567099999999998</v>
      </c>
    </row>
    <row r="16" spans="1:18" x14ac:dyDescent="0.3">
      <c r="A16" t="s">
        <v>42</v>
      </c>
      <c r="B16" s="5"/>
      <c r="D16" s="5"/>
      <c r="E16" s="27"/>
      <c r="F16" s="5"/>
      <c r="G16" s="5">
        <f>AVERAGEA(G11:G15)</f>
        <v>18.619189999999996</v>
      </c>
      <c r="H16" s="26"/>
      <c r="I16" s="5">
        <f>AVERAGEA(I11:I15)</f>
        <v>14.45344375</v>
      </c>
      <c r="K16" s="5" t="s">
        <v>83</v>
      </c>
      <c r="L16" s="5" t="s">
        <v>60</v>
      </c>
      <c r="M16" s="5">
        <v>10.903728750000001</v>
      </c>
      <c r="N16" s="5"/>
      <c r="O16" s="5">
        <f>(M16 * (M18 - M16))/((M16-M17)*(M16-M17))*M19</f>
        <v>-0.66337984030510411</v>
      </c>
      <c r="P16" s="5">
        <f>-O16</f>
        <v>0.66337984030510411</v>
      </c>
      <c r="Q16" s="5"/>
      <c r="R16" s="65">
        <f>SUM(O17,P16,O18)</f>
        <v>2.6730498469568968</v>
      </c>
    </row>
    <row r="17" spans="1:18" x14ac:dyDescent="0.3">
      <c r="A17" s="25" t="s">
        <v>43</v>
      </c>
      <c r="B17" s="5"/>
      <c r="D17" s="5"/>
      <c r="E17" s="27"/>
      <c r="F17" s="5"/>
      <c r="G17" s="5">
        <f t="shared" ref="G17:I17" si="4">STDEV(G11:G15)</f>
        <v>6.5434319645732916E-2</v>
      </c>
      <c r="H17" s="23"/>
      <c r="I17" s="5">
        <f t="shared" si="4"/>
        <v>0.12573294662572554</v>
      </c>
      <c r="K17" s="5"/>
      <c r="L17" s="5" t="s">
        <v>61</v>
      </c>
      <c r="M17" s="5">
        <v>9.73924375</v>
      </c>
      <c r="N17" s="5"/>
      <c r="O17" s="5">
        <f>M16/(M16-M17)*M21</f>
        <v>1.8727126154480297E-2</v>
      </c>
      <c r="P17" s="5"/>
      <c r="Q17" s="5"/>
      <c r="R17" s="5"/>
    </row>
    <row r="18" spans="1:18" x14ac:dyDescent="0.3">
      <c r="I18">
        <f>I17/SQRT(5)</f>
        <v>5.6229483133295018E-2</v>
      </c>
      <c r="K18" s="5"/>
      <c r="L18" s="5" t="s">
        <v>33</v>
      </c>
      <c r="M18" s="5">
        <v>6</v>
      </c>
      <c r="N18" s="5"/>
      <c r="O18" s="5">
        <f>(M17*(M17-M18))/((M16-M17)*(M16-M17)) * M20</f>
        <v>1.9909428804973124</v>
      </c>
      <c r="P18" s="5"/>
      <c r="Q18" s="5"/>
      <c r="R18" s="5"/>
    </row>
    <row r="19" spans="1:18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5"/>
      <c r="L19" s="24" t="s">
        <v>63</v>
      </c>
      <c r="M19" s="5">
        <v>1.6823973999999998E-2</v>
      </c>
      <c r="N19" s="5"/>
      <c r="O19" s="5"/>
      <c r="P19" s="5"/>
      <c r="Q19" s="5"/>
      <c r="R19" s="5"/>
    </row>
    <row r="20" spans="1:18" x14ac:dyDescent="0.3">
      <c r="A20" s="11"/>
      <c r="B20" s="22" t="s">
        <v>44</v>
      </c>
      <c r="C20" s="22">
        <f>I16</f>
        <v>14.45344375</v>
      </c>
      <c r="D20" s="11"/>
      <c r="E20" s="11"/>
      <c r="F20" s="22"/>
      <c r="G20" s="29"/>
      <c r="H20" s="29"/>
      <c r="I20" s="29"/>
      <c r="J20" s="11"/>
      <c r="K20" s="5"/>
      <c r="L20" s="24" t="s">
        <v>62</v>
      </c>
      <c r="M20" s="63">
        <v>7.4134026000000006E-2</v>
      </c>
      <c r="N20" s="4"/>
      <c r="O20" s="5"/>
      <c r="P20" s="5"/>
      <c r="Q20" s="5"/>
      <c r="R20" s="5"/>
    </row>
    <row r="21" spans="1:18" x14ac:dyDescent="0.3">
      <c r="A21" s="11"/>
      <c r="B21" s="11" t="s">
        <v>0</v>
      </c>
      <c r="C21">
        <v>9.7383929166699996</v>
      </c>
      <c r="D21" s="11"/>
      <c r="E21" s="11">
        <f>((1/C20) - (1/C21))/(1-C22*(1/C21))</f>
        <v>-8.7262991576367979E-2</v>
      </c>
      <c r="F21" s="42">
        <f>1/E21</f>
        <v>-11.459611708645728</v>
      </c>
      <c r="G21" s="11"/>
      <c r="H21" s="11"/>
      <c r="I21" s="11"/>
      <c r="J21" s="11"/>
      <c r="K21" s="5"/>
      <c r="L21" s="24" t="s">
        <v>64</v>
      </c>
      <c r="M21" s="64">
        <v>2E-3</v>
      </c>
      <c r="N21" s="4"/>
      <c r="O21" s="5"/>
      <c r="P21" s="5"/>
      <c r="Q21" s="5"/>
      <c r="R21" s="5"/>
    </row>
    <row r="22" spans="1:18" x14ac:dyDescent="0.3">
      <c r="A22" s="30"/>
      <c r="B22" s="11" t="s">
        <v>33</v>
      </c>
      <c r="C22" s="11">
        <v>6</v>
      </c>
      <c r="D22" s="11"/>
      <c r="E22" s="11">
        <f>(C20*(C22-C21))/(C20-C21)</f>
        <v>-11.459611708645729</v>
      </c>
      <c r="F22" s="11"/>
      <c r="G22" s="11"/>
      <c r="H22" s="28"/>
      <c r="I22" s="11"/>
      <c r="J22" s="11"/>
      <c r="K22" s="11"/>
      <c r="L22" s="11"/>
      <c r="M22" s="11"/>
    </row>
    <row r="23" spans="1:18" x14ac:dyDescent="0.3">
      <c r="A23" s="11"/>
      <c r="B23" s="22"/>
      <c r="C23" s="22"/>
      <c r="D23" s="22"/>
      <c r="E23" s="22"/>
      <c r="F23" s="22"/>
      <c r="G23" s="11"/>
      <c r="H23" s="22"/>
      <c r="I23" s="11"/>
      <c r="J23" s="11"/>
      <c r="K23" s="11"/>
      <c r="L23" s="11"/>
      <c r="M23" s="11"/>
    </row>
    <row r="24" spans="1:18" x14ac:dyDescent="0.3">
      <c r="A24" s="11"/>
      <c r="B24" s="22"/>
      <c r="C24" s="22"/>
      <c r="D24" s="22"/>
      <c r="E24" s="22"/>
      <c r="F24" s="22"/>
      <c r="G24" s="11"/>
      <c r="H24" s="22"/>
      <c r="I24" s="11"/>
      <c r="J24" s="11"/>
      <c r="K24" s="11"/>
      <c r="L24" s="11"/>
      <c r="M24" s="11"/>
    </row>
    <row r="25" spans="1:18" x14ac:dyDescent="0.3">
      <c r="A25" s="11"/>
      <c r="B25" s="22"/>
      <c r="C25" s="22"/>
      <c r="D25" s="22"/>
      <c r="E25" s="22"/>
      <c r="F25" s="22"/>
      <c r="G25" s="11"/>
      <c r="H25" s="22"/>
      <c r="I25" s="11"/>
      <c r="J25" s="11"/>
      <c r="K25" s="11"/>
      <c r="L25" s="11"/>
      <c r="M25" s="11"/>
    </row>
    <row r="26" spans="1:18" x14ac:dyDescent="0.3">
      <c r="A26" s="11"/>
      <c r="B26" s="22"/>
      <c r="C26" s="22"/>
      <c r="D26" s="22"/>
      <c r="E26" s="11"/>
      <c r="F26" s="11"/>
      <c r="G26" s="11"/>
      <c r="H26" s="11"/>
      <c r="I26" s="11"/>
      <c r="J26" s="11"/>
      <c r="K26" s="11"/>
      <c r="L26" s="11"/>
      <c r="M26" s="11"/>
    </row>
    <row r="27" spans="1:18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22"/>
      <c r="L27" s="22"/>
      <c r="M27" s="11"/>
    </row>
    <row r="28" spans="1:18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22"/>
      <c r="L28" s="22"/>
      <c r="M28" s="11"/>
    </row>
    <row r="29" spans="1:18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22"/>
      <c r="L29" s="22"/>
      <c r="M29" s="11"/>
    </row>
    <row r="30" spans="1:18" x14ac:dyDescent="0.3">
      <c r="B30" s="11"/>
      <c r="C30" s="11"/>
      <c r="D30" s="11"/>
      <c r="E30" s="11"/>
      <c r="F30" s="11"/>
      <c r="G30" s="11"/>
      <c r="H30" s="11"/>
      <c r="I30" s="11"/>
      <c r="K30" s="22"/>
      <c r="L30" s="22"/>
    </row>
    <row r="31" spans="1:18" x14ac:dyDescent="0.3">
      <c r="B31" s="58" t="s">
        <v>45</v>
      </c>
      <c r="C31" s="58"/>
      <c r="D31" s="58"/>
      <c r="E31" s="58"/>
      <c r="F31" s="58"/>
      <c r="G31" s="58"/>
      <c r="H31" s="58"/>
      <c r="I31" s="58"/>
      <c r="K31" s="22"/>
      <c r="L31" s="22"/>
    </row>
    <row r="32" spans="1:18" x14ac:dyDescent="0.3">
      <c r="A32" t="s">
        <v>33</v>
      </c>
      <c r="B32" s="5" t="s">
        <v>19</v>
      </c>
      <c r="C32" s="5" t="s">
        <v>16</v>
      </c>
      <c r="D32" s="5" t="s">
        <v>36</v>
      </c>
      <c r="E32" s="24" t="s">
        <v>37</v>
      </c>
      <c r="F32" s="24" t="s">
        <v>38</v>
      </c>
      <c r="G32" s="5" t="s">
        <v>40</v>
      </c>
      <c r="H32" s="5" t="s">
        <v>39</v>
      </c>
      <c r="I32" s="5" t="s">
        <v>40</v>
      </c>
    </row>
    <row r="33" spans="1:9" x14ac:dyDescent="0.3">
      <c r="A33" t="s">
        <v>33</v>
      </c>
      <c r="B33" s="4">
        <v>18.2</v>
      </c>
      <c r="C33" s="4">
        <f>$C$4-B33</f>
        <v>81.8</v>
      </c>
      <c r="D33" s="4">
        <v>91.45</v>
      </c>
      <c r="E33" s="4">
        <f>$C$4-D33</f>
        <v>8.5499999999999972</v>
      </c>
      <c r="F33" s="4">
        <f>C33-B33</f>
        <v>63.599999999999994</v>
      </c>
      <c r="G33" s="4">
        <f>($C$4*$C$4-F33*F33)/(4*$C$4)</f>
        <v>14.887600000000003</v>
      </c>
      <c r="H33" s="4">
        <f>C33-E33</f>
        <v>73.25</v>
      </c>
      <c r="I33" s="4">
        <f>($C$4*$C$4-H33*H33)/(4*$C$4)</f>
        <v>11.58609375</v>
      </c>
    </row>
    <row r="34" spans="1:9" x14ac:dyDescent="0.3">
      <c r="A34" t="s">
        <v>33</v>
      </c>
      <c r="B34" s="4">
        <v>18.350000000000001</v>
      </c>
      <c r="C34" s="4">
        <f t="shared" ref="C34:C37" si="5">$C$4-B34</f>
        <v>81.650000000000006</v>
      </c>
      <c r="D34" s="4">
        <v>91.4</v>
      </c>
      <c r="E34" s="4">
        <f t="shared" ref="E34:E37" si="6">$C$4-D34</f>
        <v>8.5999999999999943</v>
      </c>
      <c r="F34" s="4">
        <f t="shared" ref="F34:F37" si="7">C34-B34</f>
        <v>63.300000000000004</v>
      </c>
      <c r="G34" s="4">
        <f>($C$4*$C$4-F34*F34)/(4*$C$4)</f>
        <v>14.982774999999998</v>
      </c>
      <c r="H34" s="4">
        <f>C34-E34</f>
        <v>73.050000000000011</v>
      </c>
      <c r="I34" s="4">
        <f t="shared" ref="I34:I37" si="8">($C$4*$C$4-H34*H34)/(4*$C$4)</f>
        <v>11.659243749999996</v>
      </c>
    </row>
    <row r="35" spans="1:9" x14ac:dyDescent="0.3">
      <c r="A35" t="s">
        <v>33</v>
      </c>
      <c r="B35" s="4">
        <v>18.100000000000001</v>
      </c>
      <c r="C35" s="4">
        <f t="shared" si="5"/>
        <v>81.900000000000006</v>
      </c>
      <c r="D35" s="4">
        <v>91.35</v>
      </c>
      <c r="E35" s="4">
        <f t="shared" si="6"/>
        <v>8.6500000000000057</v>
      </c>
      <c r="F35" s="4">
        <f t="shared" si="7"/>
        <v>63.800000000000004</v>
      </c>
      <c r="G35" s="4">
        <f>($C$4*$C$4-F35*F35)/(4*$C$4)</f>
        <v>14.823899999999998</v>
      </c>
      <c r="H35" s="4">
        <f>C35-E35</f>
        <v>73.25</v>
      </c>
      <c r="I35" s="4">
        <f t="shared" si="8"/>
        <v>11.58609375</v>
      </c>
    </row>
    <row r="36" spans="1:9" x14ac:dyDescent="0.3">
      <c r="A36" t="s">
        <v>33</v>
      </c>
      <c r="B36" s="4">
        <v>18.149999999999999</v>
      </c>
      <c r="C36" s="4">
        <f t="shared" si="5"/>
        <v>81.849999999999994</v>
      </c>
      <c r="D36" s="4">
        <v>91.35</v>
      </c>
      <c r="E36" s="4">
        <f t="shared" si="6"/>
        <v>8.6500000000000057</v>
      </c>
      <c r="F36" s="4">
        <f t="shared" si="7"/>
        <v>63.699999999999996</v>
      </c>
      <c r="G36" s="4">
        <f>($C$4*$C$4-F36*F36)/(4*$C$4)</f>
        <v>14.855775000000001</v>
      </c>
      <c r="H36" s="4">
        <f>C36-E36</f>
        <v>73.199999999999989</v>
      </c>
      <c r="I36" s="4">
        <f t="shared" si="8"/>
        <v>11.604400000000005</v>
      </c>
    </row>
    <row r="37" spans="1:9" x14ac:dyDescent="0.3">
      <c r="A37" t="s">
        <v>33</v>
      </c>
      <c r="B37" s="4">
        <v>18.149999999999999</v>
      </c>
      <c r="C37" s="21">
        <f t="shared" si="5"/>
        <v>81.849999999999994</v>
      </c>
      <c r="D37" s="4">
        <v>91.1</v>
      </c>
      <c r="E37" s="4">
        <f t="shared" si="6"/>
        <v>8.9000000000000057</v>
      </c>
      <c r="F37" s="4">
        <f t="shared" si="7"/>
        <v>63.699999999999996</v>
      </c>
      <c r="G37" s="4">
        <f>($C$4*$C$4-F37*F37)/(4*$C$4)</f>
        <v>14.855775000000001</v>
      </c>
      <c r="H37" s="4">
        <f>C37-E37</f>
        <v>72.949999999999989</v>
      </c>
      <c r="I37" s="4">
        <f t="shared" si="8"/>
        <v>11.695743750000004</v>
      </c>
    </row>
    <row r="38" spans="1:9" x14ac:dyDescent="0.3">
      <c r="A38" t="s">
        <v>42</v>
      </c>
      <c r="B38" s="5"/>
      <c r="D38" s="5"/>
      <c r="E38" s="27"/>
      <c r="F38" s="5"/>
      <c r="G38" s="5">
        <f>AVERAGEA(G33:G37)</f>
        <v>14.881165000000001</v>
      </c>
      <c r="H38" s="26"/>
      <c r="I38" s="5">
        <f>AVERAGEA(I33:I37)</f>
        <v>11.626315000000002</v>
      </c>
    </row>
    <row r="39" spans="1:9" x14ac:dyDescent="0.3">
      <c r="A39" s="25" t="s">
        <v>43</v>
      </c>
      <c r="B39" s="5"/>
      <c r="D39" s="5"/>
      <c r="E39" s="27"/>
      <c r="F39" s="5"/>
      <c r="G39" s="5">
        <f t="shared" ref="G39" si="9">STDEV(G33:G37)</f>
        <v>6.1103571397259124E-2</v>
      </c>
      <c r="H39" s="23"/>
      <c r="I39" s="5">
        <f t="shared" ref="I39" si="10">STDEV(I33:I37)</f>
        <v>4.9041867397281211E-2</v>
      </c>
    </row>
    <row r="42" spans="1:9" x14ac:dyDescent="0.3">
      <c r="B42" s="22" t="s">
        <v>45</v>
      </c>
      <c r="C42" s="22">
        <f>G38</f>
        <v>14.881165000000001</v>
      </c>
      <c r="D42" s="11"/>
      <c r="E42" s="11" t="s">
        <v>47</v>
      </c>
      <c r="F42" s="22" t="s">
        <v>48</v>
      </c>
    </row>
    <row r="43" spans="1:9" x14ac:dyDescent="0.3">
      <c r="B43" s="11" t="s">
        <v>0</v>
      </c>
      <c r="C43" s="11">
        <v>10.015325000000001</v>
      </c>
      <c r="D43" s="11"/>
      <c r="E43" s="11">
        <f>((1/C42) - (1/C43))/(1-C44*(1/C43))</f>
        <v>-8.1432954023138548E-2</v>
      </c>
      <c r="F43" s="11">
        <f>1/E43</f>
        <v>-12.280040826172874</v>
      </c>
    </row>
    <row r="44" spans="1:9" x14ac:dyDescent="0.3">
      <c r="B44" s="11" t="s">
        <v>33</v>
      </c>
      <c r="C44" s="11">
        <v>6</v>
      </c>
      <c r="D44" s="11"/>
      <c r="E44" s="11"/>
      <c r="F44" s="11"/>
    </row>
    <row r="48" spans="1:9" x14ac:dyDescent="0.3">
      <c r="B48" s="58" t="s">
        <v>46</v>
      </c>
      <c r="C48" s="58"/>
      <c r="D48" s="58"/>
      <c r="E48" s="58"/>
      <c r="F48" s="58"/>
      <c r="G48" s="58"/>
      <c r="H48" s="58"/>
      <c r="I48" s="58"/>
    </row>
    <row r="49" spans="1:9" x14ac:dyDescent="0.3">
      <c r="A49" t="s">
        <v>33</v>
      </c>
      <c r="B49" s="5" t="s">
        <v>19</v>
      </c>
      <c r="C49" s="5" t="s">
        <v>16</v>
      </c>
      <c r="D49" s="5" t="s">
        <v>36</v>
      </c>
      <c r="E49" s="24" t="s">
        <v>37</v>
      </c>
      <c r="F49" s="24" t="s">
        <v>38</v>
      </c>
      <c r="G49" s="5" t="s">
        <v>40</v>
      </c>
      <c r="H49" s="5" t="s">
        <v>39</v>
      </c>
      <c r="I49" s="5" t="s">
        <v>40</v>
      </c>
    </row>
    <row r="50" spans="1:9" x14ac:dyDescent="0.3">
      <c r="A50" t="s">
        <v>33</v>
      </c>
      <c r="B50" s="4">
        <v>16.75</v>
      </c>
      <c r="C50" s="4">
        <f>$C$4-B50</f>
        <v>83.25</v>
      </c>
      <c r="D50" s="4">
        <v>91.85</v>
      </c>
      <c r="E50" s="4">
        <f>$C$4-D50</f>
        <v>8.1500000000000057</v>
      </c>
      <c r="F50" s="4">
        <f>C50-B50</f>
        <v>66.5</v>
      </c>
      <c r="G50" s="4">
        <f>($C$4*$C$4-F50*F50)/(4*$C$4)</f>
        <v>13.944375000000001</v>
      </c>
      <c r="H50" s="4">
        <f>C50-E50</f>
        <v>75.099999999999994</v>
      </c>
      <c r="I50" s="4">
        <f>($C$4*$C$4-H50*H50)/(4*$C$4)</f>
        <v>10.899975000000001</v>
      </c>
    </row>
    <row r="51" spans="1:9" x14ac:dyDescent="0.3">
      <c r="A51" t="s">
        <v>33</v>
      </c>
      <c r="B51" s="4">
        <v>16.600000000000001</v>
      </c>
      <c r="C51" s="4">
        <f t="shared" ref="C51:C54" si="11">$C$4-B51</f>
        <v>83.4</v>
      </c>
      <c r="D51" s="4">
        <v>91.65</v>
      </c>
      <c r="E51" s="4">
        <f t="shared" ref="E51:E54" si="12">$C$4-D51</f>
        <v>8.3499999999999943</v>
      </c>
      <c r="F51" s="4">
        <f t="shared" ref="F51:F54" si="13">C51-B51</f>
        <v>66.800000000000011</v>
      </c>
      <c r="G51" s="4">
        <f>($C$4*$C$4-F51*F51)/(4*$C$4)</f>
        <v>13.844399999999997</v>
      </c>
      <c r="H51" s="4">
        <f>C51-E51</f>
        <v>75.050000000000011</v>
      </c>
      <c r="I51" s="4">
        <f t="shared" ref="I51:I54" si="14">($C$4*$C$4-H51*H51)/(4*$C$4)</f>
        <v>10.918743749999997</v>
      </c>
    </row>
    <row r="52" spans="1:9" x14ac:dyDescent="0.3">
      <c r="A52" t="s">
        <v>33</v>
      </c>
      <c r="B52" s="4">
        <v>16.600000000000001</v>
      </c>
      <c r="C52" s="4">
        <f t="shared" si="11"/>
        <v>83.4</v>
      </c>
      <c r="D52" s="4">
        <v>91.7</v>
      </c>
      <c r="E52" s="4">
        <f t="shared" si="12"/>
        <v>8.2999999999999972</v>
      </c>
      <c r="F52" s="4">
        <f t="shared" si="13"/>
        <v>66.800000000000011</v>
      </c>
      <c r="G52" s="4">
        <f>($C$4*$C$4-F52*F52)/(4*$C$4)</f>
        <v>13.844399999999997</v>
      </c>
      <c r="H52" s="4">
        <f>C52-E52</f>
        <v>75.100000000000009</v>
      </c>
      <c r="I52" s="4">
        <f t="shared" si="14"/>
        <v>10.899974999999998</v>
      </c>
    </row>
    <row r="53" spans="1:9" x14ac:dyDescent="0.3">
      <c r="A53" t="s">
        <v>33</v>
      </c>
      <c r="B53" s="4">
        <v>16.7</v>
      </c>
      <c r="C53" s="4">
        <f t="shared" si="11"/>
        <v>83.3</v>
      </c>
      <c r="D53" s="4">
        <v>91.8</v>
      </c>
      <c r="E53" s="4">
        <f t="shared" si="12"/>
        <v>8.2000000000000028</v>
      </c>
      <c r="F53" s="4">
        <f t="shared" si="13"/>
        <v>66.599999999999994</v>
      </c>
      <c r="G53" s="4">
        <f>($C$4*$C$4-F53*F53)/(4*$C$4)</f>
        <v>13.911100000000001</v>
      </c>
      <c r="H53" s="4">
        <f>C53-E53</f>
        <v>75.099999999999994</v>
      </c>
      <c r="I53" s="4">
        <f t="shared" si="14"/>
        <v>10.899975000000001</v>
      </c>
    </row>
    <row r="54" spans="1:9" x14ac:dyDescent="0.3">
      <c r="A54" t="s">
        <v>33</v>
      </c>
      <c r="B54" s="4">
        <v>16.7</v>
      </c>
      <c r="C54" s="21">
        <f t="shared" si="11"/>
        <v>83.3</v>
      </c>
      <c r="D54" s="4">
        <v>91.8</v>
      </c>
      <c r="E54" s="4">
        <f t="shared" si="12"/>
        <v>8.2000000000000028</v>
      </c>
      <c r="F54" s="4">
        <f t="shared" si="13"/>
        <v>66.599999999999994</v>
      </c>
      <c r="G54" s="4">
        <f>($C$4*$C$4-F54*F54)/(4*$C$4)</f>
        <v>13.911100000000001</v>
      </c>
      <c r="H54" s="4">
        <f>C54-E54</f>
        <v>75.099999999999994</v>
      </c>
      <c r="I54" s="4">
        <f t="shared" si="14"/>
        <v>10.899975000000001</v>
      </c>
    </row>
    <row r="55" spans="1:9" x14ac:dyDescent="0.3">
      <c r="A55" t="s">
        <v>42</v>
      </c>
      <c r="B55" s="5"/>
      <c r="D55" s="5"/>
      <c r="E55" s="27"/>
      <c r="F55" s="5"/>
      <c r="G55" s="5">
        <f>AVERAGEA(G50:G54)</f>
        <v>13.891075000000001</v>
      </c>
      <c r="H55" s="26"/>
      <c r="I55" s="5">
        <f>AVERAGEA(I50:I54)</f>
        <v>10.903728749999999</v>
      </c>
    </row>
    <row r="56" spans="1:9" x14ac:dyDescent="0.3">
      <c r="A56" s="25" t="s">
        <v>43</v>
      </c>
      <c r="B56" s="5"/>
      <c r="D56" s="5"/>
      <c r="E56" s="27"/>
      <c r="F56" s="5"/>
      <c r="G56" s="5">
        <f t="shared" ref="G56" si="15">STDEV(G50:G54)</f>
        <v>4.4721366537709903E-2</v>
      </c>
      <c r="H56" s="23"/>
      <c r="I56" s="5">
        <f t="shared" ref="I56" si="16">STDEV(I50:I54)</f>
        <v>8.393640170538447E-3</v>
      </c>
    </row>
    <row r="59" spans="1:9" x14ac:dyDescent="0.3">
      <c r="B59" s="22" t="s">
        <v>46</v>
      </c>
      <c r="C59" s="22">
        <f>G55</f>
        <v>13.891075000000001</v>
      </c>
      <c r="D59" s="11"/>
      <c r="E59" s="11"/>
      <c r="F59" s="22"/>
    </row>
    <row r="60" spans="1:9" x14ac:dyDescent="0.3">
      <c r="B60" s="11" t="s">
        <v>0</v>
      </c>
      <c r="C60" s="11">
        <v>10.015325000000001</v>
      </c>
      <c r="D60" s="11"/>
      <c r="E60" s="11">
        <f>((1/C59) - (1/C60))/(1-C61*(1/C60))</f>
        <v>-6.9486301560348865E-2</v>
      </c>
      <c r="F60" s="11">
        <f>1/E60</f>
        <v>-14.391325736792881</v>
      </c>
    </row>
    <row r="61" spans="1:9" x14ac:dyDescent="0.3">
      <c r="B61" s="11" t="s">
        <v>33</v>
      </c>
      <c r="C61" s="11">
        <v>6</v>
      </c>
      <c r="D61" s="11"/>
      <c r="E61" s="11"/>
      <c r="F61" s="11"/>
    </row>
  </sheetData>
  <mergeCells count="4">
    <mergeCell ref="B9:I9"/>
    <mergeCell ref="D1:E1"/>
    <mergeCell ref="B31:I31"/>
    <mergeCell ref="B48:I4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A16" sqref="A16"/>
    </sheetView>
  </sheetViews>
  <sheetFormatPr defaultRowHeight="14.4" x14ac:dyDescent="0.3"/>
  <cols>
    <col min="1" max="1" width="18.21875" customWidth="1"/>
    <col min="2" max="7" width="19.6640625" bestFit="1" customWidth="1"/>
    <col min="9" max="14" width="18.77734375" customWidth="1"/>
    <col min="16" max="16" width="11.44140625" bestFit="1" customWidth="1"/>
    <col min="17" max="17" width="12.33203125" customWidth="1"/>
    <col min="18" max="18" width="11.88671875" customWidth="1"/>
    <col min="19" max="19" width="11.77734375" customWidth="1"/>
    <col min="20" max="20" width="13.109375" customWidth="1"/>
    <col min="21" max="22" width="10.88671875" customWidth="1"/>
    <col min="23" max="28" width="18.77734375" customWidth="1"/>
    <col min="30" max="32" width="18.77734375" customWidth="1"/>
    <col min="34" max="34" width="12.88671875" customWidth="1"/>
    <col min="35" max="35" width="14.21875" customWidth="1"/>
    <col min="36" max="36" width="13.77734375" customWidth="1"/>
    <col min="38" max="38" width="19.88671875" customWidth="1"/>
    <col min="39" max="40" width="18.6640625" customWidth="1"/>
  </cols>
  <sheetData>
    <row r="1" spans="1:40" x14ac:dyDescent="0.3">
      <c r="A1" s="7" t="s">
        <v>3</v>
      </c>
      <c r="B1" s="59" t="s">
        <v>0</v>
      </c>
      <c r="C1" s="59"/>
      <c r="D1" s="59" t="s">
        <v>1</v>
      </c>
      <c r="E1" s="59"/>
      <c r="F1" s="59" t="s">
        <v>2</v>
      </c>
      <c r="G1" s="59"/>
      <c r="I1" s="59" t="s">
        <v>0</v>
      </c>
      <c r="J1" s="59"/>
      <c r="K1" s="59" t="s">
        <v>1</v>
      </c>
      <c r="L1" s="59"/>
      <c r="M1" s="59" t="s">
        <v>2</v>
      </c>
      <c r="N1" s="59"/>
      <c r="P1" s="59" t="s">
        <v>0</v>
      </c>
      <c r="Q1" s="59"/>
      <c r="R1" s="59" t="s">
        <v>1</v>
      </c>
      <c r="S1" s="59"/>
      <c r="T1" s="59" t="s">
        <v>2</v>
      </c>
      <c r="U1" s="59"/>
      <c r="W1" s="59" t="s">
        <v>0</v>
      </c>
      <c r="X1" s="59"/>
      <c r="Y1" s="59" t="s">
        <v>1</v>
      </c>
      <c r="Z1" s="59"/>
      <c r="AA1" s="59" t="s">
        <v>2</v>
      </c>
      <c r="AB1" s="59"/>
      <c r="AD1" s="37" t="s">
        <v>0</v>
      </c>
      <c r="AE1" s="37" t="s">
        <v>1</v>
      </c>
      <c r="AF1" s="37" t="s">
        <v>2</v>
      </c>
      <c r="AH1" s="37" t="s">
        <v>0</v>
      </c>
      <c r="AI1" s="37" t="s">
        <v>1</v>
      </c>
      <c r="AJ1" s="37" t="s">
        <v>2</v>
      </c>
      <c r="AL1" s="37" t="s">
        <v>0</v>
      </c>
      <c r="AM1" s="37" t="s">
        <v>1</v>
      </c>
      <c r="AN1" s="37" t="s">
        <v>2</v>
      </c>
    </row>
    <row r="2" spans="1:40" ht="70.2" customHeight="1" x14ac:dyDescent="0.3">
      <c r="A2" s="14" t="s">
        <v>17</v>
      </c>
      <c r="B2" s="3" t="s">
        <v>19</v>
      </c>
      <c r="C2" s="3" t="s">
        <v>36</v>
      </c>
      <c r="D2" s="3" t="s">
        <v>19</v>
      </c>
      <c r="E2" s="3" t="s">
        <v>36</v>
      </c>
      <c r="F2" s="3" t="s">
        <v>19</v>
      </c>
      <c r="G2" s="3" t="s">
        <v>36</v>
      </c>
      <c r="I2" s="3" t="s">
        <v>16</v>
      </c>
      <c r="J2" s="3" t="s">
        <v>37</v>
      </c>
      <c r="K2" s="17" t="s">
        <v>16</v>
      </c>
      <c r="L2" s="17" t="s">
        <v>37</v>
      </c>
      <c r="M2" s="48" t="s">
        <v>16</v>
      </c>
      <c r="N2" s="48" t="s">
        <v>37</v>
      </c>
      <c r="P2" s="1" t="s">
        <v>68</v>
      </c>
      <c r="Q2" s="1" t="s">
        <v>67</v>
      </c>
      <c r="R2" s="9" t="s">
        <v>68</v>
      </c>
      <c r="S2" s="9" t="s">
        <v>67</v>
      </c>
      <c r="T2" s="8" t="s">
        <v>68</v>
      </c>
      <c r="U2" s="8" t="s">
        <v>67</v>
      </c>
      <c r="W2" s="1" t="s">
        <v>71</v>
      </c>
      <c r="X2" s="1" t="s">
        <v>72</v>
      </c>
      <c r="Y2" s="1" t="s">
        <v>71</v>
      </c>
      <c r="Z2" s="1" t="s">
        <v>72</v>
      </c>
      <c r="AA2" s="1" t="s">
        <v>71</v>
      </c>
      <c r="AB2" s="1" t="s">
        <v>72</v>
      </c>
      <c r="AD2" s="17" t="s">
        <v>15</v>
      </c>
      <c r="AE2" s="17" t="s">
        <v>15</v>
      </c>
      <c r="AF2" s="48" t="s">
        <v>15</v>
      </c>
      <c r="AH2" s="3" t="s">
        <v>69</v>
      </c>
      <c r="AI2" s="3" t="s">
        <v>69</v>
      </c>
      <c r="AJ2" s="3" t="s">
        <v>69</v>
      </c>
      <c r="AL2" s="3" t="s">
        <v>70</v>
      </c>
      <c r="AM2" s="3" t="s">
        <v>70</v>
      </c>
      <c r="AN2" s="3" t="s">
        <v>70</v>
      </c>
    </row>
    <row r="3" spans="1:40" x14ac:dyDescent="0.3">
      <c r="A3" s="43">
        <v>1</v>
      </c>
      <c r="B3" s="4">
        <v>11.35</v>
      </c>
      <c r="C3" s="4">
        <v>89.35</v>
      </c>
      <c r="D3" s="4">
        <v>17.5</v>
      </c>
      <c r="E3" s="4">
        <v>83.1</v>
      </c>
      <c r="F3" s="4">
        <v>28.3</v>
      </c>
      <c r="G3" s="4">
        <v>72.25</v>
      </c>
      <c r="I3" s="4">
        <f>$B$14-B3</f>
        <v>88.65</v>
      </c>
      <c r="J3" s="4">
        <f t="shared" ref="J3:N3" si="0">$B$14-C3</f>
        <v>10.650000000000006</v>
      </c>
      <c r="K3" s="4">
        <f t="shared" si="0"/>
        <v>82.5</v>
      </c>
      <c r="L3" s="4">
        <f t="shared" si="0"/>
        <v>16.900000000000006</v>
      </c>
      <c r="M3" s="4">
        <f t="shared" si="0"/>
        <v>71.7</v>
      </c>
      <c r="N3" s="4">
        <f t="shared" si="0"/>
        <v>27.75</v>
      </c>
      <c r="P3" s="49">
        <f>1/(1/I3+1/B3)</f>
        <v>10.061774999999999</v>
      </c>
      <c r="Q3" s="49">
        <f t="shared" ref="Q3:U3" si="1">1/(1/J3+1/C3)</f>
        <v>9.515775000000005</v>
      </c>
      <c r="R3" s="49">
        <f t="shared" si="1"/>
        <v>14.4375</v>
      </c>
      <c r="S3" s="49">
        <f t="shared" si="1"/>
        <v>14.043900000000004</v>
      </c>
      <c r="T3" s="49">
        <f t="shared" si="1"/>
        <v>20.2911</v>
      </c>
      <c r="U3" s="49">
        <f t="shared" si="1"/>
        <v>20.049375000000001</v>
      </c>
      <c r="W3" s="41">
        <f>((I3*I3)/((I3*I3) + (B3*B3))) *$B$11 + ((B3*B3)/((I3*I3) + (B3*B3)))*$I$11</f>
        <v>3.3236425800618231E-2</v>
      </c>
      <c r="X3" s="41">
        <f>((J3*J3)/((J3*J3) + (C3*C3))) *$C$11 + ((C3*C3)/((J3*J3) + (C3*C3)))*$J$11</f>
        <v>2.906441122747944E-2</v>
      </c>
      <c r="Y3" s="41">
        <f>((K3*K3)/((K3*K3) + (D3*D3))) *$D$11 + ((D3*D3)/((K3*K3) + (D3*D3)))*$K$11</f>
        <v>0.10291617948602658</v>
      </c>
      <c r="Z3" s="41">
        <f>((L3*L3)/((L3*L3) + (E3*E3))) *$E$11 + ((E3*E3)/((L3*L3) + (E3*E3)))*$L$11</f>
        <v>4.7689621512439592E-2</v>
      </c>
      <c r="AA3" s="41">
        <f>((M3*M3)/((M3*M3) + (F3*F3))) *$F$11 + ((F3*F3)/((M3*M3) + (F3*F3)))*$M$11</f>
        <v>4.0305086527633392E-2</v>
      </c>
      <c r="AB3" s="41">
        <f>((N3*N3)/((N3*N3) + (G3*G3))) *$G$11 + ((G3*G3)/((N3*N3) + (G3*G3)))*$N$11</f>
        <v>0.1700473463480088</v>
      </c>
      <c r="AD3" s="4">
        <f>C3-B3</f>
        <v>78</v>
      </c>
      <c r="AE3" s="4">
        <f>E3-D3</f>
        <v>65.599999999999994</v>
      </c>
      <c r="AF3" s="4">
        <f>G3-F3</f>
        <v>43.95</v>
      </c>
      <c r="AH3" s="52">
        <f>(($B$14*$B$14) - (AD3*AD3))/(4 *$B$14)</f>
        <v>9.7899999999999991</v>
      </c>
      <c r="AI3" s="52">
        <f t="shared" ref="AI3:AJ7" si="2">(($B$14*$B$14) - (AE3*AE3))/(4 *$B$14)</f>
        <v>14.2416</v>
      </c>
      <c r="AJ3" s="52">
        <f t="shared" si="2"/>
        <v>20.170993750000001</v>
      </c>
      <c r="AL3">
        <f>(AD3*AD3 + $B$14*$B$14)/(4*$B$14*$B$14) * B15 + AD3/(2*$B$14) * $AD$11</f>
        <v>1.7439608741597095E-2</v>
      </c>
      <c r="AM3">
        <f t="shared" ref="AM3:AN7" si="3">(AE3*AE3 + $B$14*$B$14)/(4*$B$14*$B$14) * C15 + AE3/(2*$B$14) * $AD$11</f>
        <v>1.3990805300625244E-2</v>
      </c>
      <c r="AN3">
        <f t="shared" si="3"/>
        <v>9.3734130024768231E-3</v>
      </c>
    </row>
    <row r="4" spans="1:40" x14ac:dyDescent="0.3">
      <c r="A4" s="43">
        <v>2</v>
      </c>
      <c r="B4" s="4">
        <v>11.35</v>
      </c>
      <c r="C4" s="4">
        <v>89.5</v>
      </c>
      <c r="D4" s="4">
        <v>17.3</v>
      </c>
      <c r="E4" s="4">
        <v>82.9</v>
      </c>
      <c r="F4" s="4">
        <v>28.35</v>
      </c>
      <c r="G4" s="4">
        <v>72.75</v>
      </c>
      <c r="I4" s="4">
        <f t="shared" ref="I4:I7" si="4">$B$14-B4</f>
        <v>88.65</v>
      </c>
      <c r="J4" s="4">
        <f t="shared" ref="J4:J7" si="5">$B$14-C4</f>
        <v>10.5</v>
      </c>
      <c r="K4" s="4">
        <f t="shared" ref="K4:K7" si="6">$B$14-D4</f>
        <v>82.7</v>
      </c>
      <c r="L4" s="4">
        <f t="shared" ref="L4:L7" si="7">$B$14-E4</f>
        <v>17.099999999999994</v>
      </c>
      <c r="M4" s="4">
        <f t="shared" ref="M4:M7" si="8">$B$14-F4</f>
        <v>71.650000000000006</v>
      </c>
      <c r="N4" s="4">
        <f t="shared" ref="N4:N7" si="9">$B$14-G4</f>
        <v>27.25</v>
      </c>
      <c r="P4" s="49">
        <f t="shared" ref="P4:P7" si="10">1/(1/I4+1/B4)</f>
        <v>10.061774999999999</v>
      </c>
      <c r="Q4" s="49">
        <f t="shared" ref="Q4:Q7" si="11">1/(1/J4+1/C4)</f>
        <v>9.3975000000000009</v>
      </c>
      <c r="R4" s="49">
        <f t="shared" ref="R4:R7" si="12">1/(1/K4+1/D4)</f>
        <v>14.3071</v>
      </c>
      <c r="S4" s="49">
        <f t="shared" ref="S4:S7" si="13">1/(1/L4+1/E4)</f>
        <v>14.175899999999995</v>
      </c>
      <c r="T4" s="49">
        <f t="shared" ref="T4:T7" si="14">1/(1/M4+1/F4)</f>
        <v>20.312775000000002</v>
      </c>
      <c r="U4" s="49">
        <f t="shared" ref="U4:U7" si="15">1/(1/N4+1/G4)</f>
        <v>19.824375</v>
      </c>
      <c r="W4" s="41">
        <f t="shared" ref="W4:W7" si="16">((I4*I4)/((I4*I4) + (B4*B4))) *$B$11 + ((B4*B4)/((I4*I4) + (B4*B4)))*$I$11</f>
        <v>3.3236425800618231E-2</v>
      </c>
      <c r="X4" s="41">
        <f t="shared" ref="X4:X7" si="17">((J4*J4)/((J4*J4) + (C4*C4))) *$C$11 + ((C4*C4)/((J4*J4) + (C4*C4)))*$J$11</f>
        <v>2.9064411227479443E-2</v>
      </c>
      <c r="Y4" s="41">
        <f t="shared" ref="Y4:Y7" si="18">((K4*K4)/((K4*K4) + (D4*D4))) *$D$11 + ((D4*D4)/((K4*K4) + (D4*D4)))*$K$11</f>
        <v>0.10291617948602656</v>
      </c>
      <c r="Z4" s="41">
        <f t="shared" ref="Z4:Z7" si="19">((L4*L4)/((L4*L4) + (E4*E4))) *$E$11 + ((E4*E4)/((L4*L4) + (E4*E4)))*$L$11</f>
        <v>4.7689621512439592E-2</v>
      </c>
      <c r="AA4" s="41">
        <f t="shared" ref="AA4:AA7" si="20">((M4*M4)/((M4*M4) + (F4*F4))) *$F$11 + ((F4*F4)/((M4*M4) + (F4*F4)))*$M$11</f>
        <v>4.0305086527633392E-2</v>
      </c>
      <c r="AB4" s="41">
        <f t="shared" ref="AB4:AB7" si="21">((N4*N4)/((N4*N4) + (G4*G4))) *$G$11 + ((G4*G4)/((N4*N4) + (G4*G4)))*$N$11</f>
        <v>0.1700473463480088</v>
      </c>
      <c r="AD4" s="4">
        <f t="shared" ref="AD4:AD7" si="22">C4-B4</f>
        <v>78.150000000000006</v>
      </c>
      <c r="AE4" s="4">
        <f t="shared" ref="AE4:AE7" si="23">E4-D4</f>
        <v>65.600000000000009</v>
      </c>
      <c r="AF4" s="4">
        <f t="shared" ref="AF4:AF7" si="24">G4-F4</f>
        <v>44.4</v>
      </c>
      <c r="AH4" s="52">
        <f t="shared" ref="AH4:AH7" si="25">(($B$14*$B$14) - (AD4*AD4))/(4 *$B$14)</f>
        <v>9.7314437499999986</v>
      </c>
      <c r="AI4" s="52">
        <f t="shared" si="2"/>
        <v>14.241599999999996</v>
      </c>
      <c r="AJ4" s="52">
        <f t="shared" si="2"/>
        <v>20.0716</v>
      </c>
      <c r="AL4">
        <f t="shared" ref="AL4:AL7" si="26">(AD4*AD4 + $B$14*$B$14)/(4*$B$14*$B$14) * B16 + AD4/(2*$B$14) * $AD$11</f>
        <v>1.6667399912254011E-2</v>
      </c>
      <c r="AM4">
        <f t="shared" si="3"/>
        <v>1.3990805300625249E-2</v>
      </c>
      <c r="AN4">
        <f t="shared" si="3"/>
        <v>9.4693865144475746E-3</v>
      </c>
    </row>
    <row r="5" spans="1:40" x14ac:dyDescent="0.3">
      <c r="A5" s="43">
        <v>3</v>
      </c>
      <c r="B5" s="4">
        <v>11.2</v>
      </c>
      <c r="C5" s="4">
        <v>89.4</v>
      </c>
      <c r="D5" s="4">
        <v>17.850000000000001</v>
      </c>
      <c r="E5" s="4">
        <v>83.1</v>
      </c>
      <c r="F5" s="4">
        <v>28.15</v>
      </c>
      <c r="G5" s="4">
        <v>71.900000000000006</v>
      </c>
      <c r="I5" s="4">
        <f t="shared" si="4"/>
        <v>88.8</v>
      </c>
      <c r="J5" s="4">
        <f t="shared" si="5"/>
        <v>10.599999999999994</v>
      </c>
      <c r="K5" s="4">
        <f t="shared" si="6"/>
        <v>82.15</v>
      </c>
      <c r="L5" s="4">
        <f t="shared" si="7"/>
        <v>16.900000000000006</v>
      </c>
      <c r="M5" s="4">
        <f t="shared" si="8"/>
        <v>71.849999999999994</v>
      </c>
      <c r="N5" s="4">
        <f t="shared" si="9"/>
        <v>28.099999999999994</v>
      </c>
      <c r="P5" s="49">
        <f t="shared" si="10"/>
        <v>9.9456000000000007</v>
      </c>
      <c r="Q5" s="49">
        <f t="shared" si="11"/>
        <v>9.4763999999999946</v>
      </c>
      <c r="R5" s="49">
        <f t="shared" si="12"/>
        <v>14.663775000000003</v>
      </c>
      <c r="S5" s="49">
        <f t="shared" si="13"/>
        <v>14.043900000000004</v>
      </c>
      <c r="T5" s="49">
        <f t="shared" si="14"/>
        <v>20.225774999999999</v>
      </c>
      <c r="U5" s="49">
        <f t="shared" si="15"/>
        <v>20.203899999999994</v>
      </c>
      <c r="W5" s="41">
        <f t="shared" si="16"/>
        <v>3.3236425800618238E-2</v>
      </c>
      <c r="X5" s="41">
        <f t="shared" si="17"/>
        <v>2.9064411227479443E-2</v>
      </c>
      <c r="Y5" s="41">
        <f t="shared" si="18"/>
        <v>0.10291617948602658</v>
      </c>
      <c r="Z5" s="41">
        <f t="shared" si="19"/>
        <v>4.7689621512439592E-2</v>
      </c>
      <c r="AA5" s="41">
        <f t="shared" si="20"/>
        <v>4.0305086527633399E-2</v>
      </c>
      <c r="AB5" s="41">
        <f t="shared" si="21"/>
        <v>0.1700473463480088</v>
      </c>
      <c r="AD5" s="4">
        <f t="shared" si="22"/>
        <v>78.2</v>
      </c>
      <c r="AE5" s="4">
        <f t="shared" si="23"/>
        <v>65.25</v>
      </c>
      <c r="AF5" s="4">
        <f t="shared" si="24"/>
        <v>43.750000000000007</v>
      </c>
      <c r="AH5" s="52">
        <f t="shared" si="25"/>
        <v>9.7118999999999982</v>
      </c>
      <c r="AI5" s="52">
        <f t="shared" si="2"/>
        <v>14.356093749999999</v>
      </c>
      <c r="AJ5" s="52">
        <f t="shared" si="2"/>
        <v>20.214843749999996</v>
      </c>
      <c r="AL5">
        <f t="shared" si="26"/>
        <v>1.6678063635806314E-2</v>
      </c>
      <c r="AM5">
        <f t="shared" si="3"/>
        <v>1.3916159235759104E-2</v>
      </c>
      <c r="AN5">
        <f t="shared" si="3"/>
        <v>9.3307581082676012E-3</v>
      </c>
    </row>
    <row r="6" spans="1:40" x14ac:dyDescent="0.3">
      <c r="A6" s="43">
        <v>4</v>
      </c>
      <c r="B6" s="4">
        <v>11.3</v>
      </c>
      <c r="C6" s="4">
        <v>89.4</v>
      </c>
      <c r="D6" s="4">
        <v>17.45</v>
      </c>
      <c r="E6" s="4">
        <v>82.95</v>
      </c>
      <c r="F6" s="4">
        <v>28.2</v>
      </c>
      <c r="G6" s="4">
        <v>72</v>
      </c>
      <c r="I6" s="4">
        <f t="shared" si="4"/>
        <v>88.7</v>
      </c>
      <c r="J6" s="4">
        <f t="shared" si="5"/>
        <v>10.599999999999994</v>
      </c>
      <c r="K6" s="4">
        <f t="shared" si="6"/>
        <v>82.55</v>
      </c>
      <c r="L6" s="4">
        <f t="shared" si="7"/>
        <v>17.049999999999997</v>
      </c>
      <c r="M6" s="4">
        <f t="shared" si="8"/>
        <v>71.8</v>
      </c>
      <c r="N6" s="4">
        <f t="shared" si="9"/>
        <v>28</v>
      </c>
      <c r="P6" s="49">
        <f t="shared" si="10"/>
        <v>10.023100000000001</v>
      </c>
      <c r="Q6" s="49">
        <f t="shared" si="11"/>
        <v>9.4763999999999946</v>
      </c>
      <c r="R6" s="49">
        <f t="shared" si="12"/>
        <v>14.404974999999999</v>
      </c>
      <c r="S6" s="49">
        <f t="shared" si="13"/>
        <v>14.142974999999998</v>
      </c>
      <c r="T6" s="49">
        <f t="shared" si="14"/>
        <v>20.247599999999998</v>
      </c>
      <c r="U6" s="49">
        <f t="shared" si="15"/>
        <v>20.16</v>
      </c>
      <c r="W6" s="41">
        <f>((I6*I6)/((I6*I6) + (B6*B6))) *$B$11 + ((B6*B6)/((I6*I6) + (B6*B6)))*$I$11</f>
        <v>3.3236425800618238E-2</v>
      </c>
      <c r="X6" s="41">
        <f t="shared" si="17"/>
        <v>2.9064411227479443E-2</v>
      </c>
      <c r="Y6" s="41">
        <f t="shared" si="18"/>
        <v>0.10291617948602658</v>
      </c>
      <c r="Z6" s="41">
        <f t="shared" si="19"/>
        <v>4.7689621512439592E-2</v>
      </c>
      <c r="AA6" s="41">
        <f t="shared" si="20"/>
        <v>4.0305086527633399E-2</v>
      </c>
      <c r="AB6" s="41">
        <f t="shared" si="21"/>
        <v>0.1700473463480088</v>
      </c>
      <c r="AD6" s="4">
        <f t="shared" si="22"/>
        <v>78.100000000000009</v>
      </c>
      <c r="AE6" s="4">
        <f t="shared" si="23"/>
        <v>65.5</v>
      </c>
      <c r="AF6" s="4">
        <f t="shared" si="24"/>
        <v>43.8</v>
      </c>
      <c r="AH6" s="52">
        <f t="shared" si="25"/>
        <v>9.7509749999999968</v>
      </c>
      <c r="AI6" s="52">
        <f t="shared" si="2"/>
        <v>14.274374999999999</v>
      </c>
      <c r="AJ6" s="52">
        <f t="shared" si="2"/>
        <v>20.203900000000001</v>
      </c>
      <c r="AL6">
        <f t="shared" si="26"/>
        <v>1.6656736188701705E-2</v>
      </c>
      <c r="AM6">
        <f t="shared" si="3"/>
        <v>1.3969477853520635E-2</v>
      </c>
      <c r="AN6">
        <f t="shared" si="3"/>
        <v>9.3414218318199037E-3</v>
      </c>
    </row>
    <row r="7" spans="1:40" x14ac:dyDescent="0.3">
      <c r="A7" s="43">
        <v>5</v>
      </c>
      <c r="B7" s="4">
        <v>11.25</v>
      </c>
      <c r="C7" s="4">
        <v>89.45</v>
      </c>
      <c r="D7" s="4">
        <v>17.5</v>
      </c>
      <c r="E7" s="4">
        <v>82.95</v>
      </c>
      <c r="F7" s="4">
        <v>28.25</v>
      </c>
      <c r="G7" s="4">
        <v>72.349999999999994</v>
      </c>
      <c r="I7" s="4">
        <f t="shared" si="4"/>
        <v>88.75</v>
      </c>
      <c r="J7" s="4">
        <f t="shared" si="5"/>
        <v>10.549999999999997</v>
      </c>
      <c r="K7" s="4">
        <f t="shared" si="6"/>
        <v>82.5</v>
      </c>
      <c r="L7" s="4">
        <f t="shared" si="7"/>
        <v>17.049999999999997</v>
      </c>
      <c r="M7" s="4">
        <f t="shared" si="8"/>
        <v>71.75</v>
      </c>
      <c r="N7" s="4">
        <f t="shared" si="9"/>
        <v>27.650000000000006</v>
      </c>
      <c r="P7" s="49">
        <f t="shared" si="10"/>
        <v>9.984375</v>
      </c>
      <c r="Q7" s="49">
        <f t="shared" si="11"/>
        <v>9.4369749999999986</v>
      </c>
      <c r="R7" s="49">
        <f t="shared" si="12"/>
        <v>14.4375</v>
      </c>
      <c r="S7" s="49">
        <f t="shared" si="13"/>
        <v>14.142974999999998</v>
      </c>
      <c r="T7" s="49">
        <f t="shared" si="14"/>
        <v>20.269375</v>
      </c>
      <c r="U7" s="49">
        <f t="shared" si="15"/>
        <v>20.004775000000002</v>
      </c>
      <c r="W7" s="41">
        <f t="shared" si="16"/>
        <v>3.3236425800618238E-2</v>
      </c>
      <c r="X7" s="41">
        <f t="shared" si="17"/>
        <v>2.9064411227479447E-2</v>
      </c>
      <c r="Y7" s="41">
        <f t="shared" si="18"/>
        <v>0.10291617948602658</v>
      </c>
      <c r="Z7" s="41">
        <f t="shared" si="19"/>
        <v>4.7689621512439592E-2</v>
      </c>
      <c r="AA7" s="41">
        <f t="shared" si="20"/>
        <v>4.0305086527633392E-2</v>
      </c>
      <c r="AB7" s="41">
        <f t="shared" si="21"/>
        <v>0.1700473463480088</v>
      </c>
      <c r="AD7" s="4">
        <f t="shared" si="22"/>
        <v>78.2</v>
      </c>
      <c r="AE7" s="4">
        <f t="shared" si="23"/>
        <v>65.45</v>
      </c>
      <c r="AF7" s="4">
        <f t="shared" si="24"/>
        <v>44.099999999999994</v>
      </c>
      <c r="AH7" s="52">
        <f t="shared" si="25"/>
        <v>9.7118999999999982</v>
      </c>
      <c r="AI7" s="52">
        <f t="shared" si="2"/>
        <v>14.290743749999999</v>
      </c>
      <c r="AJ7" s="52">
        <f t="shared" si="2"/>
        <v>20.137975000000001</v>
      </c>
      <c r="AL7">
        <f t="shared" si="26"/>
        <v>1.6678063635806314E-2</v>
      </c>
      <c r="AM7">
        <f t="shared" si="3"/>
        <v>1.3958814129968329E-2</v>
      </c>
      <c r="AN7">
        <f t="shared" si="3"/>
        <v>9.4054041731337391E-3</v>
      </c>
    </row>
    <row r="8" spans="1:40" x14ac:dyDescent="0.3">
      <c r="A8" s="44" t="s">
        <v>9</v>
      </c>
      <c r="B8" s="45">
        <f>AVERAGEA(B3:B7)</f>
        <v>11.290000000000001</v>
      </c>
      <c r="C8" s="45">
        <f t="shared" ref="C8:N8" si="27">AVERAGEA(C3:C7)</f>
        <v>89.419999999999987</v>
      </c>
      <c r="D8" s="45">
        <f t="shared" si="27"/>
        <v>17.52</v>
      </c>
      <c r="E8" s="45">
        <f t="shared" si="27"/>
        <v>83</v>
      </c>
      <c r="F8" s="45">
        <f t="shared" si="27"/>
        <v>28.25</v>
      </c>
      <c r="G8" s="45">
        <f t="shared" si="27"/>
        <v>72.25</v>
      </c>
      <c r="I8" s="45">
        <f t="shared" si="27"/>
        <v>88.710000000000008</v>
      </c>
      <c r="J8" s="45">
        <f t="shared" si="27"/>
        <v>10.579999999999998</v>
      </c>
      <c r="K8" s="45">
        <f t="shared" si="27"/>
        <v>82.47999999999999</v>
      </c>
      <c r="L8" s="45">
        <f t="shared" si="27"/>
        <v>17</v>
      </c>
      <c r="M8" s="45">
        <f t="shared" si="27"/>
        <v>71.75</v>
      </c>
      <c r="N8" s="45">
        <f t="shared" si="27"/>
        <v>27.75</v>
      </c>
      <c r="AD8" s="45">
        <f t="shared" ref="AD8:AF8" si="28">AVERAGEA(AD3:AD7)</f>
        <v>78.13000000000001</v>
      </c>
      <c r="AE8" s="45">
        <f t="shared" si="28"/>
        <v>65.47999999999999</v>
      </c>
      <c r="AF8" s="45">
        <f t="shared" si="28"/>
        <v>43.999999999999993</v>
      </c>
      <c r="AK8" s="55" t="s">
        <v>74</v>
      </c>
      <c r="AL8" s="55">
        <f>AVERAGE(AL3:AL7)</f>
        <v>1.6823974422833086E-2</v>
      </c>
      <c r="AM8" s="55">
        <f t="shared" ref="AM8:AN8" si="29">AVERAGE(AM3:AM7)</f>
        <v>1.3965212364099713E-2</v>
      </c>
      <c r="AN8" s="55">
        <f t="shared" si="29"/>
        <v>9.3840767260291273E-3</v>
      </c>
    </row>
    <row r="9" spans="1:40" ht="30.6" customHeight="1" x14ac:dyDescent="0.3">
      <c r="A9" s="14" t="s">
        <v>18</v>
      </c>
      <c r="B9" s="46">
        <f>STDEV(B3:B7)</f>
        <v>6.5192024052026593E-2</v>
      </c>
      <c r="C9" s="46">
        <f t="shared" ref="C9:N9" si="30">STDEV(C3:C7)</f>
        <v>5.700877125495802E-2</v>
      </c>
      <c r="D9" s="46">
        <f t="shared" si="30"/>
        <v>0.20186629238186396</v>
      </c>
      <c r="E9" s="46">
        <f t="shared" si="30"/>
        <v>9.3541434669343226E-2</v>
      </c>
      <c r="F9" s="46">
        <f t="shared" si="30"/>
        <v>7.9056941504210609E-2</v>
      </c>
      <c r="G9" s="46">
        <f t="shared" si="30"/>
        <v>0.33354160160315643</v>
      </c>
      <c r="I9" s="46">
        <f t="shared" si="30"/>
        <v>6.519202405202279E-2</v>
      </c>
      <c r="J9" s="46">
        <f t="shared" si="30"/>
        <v>5.700877125495802E-2</v>
      </c>
      <c r="K9" s="46">
        <f t="shared" si="30"/>
        <v>0.20186629238186168</v>
      </c>
      <c r="L9" s="46">
        <f t="shared" si="30"/>
        <v>9.3541434669343226E-2</v>
      </c>
      <c r="M9" s="46">
        <f t="shared" si="30"/>
        <v>7.9056941504205003E-2</v>
      </c>
      <c r="N9" s="46">
        <f t="shared" si="30"/>
        <v>0.33354160160315643</v>
      </c>
      <c r="AD9" s="46">
        <f t="shared" ref="AD9:AF9" si="31">STDEV(AD3:AD7)</f>
        <v>8.3666002653408317E-2</v>
      </c>
      <c r="AE9" s="46">
        <f t="shared" si="31"/>
        <v>0.14404860290887977</v>
      </c>
      <c r="AF9" s="46">
        <f t="shared" si="31"/>
        <v>0.26220221204253552</v>
      </c>
    </row>
    <row r="10" spans="1:40" ht="44.4" customHeight="1" x14ac:dyDescent="0.3">
      <c r="A10" s="53" t="s">
        <v>65</v>
      </c>
      <c r="B10" s="5">
        <f>B9*1.14</f>
        <v>7.4318907419310312E-2</v>
      </c>
      <c r="C10" s="5">
        <f t="shared" ref="C10:G10" si="32">C9*1.14</f>
        <v>6.4989999230652143E-2</v>
      </c>
      <c r="D10" s="5">
        <f t="shared" si="32"/>
        <v>0.23012757331532491</v>
      </c>
      <c r="E10" s="5">
        <f t="shared" si="32"/>
        <v>0.10663723552305127</v>
      </c>
      <c r="F10" s="5">
        <f t="shared" si="32"/>
        <v>9.012491331480009E-2</v>
      </c>
      <c r="G10" s="5">
        <f t="shared" si="32"/>
        <v>0.38023742582759829</v>
      </c>
      <c r="I10" s="5">
        <f t="shared" ref="I10" si="33">I9*1.14</f>
        <v>7.4318907419305968E-2</v>
      </c>
      <c r="J10" s="5">
        <f t="shared" ref="J10" si="34">J9*1.14</f>
        <v>6.4989999230652143E-2</v>
      </c>
      <c r="K10" s="5">
        <f t="shared" ref="K10" si="35">K9*1.14</f>
        <v>0.2301275733153223</v>
      </c>
      <c r="L10" s="5">
        <f t="shared" ref="L10" si="36">L9*1.14</f>
        <v>0.10663723552305127</v>
      </c>
      <c r="M10" s="5">
        <f t="shared" ref="M10" si="37">M9*1.14</f>
        <v>9.0124913314793692E-2</v>
      </c>
      <c r="N10" s="5">
        <f t="shared" ref="N10" si="38">N9*1.14</f>
        <v>0.38023742582759829</v>
      </c>
      <c r="AD10" s="5">
        <f t="shared" ref="AD10" si="39">AD9*1.14</f>
        <v>9.5379243024885471E-2</v>
      </c>
      <c r="AE10" s="5">
        <f t="shared" ref="AE10" si="40">AE9*1.14</f>
        <v>0.16421540731612294</v>
      </c>
      <c r="AF10" s="5">
        <f t="shared" ref="AF10" si="41">AF9*1.14</f>
        <v>0.29891052172849047</v>
      </c>
    </row>
    <row r="11" spans="1:40" ht="45.6" customHeight="1" x14ac:dyDescent="0.3">
      <c r="A11" s="54" t="s">
        <v>66</v>
      </c>
      <c r="B11" s="7">
        <f>B10/SQRT(5)</f>
        <v>3.3236425800618266E-2</v>
      </c>
      <c r="C11" s="7">
        <f t="shared" ref="C11:G11" si="42">C10/SQRT(5)</f>
        <v>2.9064411227479443E-2</v>
      </c>
      <c r="D11" s="7">
        <f t="shared" si="42"/>
        <v>0.10291617948602662</v>
      </c>
      <c r="E11" s="7">
        <f t="shared" si="42"/>
        <v>4.7689621512439592E-2</v>
      </c>
      <c r="F11" s="7">
        <f t="shared" si="42"/>
        <v>4.0305086527633781E-2</v>
      </c>
      <c r="G11" s="7">
        <f t="shared" si="42"/>
        <v>0.1700473463480088</v>
      </c>
      <c r="I11" s="7">
        <f t="shared" ref="I11" si="43">I10/SQRT(5)</f>
        <v>3.3236425800616323E-2</v>
      </c>
      <c r="J11" s="7">
        <f t="shared" ref="J11" si="44">J10/SQRT(5)</f>
        <v>2.9064411227479443E-2</v>
      </c>
      <c r="K11" s="7">
        <f t="shared" ref="K11" si="45">K10/SQRT(5)</f>
        <v>0.10291617948602545</v>
      </c>
      <c r="L11" s="7">
        <f t="shared" ref="L11" si="46">L10/SQRT(5)</f>
        <v>4.7689621512439592E-2</v>
      </c>
      <c r="M11" s="7">
        <f t="shared" ref="M11" si="47">M10/SQRT(5)</f>
        <v>4.0305086527630915E-2</v>
      </c>
      <c r="N11" s="7">
        <f t="shared" ref="N11" si="48">N10/SQRT(5)</f>
        <v>0.1700473463480088</v>
      </c>
      <c r="AD11" s="7">
        <f t="shared" ref="AD11" si="49">AD10/SQRT(5)</f>
        <v>4.2654894209223311E-2</v>
      </c>
      <c r="AE11" s="7">
        <f t="shared" ref="AE11" si="50">AE10/SQRT(5)</f>
        <v>7.3439362742333439E-2</v>
      </c>
      <c r="AF11" s="7">
        <f t="shared" ref="AF11" si="51">AF10/SQRT(5)</f>
        <v>0.13367684915496653</v>
      </c>
    </row>
    <row r="14" spans="1:40" x14ac:dyDescent="0.3">
      <c r="A14" s="47" t="s">
        <v>14</v>
      </c>
      <c r="B14" s="47">
        <v>100</v>
      </c>
    </row>
    <row r="15" spans="1:40" x14ac:dyDescent="0.3">
      <c r="A15" t="s">
        <v>73</v>
      </c>
      <c r="B15">
        <v>2E-3</v>
      </c>
    </row>
  </sheetData>
  <mergeCells count="12">
    <mergeCell ref="W1:X1"/>
    <mergeCell ref="Y1:Z1"/>
    <mergeCell ref="AA1:AB1"/>
    <mergeCell ref="P1:Q1"/>
    <mergeCell ref="R1:S1"/>
    <mergeCell ref="T1:U1"/>
    <mergeCell ref="M1:N1"/>
    <mergeCell ref="B1:C1"/>
    <mergeCell ref="D1:E1"/>
    <mergeCell ref="F1:G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4.4" x14ac:dyDescent="0.3"/>
  <cols>
    <col min="1" max="1" width="11" customWidth="1"/>
    <col min="5" max="5" width="11.44140625" bestFit="1" customWidth="1"/>
    <col min="6" max="6" width="10.44140625" bestFit="1" customWidth="1"/>
    <col min="9" max="9" width="12.88671875" customWidth="1"/>
    <col min="10" max="10" width="18.5546875" customWidth="1"/>
  </cols>
  <sheetData>
    <row r="1" spans="1:9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9" x14ac:dyDescent="0.3">
      <c r="A2" s="5" t="str">
        <f>Skupiajace!B2</f>
        <v>p</v>
      </c>
      <c r="B2" s="5" t="str">
        <f>Skupiajace!I2</f>
        <v>o</v>
      </c>
      <c r="C2" s="5" t="str">
        <f>Skupiajace!C2</f>
        <v>p'</v>
      </c>
      <c r="D2" s="5" t="str">
        <f>Skupiajace!J2</f>
        <v>o'</v>
      </c>
      <c r="E2" s="5" t="str">
        <f>Skupiajace!P2</f>
        <v>$f_1$</v>
      </c>
      <c r="F2" s="5" t="str">
        <f>Skupiajace!Q2</f>
        <v>$f_2$</v>
      </c>
      <c r="G2" s="5" t="str">
        <f>Skupiajace!AD2</f>
        <v>e</v>
      </c>
      <c r="H2" s="5" t="s">
        <v>14</v>
      </c>
      <c r="I2" s="5" t="str">
        <f>Skupiajace!AH2</f>
        <v>$f_{bessela}$</v>
      </c>
    </row>
    <row r="3" spans="1:9" x14ac:dyDescent="0.3">
      <c r="A3" s="4">
        <f>Skupiajace!B3</f>
        <v>11.35</v>
      </c>
      <c r="B3" s="4">
        <f>Skupiajace!I3</f>
        <v>88.65</v>
      </c>
      <c r="C3" s="4">
        <f>Skupiajace!C3</f>
        <v>89.35</v>
      </c>
      <c r="D3" s="4">
        <f>Skupiajace!J3</f>
        <v>10.650000000000006</v>
      </c>
      <c r="E3" s="49">
        <f>Skupiajace!P3</f>
        <v>10.061774999999999</v>
      </c>
      <c r="F3" s="49">
        <f>Skupiajace!Q3</f>
        <v>9.515775000000005</v>
      </c>
      <c r="G3" s="4">
        <f>Skupiajace!AD3</f>
        <v>78</v>
      </c>
      <c r="H3" s="5">
        <f>Skupiajace!$B$14</f>
        <v>100</v>
      </c>
      <c r="I3" s="4">
        <f>Skupiajace!AH3</f>
        <v>9.7899999999999991</v>
      </c>
    </row>
    <row r="4" spans="1:9" x14ac:dyDescent="0.3">
      <c r="A4" s="4">
        <f>Skupiajace!B4</f>
        <v>11.35</v>
      </c>
      <c r="B4" s="4">
        <f>Skupiajace!I4</f>
        <v>88.65</v>
      </c>
      <c r="C4" s="4">
        <f>Skupiajace!C4</f>
        <v>89.5</v>
      </c>
      <c r="D4" s="4">
        <f>Skupiajace!J4</f>
        <v>10.5</v>
      </c>
      <c r="E4" s="49">
        <f>Skupiajace!P4</f>
        <v>10.061774999999999</v>
      </c>
      <c r="F4" s="51">
        <f>Skupiajace!Q4</f>
        <v>9.3975000000000009</v>
      </c>
      <c r="G4" s="4">
        <f>Skupiajace!AD4</f>
        <v>78.150000000000006</v>
      </c>
      <c r="H4" s="5">
        <f>Skupiajace!$B$14</f>
        <v>100</v>
      </c>
      <c r="I4" s="50">
        <f>Skupiajace!AH4</f>
        <v>9.7314437499999986</v>
      </c>
    </row>
    <row r="5" spans="1:9" x14ac:dyDescent="0.3">
      <c r="A5" s="4">
        <f>Skupiajace!B5</f>
        <v>11.2</v>
      </c>
      <c r="B5" s="4">
        <f>Skupiajace!I5</f>
        <v>88.8</v>
      </c>
      <c r="C5" s="4">
        <f>Skupiajace!C5</f>
        <v>89.4</v>
      </c>
      <c r="D5" s="4">
        <f>Skupiajace!J5</f>
        <v>10.599999999999994</v>
      </c>
      <c r="E5" s="51">
        <f>Skupiajace!P5</f>
        <v>9.9456000000000007</v>
      </c>
      <c r="F5" s="51">
        <f>Skupiajace!Q5</f>
        <v>9.4763999999999946</v>
      </c>
      <c r="G5" s="4">
        <f>Skupiajace!AD5</f>
        <v>78.2</v>
      </c>
      <c r="H5" s="5">
        <f>Skupiajace!$B$14</f>
        <v>100</v>
      </c>
      <c r="I5" s="51">
        <f>Skupiajace!AH5</f>
        <v>9.7118999999999982</v>
      </c>
    </row>
    <row r="6" spans="1:9" x14ac:dyDescent="0.3">
      <c r="A6" s="4">
        <f>Skupiajace!B6</f>
        <v>11.3</v>
      </c>
      <c r="B6" s="4">
        <f>Skupiajace!I6</f>
        <v>88.7</v>
      </c>
      <c r="C6" s="4">
        <f>Skupiajace!C6</f>
        <v>89.4</v>
      </c>
      <c r="D6" s="4">
        <f>Skupiajace!J6</f>
        <v>10.599999999999994</v>
      </c>
      <c r="E6" s="51">
        <f>Skupiajace!P6</f>
        <v>10.023100000000001</v>
      </c>
      <c r="F6" s="51">
        <f>Skupiajace!Q6</f>
        <v>9.4763999999999946</v>
      </c>
      <c r="G6" s="4">
        <f>Skupiajace!AD6</f>
        <v>78.100000000000009</v>
      </c>
      <c r="H6" s="5">
        <f>Skupiajace!$B$14</f>
        <v>100</v>
      </c>
      <c r="I6" s="49">
        <f>Skupiajace!AH6</f>
        <v>9.7509749999999968</v>
      </c>
    </row>
    <row r="7" spans="1:9" x14ac:dyDescent="0.3">
      <c r="A7" s="4">
        <f>Skupiajace!B7</f>
        <v>11.25</v>
      </c>
      <c r="B7" s="4">
        <f>Skupiajace!I7</f>
        <v>88.75</v>
      </c>
      <c r="C7" s="4">
        <f>Skupiajace!C7</f>
        <v>89.45</v>
      </c>
      <c r="D7" s="4">
        <f>Skupiajace!J7</f>
        <v>10.549999999999997</v>
      </c>
      <c r="E7" s="49">
        <f>Skupiajace!P7</f>
        <v>9.984375</v>
      </c>
      <c r="F7" s="49">
        <f>Skupiajace!Q7</f>
        <v>9.4369749999999986</v>
      </c>
      <c r="G7" s="4">
        <f>Skupiajace!AD7</f>
        <v>78.2</v>
      </c>
      <c r="H7" s="5">
        <f>Skupiajace!$B$14</f>
        <v>100</v>
      </c>
      <c r="I7" s="51">
        <f>Skupiajace!AH7</f>
        <v>9.7118999999999982</v>
      </c>
    </row>
    <row r="9" spans="1:9" x14ac:dyDescent="0.3">
      <c r="A9" s="5"/>
      <c r="B9" s="5" t="str">
        <f>Skupiajace!P2</f>
        <v>$f_1$</v>
      </c>
      <c r="C9" s="5" t="str">
        <f>Skupiajace!Q2</f>
        <v>$f_2$</v>
      </c>
      <c r="D9" s="5" t="str">
        <f>Skupiajace!AH2</f>
        <v>$f_{bessela}$</v>
      </c>
    </row>
    <row r="10" spans="1:9" x14ac:dyDescent="0.3">
      <c r="A10" s="5" t="s">
        <v>76</v>
      </c>
      <c r="B10" s="5">
        <f>AVERAGE(E3:E7)</f>
        <v>10.015325000000001</v>
      </c>
      <c r="C10" s="5">
        <f>AVERAGE(F3:F7)</f>
        <v>9.4606099999999991</v>
      </c>
      <c r="D10" s="5">
        <f>AVERAGE(I3:I7)</f>
        <v>9.7392437499999982</v>
      </c>
    </row>
    <row r="11" spans="1:9" x14ac:dyDescent="0.3">
      <c r="A11" s="5" t="s">
        <v>75</v>
      </c>
      <c r="B11" s="5">
        <f>STDEV(E3:E7)</f>
        <v>5.0485477491056141E-2</v>
      </c>
      <c r="C11" s="5">
        <f>STDEV(F3:F7)</f>
        <v>4.4953617068040727E-2</v>
      </c>
      <c r="D11" s="5">
        <f>STDEV(I3:I7)</f>
        <v>3.2672696815345903E-2</v>
      </c>
    </row>
    <row r="12" spans="1:9" x14ac:dyDescent="0.3">
      <c r="A12" s="5" t="s">
        <v>77</v>
      </c>
      <c r="B12" s="5">
        <f>Skupiajace!W3</f>
        <v>3.3236425800618231E-2</v>
      </c>
      <c r="C12" s="5">
        <f>Skupiajace!X3</f>
        <v>2.906441122747944E-2</v>
      </c>
      <c r="D12" s="5">
        <f>AVERAGE(Skupiajace!AL3:AL7)</f>
        <v>1.6823974422833086E-2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D12"/>
    </sheetView>
  </sheetViews>
  <sheetFormatPr defaultRowHeight="14.4" x14ac:dyDescent="0.3"/>
  <cols>
    <col min="5" max="6" width="11.44140625" bestFit="1" customWidth="1"/>
    <col min="9" max="9" width="12.33203125" customWidth="1"/>
  </cols>
  <sheetData>
    <row r="1" spans="1:9" x14ac:dyDescent="0.3">
      <c r="A1" s="58" t="s">
        <v>1</v>
      </c>
      <c r="B1" s="58"/>
      <c r="C1" s="58"/>
      <c r="D1" s="58"/>
      <c r="E1" s="58"/>
      <c r="F1" s="58"/>
      <c r="G1" s="58"/>
      <c r="H1" s="58"/>
      <c r="I1" s="58"/>
    </row>
    <row r="2" spans="1:9" x14ac:dyDescent="0.3">
      <c r="A2" s="5" t="str">
        <f>Skupiajace!D2</f>
        <v>p</v>
      </c>
      <c r="B2" s="5" t="str">
        <f>Skupiajace!K2</f>
        <v>o</v>
      </c>
      <c r="C2" s="5" t="str">
        <f>Skupiajace!E2</f>
        <v>p'</v>
      </c>
      <c r="D2" s="5" t="str">
        <f>Skupiajace!L2</f>
        <v>o'</v>
      </c>
      <c r="E2" s="5" t="str">
        <f>Skupiajace!R2</f>
        <v>$f_1$</v>
      </c>
      <c r="F2" s="5" t="str">
        <f>Skupiajace!S2</f>
        <v>$f_2$</v>
      </c>
      <c r="G2" s="5" t="str">
        <f>Skupiajace!AE2</f>
        <v>e</v>
      </c>
      <c r="H2" s="5" t="s">
        <v>14</v>
      </c>
      <c r="I2" s="5" t="str">
        <f>Skupiajace!AI2</f>
        <v>$f_{bessela}$</v>
      </c>
    </row>
    <row r="3" spans="1:9" x14ac:dyDescent="0.3">
      <c r="A3" s="4">
        <f>Skupiajace!D3</f>
        <v>17.5</v>
      </c>
      <c r="B3" s="4">
        <f>Skupiajace!K3</f>
        <v>82.5</v>
      </c>
      <c r="C3" s="4">
        <f>Skupiajace!E3</f>
        <v>83.1</v>
      </c>
      <c r="D3" s="4">
        <f>Skupiajace!L3</f>
        <v>16.900000000000006</v>
      </c>
      <c r="E3" s="51">
        <f>Skupiajace!R3</f>
        <v>14.4375</v>
      </c>
      <c r="F3" s="51">
        <f>Skupiajace!S3</f>
        <v>14.043900000000004</v>
      </c>
      <c r="G3" s="4">
        <f>Skupiajace!AE3</f>
        <v>65.599999999999994</v>
      </c>
      <c r="H3" s="5">
        <f>Skupiajace!$B$14</f>
        <v>100</v>
      </c>
      <c r="I3" s="51">
        <f>Skupiajace!AI3</f>
        <v>14.2416</v>
      </c>
    </row>
    <row r="4" spans="1:9" x14ac:dyDescent="0.3">
      <c r="A4" s="4">
        <f>Skupiajace!D4</f>
        <v>17.3</v>
      </c>
      <c r="B4" s="4">
        <f>Skupiajace!K4</f>
        <v>82.7</v>
      </c>
      <c r="C4" s="4">
        <f>Skupiajace!E4</f>
        <v>82.9</v>
      </c>
      <c r="D4" s="4">
        <f>Skupiajace!L4</f>
        <v>17.099999999999994</v>
      </c>
      <c r="E4" s="51">
        <f>Skupiajace!R4</f>
        <v>14.3071</v>
      </c>
      <c r="F4" s="51">
        <f>Skupiajace!S4</f>
        <v>14.175899999999995</v>
      </c>
      <c r="G4" s="4">
        <f>Skupiajace!AE4</f>
        <v>65.600000000000009</v>
      </c>
      <c r="H4" s="5">
        <f>Skupiajace!$B$14</f>
        <v>100</v>
      </c>
      <c r="I4" s="51">
        <f>Skupiajace!AI4</f>
        <v>14.241599999999996</v>
      </c>
    </row>
    <row r="5" spans="1:9" x14ac:dyDescent="0.3">
      <c r="A5" s="4">
        <f>Skupiajace!D5</f>
        <v>17.850000000000001</v>
      </c>
      <c r="B5" s="4">
        <f>Skupiajace!K5</f>
        <v>82.15</v>
      </c>
      <c r="C5" s="4">
        <f>Skupiajace!E5</f>
        <v>83.1</v>
      </c>
      <c r="D5" s="4">
        <f>Skupiajace!L5</f>
        <v>16.900000000000006</v>
      </c>
      <c r="E5" s="49">
        <f>Skupiajace!R5</f>
        <v>14.663775000000003</v>
      </c>
      <c r="F5" s="51">
        <f>Skupiajace!S5</f>
        <v>14.043900000000004</v>
      </c>
      <c r="G5" s="4">
        <f>Skupiajace!AE5</f>
        <v>65.25</v>
      </c>
      <c r="H5" s="5">
        <f>Skupiajace!$B$14</f>
        <v>100</v>
      </c>
      <c r="I5" s="50">
        <f>Skupiajace!AI5</f>
        <v>14.356093749999999</v>
      </c>
    </row>
    <row r="6" spans="1:9" x14ac:dyDescent="0.3">
      <c r="A6" s="4">
        <f>Skupiajace!D6</f>
        <v>17.45</v>
      </c>
      <c r="B6" s="4">
        <f>Skupiajace!K6</f>
        <v>82.55</v>
      </c>
      <c r="C6" s="4">
        <f>Skupiajace!E6</f>
        <v>82.95</v>
      </c>
      <c r="D6" s="4">
        <f>Skupiajace!L6</f>
        <v>17.049999999999997</v>
      </c>
      <c r="E6" s="49">
        <f>Skupiajace!R6</f>
        <v>14.404974999999999</v>
      </c>
      <c r="F6" s="49">
        <f>Skupiajace!S6</f>
        <v>14.142974999999998</v>
      </c>
      <c r="G6" s="4">
        <f>Skupiajace!AE6</f>
        <v>65.5</v>
      </c>
      <c r="H6" s="5">
        <f>Skupiajace!$B$14</f>
        <v>100</v>
      </c>
      <c r="I6" s="49">
        <f>Skupiajace!AI6</f>
        <v>14.274374999999999</v>
      </c>
    </row>
    <row r="7" spans="1:9" x14ac:dyDescent="0.3">
      <c r="A7" s="4">
        <f>Skupiajace!D7</f>
        <v>17.5</v>
      </c>
      <c r="B7" s="4">
        <f>Skupiajace!K7</f>
        <v>82.5</v>
      </c>
      <c r="C7" s="4">
        <f>Skupiajace!E7</f>
        <v>82.95</v>
      </c>
      <c r="D7" s="4">
        <f>Skupiajace!L7</f>
        <v>17.049999999999997</v>
      </c>
      <c r="E7" s="49">
        <f>Skupiajace!R7</f>
        <v>14.4375</v>
      </c>
      <c r="F7" s="49">
        <f>Skupiajace!S7</f>
        <v>14.142974999999998</v>
      </c>
      <c r="G7" s="4">
        <f>Skupiajace!AE7</f>
        <v>65.45</v>
      </c>
      <c r="H7" s="5">
        <f>Skupiajace!$B$14</f>
        <v>100</v>
      </c>
      <c r="I7" s="50">
        <f>Skupiajace!AI7</f>
        <v>14.290743749999999</v>
      </c>
    </row>
    <row r="9" spans="1:9" x14ac:dyDescent="0.3">
      <c r="A9" s="5"/>
      <c r="B9" s="5" t="str">
        <f>Skupiajace!P2</f>
        <v>$f_1$</v>
      </c>
      <c r="C9" s="5" t="str">
        <f>Skupiajace!Q2</f>
        <v>$f_2$</v>
      </c>
      <c r="D9" s="5" t="str">
        <f>Skupiajace!AH2</f>
        <v>$f_{bessela}$</v>
      </c>
    </row>
    <row r="10" spans="1:9" x14ac:dyDescent="0.3">
      <c r="A10" s="5" t="s">
        <v>76</v>
      </c>
      <c r="B10" s="5">
        <f>AVERAGE(E3:E7)</f>
        <v>14.45017</v>
      </c>
      <c r="C10" s="5">
        <f>AVERAGE(F3:F7)</f>
        <v>14.10993</v>
      </c>
      <c r="D10" s="5">
        <f>AVERAGE(I3:I7)</f>
        <v>14.280882499999999</v>
      </c>
    </row>
    <row r="11" spans="1:9" x14ac:dyDescent="0.3">
      <c r="A11" s="5" t="s">
        <v>75</v>
      </c>
      <c r="B11" s="5">
        <f>STDEV(E3:E7)</f>
        <v>0.1308240868017061</v>
      </c>
      <c r="C11" s="5">
        <f>STDEV(F3:F7)</f>
        <v>6.1757401884304453E-2</v>
      </c>
      <c r="D11" s="5">
        <f>STDEV(I3:I7)</f>
        <v>4.7123649972373685E-2</v>
      </c>
    </row>
    <row r="12" spans="1:9" x14ac:dyDescent="0.3">
      <c r="A12" s="5" t="s">
        <v>77</v>
      </c>
      <c r="B12" s="5">
        <f>Skupiajace!Y3</f>
        <v>0.10291617948602658</v>
      </c>
      <c r="C12" s="5">
        <f>Skupiajace!Z3</f>
        <v>4.7689621512439592E-2</v>
      </c>
      <c r="D12" s="5">
        <f>AVERAGE(Skupiajace!AM3:AM7)</f>
        <v>1.3965212364099713E-2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D12"/>
    </sheetView>
  </sheetViews>
  <sheetFormatPr defaultRowHeight="14.4" x14ac:dyDescent="0.3"/>
  <cols>
    <col min="5" max="6" width="11.44140625" bestFit="1" customWidth="1"/>
    <col min="9" max="9" width="16.109375" customWidth="1"/>
  </cols>
  <sheetData>
    <row r="1" spans="1:9" x14ac:dyDescent="0.3">
      <c r="A1" s="58" t="s">
        <v>2</v>
      </c>
      <c r="B1" s="58"/>
      <c r="C1" s="58"/>
      <c r="D1" s="58"/>
      <c r="E1" s="58"/>
      <c r="F1" s="58"/>
      <c r="G1" s="58"/>
      <c r="H1" s="58"/>
      <c r="I1" s="58"/>
    </row>
    <row r="2" spans="1:9" x14ac:dyDescent="0.3">
      <c r="A2" s="5" t="str">
        <f>Skupiajace!F2</f>
        <v>p</v>
      </c>
      <c r="B2" s="5" t="str">
        <f>Skupiajace!M2</f>
        <v>o</v>
      </c>
      <c r="C2" s="5" t="str">
        <f>Skupiajace!G2</f>
        <v>p'</v>
      </c>
      <c r="D2" s="5" t="str">
        <f>Skupiajace!N2</f>
        <v>o'</v>
      </c>
      <c r="E2" s="5" t="str">
        <f>Skupiajace!T2</f>
        <v>$f_1$</v>
      </c>
      <c r="F2" s="5" t="str">
        <f>Skupiajace!U2</f>
        <v>$f_2$</v>
      </c>
      <c r="G2" s="5" t="str">
        <f>Skupiajace!AF2</f>
        <v>e</v>
      </c>
      <c r="H2" s="5" t="s">
        <v>14</v>
      </c>
      <c r="I2" s="5" t="str">
        <f>Skupiajace!AJ2</f>
        <v>$f_{bessela}$</v>
      </c>
    </row>
    <row r="3" spans="1:9" x14ac:dyDescent="0.3">
      <c r="A3" s="5">
        <f>Skupiajace!F3</f>
        <v>28.3</v>
      </c>
      <c r="B3" s="5">
        <f>Skupiajace!M3</f>
        <v>71.7</v>
      </c>
      <c r="C3" s="5">
        <f>Skupiajace!G3</f>
        <v>72.25</v>
      </c>
      <c r="D3" s="5">
        <f>Skupiajace!N3</f>
        <v>27.75</v>
      </c>
      <c r="E3" s="51">
        <f>Skupiajace!T3</f>
        <v>20.2911</v>
      </c>
      <c r="F3" s="49">
        <f>Skupiajace!U3</f>
        <v>20.049375000000001</v>
      </c>
      <c r="G3" s="4">
        <f>Skupiajace!AF3</f>
        <v>43.95</v>
      </c>
      <c r="H3" s="5">
        <f>Skupiajace!$B$14</f>
        <v>100</v>
      </c>
      <c r="I3" s="50">
        <f>Skupiajace!AJ3</f>
        <v>20.170993750000001</v>
      </c>
    </row>
    <row r="4" spans="1:9" x14ac:dyDescent="0.3">
      <c r="A4" s="5">
        <f>Skupiajace!F4</f>
        <v>28.35</v>
      </c>
      <c r="B4" s="5">
        <f>Skupiajace!M4</f>
        <v>71.650000000000006</v>
      </c>
      <c r="C4" s="5">
        <f>Skupiajace!G4</f>
        <v>72.75</v>
      </c>
      <c r="D4" s="5">
        <f>Skupiajace!N4</f>
        <v>27.25</v>
      </c>
      <c r="E4" s="49">
        <f>Skupiajace!T4</f>
        <v>20.312775000000002</v>
      </c>
      <c r="F4" s="49">
        <f>Skupiajace!U4</f>
        <v>19.824375</v>
      </c>
      <c r="G4" s="4">
        <f>Skupiajace!AF4</f>
        <v>44.4</v>
      </c>
      <c r="H4" s="5">
        <f>Skupiajace!$B$14</f>
        <v>100</v>
      </c>
      <c r="I4" s="51">
        <f>Skupiajace!AJ4</f>
        <v>20.0716</v>
      </c>
    </row>
    <row r="5" spans="1:9" x14ac:dyDescent="0.3">
      <c r="A5" s="5">
        <f>Skupiajace!F5</f>
        <v>28.15</v>
      </c>
      <c r="B5" s="5">
        <f>Skupiajace!M5</f>
        <v>71.849999999999994</v>
      </c>
      <c r="C5" s="5">
        <f>Skupiajace!G5</f>
        <v>71.900000000000006</v>
      </c>
      <c r="D5" s="5">
        <f>Skupiajace!N5</f>
        <v>28.099999999999994</v>
      </c>
      <c r="E5" s="49">
        <f>Skupiajace!T5</f>
        <v>20.225774999999999</v>
      </c>
      <c r="F5" s="51">
        <f>Skupiajace!U5</f>
        <v>20.203899999999994</v>
      </c>
      <c r="G5" s="4">
        <f>Skupiajace!AF5</f>
        <v>43.750000000000007</v>
      </c>
      <c r="H5" s="5">
        <f>Skupiajace!$B$14</f>
        <v>100</v>
      </c>
      <c r="I5" s="50">
        <f>Skupiajace!AJ5</f>
        <v>20.214843749999996</v>
      </c>
    </row>
    <row r="6" spans="1:9" x14ac:dyDescent="0.3">
      <c r="A6" s="5">
        <f>Skupiajace!F6</f>
        <v>28.2</v>
      </c>
      <c r="B6" s="5">
        <f>Skupiajace!M6</f>
        <v>71.8</v>
      </c>
      <c r="C6" s="5">
        <f>Skupiajace!G6</f>
        <v>72</v>
      </c>
      <c r="D6" s="5">
        <f>Skupiajace!N6</f>
        <v>28</v>
      </c>
      <c r="E6" s="51">
        <f>Skupiajace!T6</f>
        <v>20.247599999999998</v>
      </c>
      <c r="F6" s="4">
        <f>Skupiajace!U6</f>
        <v>20.16</v>
      </c>
      <c r="G6" s="4">
        <f>Skupiajace!AF6</f>
        <v>43.8</v>
      </c>
      <c r="H6" s="5">
        <f>Skupiajace!$B$14</f>
        <v>100</v>
      </c>
      <c r="I6" s="51">
        <f>Skupiajace!AJ6</f>
        <v>20.203900000000001</v>
      </c>
    </row>
    <row r="7" spans="1:9" x14ac:dyDescent="0.3">
      <c r="A7" s="5">
        <f>Skupiajace!F7</f>
        <v>28.25</v>
      </c>
      <c r="B7" s="5">
        <f>Skupiajace!M7</f>
        <v>71.75</v>
      </c>
      <c r="C7" s="5">
        <f>Skupiajace!G7</f>
        <v>72.349999999999994</v>
      </c>
      <c r="D7" s="5">
        <f>Skupiajace!N7</f>
        <v>27.650000000000006</v>
      </c>
      <c r="E7" s="49">
        <f>Skupiajace!T7</f>
        <v>20.269375</v>
      </c>
      <c r="F7" s="49">
        <f>Skupiajace!U7</f>
        <v>20.004775000000002</v>
      </c>
      <c r="G7" s="4">
        <f>Skupiajace!AF7</f>
        <v>44.099999999999994</v>
      </c>
      <c r="H7" s="5">
        <f>Skupiajace!$B$14</f>
        <v>100</v>
      </c>
      <c r="I7" s="49">
        <f>Skupiajace!AJ7</f>
        <v>20.137975000000001</v>
      </c>
    </row>
    <row r="9" spans="1:9" x14ac:dyDescent="0.3">
      <c r="A9" s="5"/>
      <c r="B9" s="5" t="str">
        <f>Skupiajace!P2</f>
        <v>$f_1$</v>
      </c>
      <c r="C9" s="5" t="str">
        <f>Skupiajace!Q2</f>
        <v>$f_2$</v>
      </c>
      <c r="D9" s="5" t="str">
        <f>Skupiajace!AH2</f>
        <v>$f_{bessela}$</v>
      </c>
    </row>
    <row r="10" spans="1:9" x14ac:dyDescent="0.3">
      <c r="A10" s="5" t="s">
        <v>76</v>
      </c>
      <c r="B10" s="5">
        <f>AVERAGE(E3:E7)</f>
        <v>20.269324999999998</v>
      </c>
      <c r="C10" s="5">
        <f>AVERAGE(F3:F7)</f>
        <v>20.048484999999999</v>
      </c>
      <c r="D10" s="5">
        <f>AVERAGE(I3:I7)</f>
        <v>20.159862499999999</v>
      </c>
    </row>
    <row r="11" spans="1:9" x14ac:dyDescent="0.3">
      <c r="A11" s="5" t="s">
        <v>75</v>
      </c>
      <c r="B11" s="5">
        <f>STDEV(E3:E7)</f>
        <v>3.4389801358834418E-2</v>
      </c>
      <c r="C11" s="5">
        <f>STDEV(F3:F7)</f>
        <v>0.14893460456690208</v>
      </c>
      <c r="D11" s="5">
        <f>STDEV(I3:I7)</f>
        <v>5.7782946331237414E-2</v>
      </c>
    </row>
    <row r="12" spans="1:9" x14ac:dyDescent="0.3">
      <c r="A12" s="5" t="s">
        <v>77</v>
      </c>
      <c r="B12" s="5">
        <f>Skupiajace!AA3</f>
        <v>4.0305086527633392E-2</v>
      </c>
      <c r="C12" s="5">
        <f>Skupiajace!AB3</f>
        <v>0.1700473463480088</v>
      </c>
      <c r="D12" s="5">
        <f>AVERAGE(Skupiajace!AN3:AN7)</f>
        <v>9.3840767260291273E-3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topLeftCell="AE1" zoomScale="70" zoomScaleNormal="70" workbookViewId="0">
      <selection activeCell="AJ11" sqref="AJ11"/>
    </sheetView>
  </sheetViews>
  <sheetFormatPr defaultRowHeight="14.4" x14ac:dyDescent="0.3"/>
  <cols>
    <col min="1" max="1" width="18.21875" customWidth="1"/>
    <col min="2" max="7" width="19.6640625" bestFit="1" customWidth="1"/>
    <col min="9" max="14" width="18.77734375" customWidth="1"/>
    <col min="16" max="16" width="11.44140625" bestFit="1" customWidth="1"/>
    <col min="17" max="17" width="12.33203125" customWidth="1"/>
    <col min="18" max="18" width="11.88671875" customWidth="1"/>
    <col min="19" max="19" width="11.77734375" customWidth="1"/>
    <col min="20" max="20" width="13.109375" customWidth="1"/>
    <col min="21" max="22" width="10.88671875" customWidth="1"/>
    <col min="23" max="28" width="18.77734375" customWidth="1"/>
    <col min="30" max="32" width="20.77734375" customWidth="1"/>
    <col min="34" max="36" width="18.77734375" customWidth="1"/>
    <col min="38" max="38" width="19.88671875" customWidth="1"/>
    <col min="39" max="40" width="18.6640625" customWidth="1"/>
  </cols>
  <sheetData>
    <row r="1" spans="1:40" ht="43.2" x14ac:dyDescent="0.3">
      <c r="A1" s="10" t="s">
        <v>5</v>
      </c>
      <c r="B1" s="60" t="s">
        <v>6</v>
      </c>
      <c r="C1" s="60"/>
      <c r="D1" s="60" t="s">
        <v>7</v>
      </c>
      <c r="E1" s="60"/>
      <c r="F1" s="60" t="s">
        <v>8</v>
      </c>
      <c r="G1" s="60"/>
      <c r="I1" s="60" t="s">
        <v>6</v>
      </c>
      <c r="J1" s="60"/>
      <c r="K1" s="60" t="s">
        <v>7</v>
      </c>
      <c r="L1" s="60"/>
      <c r="M1" s="60" t="s">
        <v>8</v>
      </c>
      <c r="N1" s="60"/>
      <c r="P1" s="60" t="s">
        <v>6</v>
      </c>
      <c r="Q1" s="60"/>
      <c r="R1" s="60" t="s">
        <v>7</v>
      </c>
      <c r="S1" s="60"/>
      <c r="T1" s="60" t="s">
        <v>8</v>
      </c>
      <c r="U1" s="60"/>
      <c r="W1" s="60" t="s">
        <v>6</v>
      </c>
      <c r="X1" s="60"/>
      <c r="Y1" s="60" t="s">
        <v>7</v>
      </c>
      <c r="Z1" s="60"/>
      <c r="AA1" s="60" t="s">
        <v>8</v>
      </c>
      <c r="AB1" s="60"/>
      <c r="AD1" s="37" t="s">
        <v>44</v>
      </c>
      <c r="AE1" s="37" t="s">
        <v>45</v>
      </c>
      <c r="AF1" s="37" t="s">
        <v>46</v>
      </c>
      <c r="AH1" s="37" t="s">
        <v>44</v>
      </c>
      <c r="AI1" s="37" t="s">
        <v>45</v>
      </c>
      <c r="AJ1" s="37" t="s">
        <v>46</v>
      </c>
      <c r="AL1" s="37" t="s">
        <v>44</v>
      </c>
      <c r="AM1" s="37" t="s">
        <v>45</v>
      </c>
      <c r="AN1" s="37" t="s">
        <v>46</v>
      </c>
    </row>
    <row r="2" spans="1:40" ht="70.2" customHeight="1" x14ac:dyDescent="0.3">
      <c r="A2" s="2" t="s">
        <v>4</v>
      </c>
      <c r="B2" s="3" t="s">
        <v>19</v>
      </c>
      <c r="C2" s="3" t="s">
        <v>36</v>
      </c>
      <c r="D2" s="3" t="s">
        <v>19</v>
      </c>
      <c r="E2" s="3" t="s">
        <v>36</v>
      </c>
      <c r="F2" s="3" t="s">
        <v>19</v>
      </c>
      <c r="G2" s="3" t="s">
        <v>36</v>
      </c>
      <c r="I2" s="3" t="s">
        <v>16</v>
      </c>
      <c r="J2" s="3" t="s">
        <v>37</v>
      </c>
      <c r="K2" s="17" t="s">
        <v>16</v>
      </c>
      <c r="L2" s="17" t="s">
        <v>37</v>
      </c>
      <c r="M2" s="48" t="s">
        <v>16</v>
      </c>
      <c r="N2" s="48" t="s">
        <v>37</v>
      </c>
      <c r="P2" s="1" t="s">
        <v>68</v>
      </c>
      <c r="Q2" s="1" t="s">
        <v>67</v>
      </c>
      <c r="R2" s="9" t="s">
        <v>68</v>
      </c>
      <c r="S2" s="9" t="s">
        <v>67</v>
      </c>
      <c r="T2" s="8" t="s">
        <v>68</v>
      </c>
      <c r="U2" s="8" t="s">
        <v>67</v>
      </c>
      <c r="W2" s="1" t="s">
        <v>71</v>
      </c>
      <c r="X2" s="1" t="s">
        <v>72</v>
      </c>
      <c r="Y2" s="1" t="s">
        <v>71</v>
      </c>
      <c r="Z2" s="1" t="s">
        <v>72</v>
      </c>
      <c r="AA2" s="1" t="s">
        <v>71</v>
      </c>
      <c r="AB2" s="1" t="s">
        <v>72</v>
      </c>
      <c r="AD2" s="17" t="s">
        <v>15</v>
      </c>
      <c r="AE2" s="17" t="s">
        <v>15</v>
      </c>
      <c r="AF2" s="48" t="s">
        <v>15</v>
      </c>
      <c r="AH2" s="3" t="s">
        <v>69</v>
      </c>
      <c r="AI2" s="3" t="s">
        <v>69</v>
      </c>
      <c r="AJ2" s="3" t="s">
        <v>69</v>
      </c>
      <c r="AL2" s="3" t="s">
        <v>70</v>
      </c>
      <c r="AM2" s="3" t="s">
        <v>70</v>
      </c>
      <c r="AN2" s="3" t="s">
        <v>70</v>
      </c>
    </row>
    <row r="3" spans="1:40" x14ac:dyDescent="0.3">
      <c r="A3" s="8">
        <v>1</v>
      </c>
      <c r="B3" s="4">
        <v>24.85</v>
      </c>
      <c r="C3" s="4">
        <v>89.9</v>
      </c>
      <c r="D3" s="4">
        <v>18.2</v>
      </c>
      <c r="E3" s="4">
        <v>91.45</v>
      </c>
      <c r="F3" s="4">
        <v>16.75</v>
      </c>
      <c r="G3" s="4">
        <v>91.85</v>
      </c>
      <c r="I3" s="4">
        <f>$B$14-B3</f>
        <v>75.150000000000006</v>
      </c>
      <c r="J3" s="4">
        <f t="shared" ref="J3:N7" si="0">$B$14-C3</f>
        <v>10.099999999999994</v>
      </c>
      <c r="K3" s="4">
        <f t="shared" si="0"/>
        <v>81.8</v>
      </c>
      <c r="L3" s="4">
        <f t="shared" si="0"/>
        <v>8.5499999999999972</v>
      </c>
      <c r="M3" s="4">
        <f t="shared" si="0"/>
        <v>83.25</v>
      </c>
      <c r="N3" s="4">
        <f t="shared" si="0"/>
        <v>8.1500000000000057</v>
      </c>
      <c r="P3" s="49">
        <f>1/(1/I3+1/B3)</f>
        <v>18.674775</v>
      </c>
      <c r="Q3" s="49">
        <f t="shared" ref="Q3:U7" si="1">1/(1/J3+1/C3)</f>
        <v>9.079899999999995</v>
      </c>
      <c r="R3" s="49">
        <f t="shared" si="1"/>
        <v>14.887600000000001</v>
      </c>
      <c r="S3" s="49">
        <f t="shared" si="1"/>
        <v>7.8189749999999973</v>
      </c>
      <c r="T3" s="49">
        <f t="shared" si="1"/>
        <v>13.944375000000001</v>
      </c>
      <c r="U3" s="49">
        <f t="shared" si="1"/>
        <v>7.4857750000000038</v>
      </c>
      <c r="W3" s="41">
        <f>((I3*I3)/((I3*I3) + (B3*B3))) *$B$11 + ((B3*B3)/((I3*I3) + (B3*B3)))*$I$11</f>
        <v>6.5982270345904259E-2</v>
      </c>
      <c r="X3" s="41">
        <f>((J3*J3)/((J3*J3) + (C3*C3))) *$C$11 + ((C3*C3)/((J3*J3) + (C3*C3)))*$J$11</f>
        <v>0.15123809044020667</v>
      </c>
      <c r="Y3" s="41">
        <f>((K3*K3)/((K3*K3) + (D3*D3))) *$D$11 + ((D3*D3)/((K3*K3) + (D3*D3)))*$K$11</f>
        <v>4.9033254022143181E-2</v>
      </c>
      <c r="Z3" s="41">
        <f>((L3*L3)/((L3*L3) + (E3*E3))) *$E$11 + ((E3*E3)/((L3*L3) + (E3*E3)))*$L$11</f>
        <v>6.887336204949078E-2</v>
      </c>
      <c r="AA3" s="41">
        <f>((M3*M3)/((M3*M3) + (F3*F3))) *$F$11 + ((F3*F3)/((M3*M3) + (F3*F3)))*$M$11</f>
        <v>3.4199999999999627E-2</v>
      </c>
      <c r="AB3" s="41">
        <f>((N3*N3)/((N3*N3) + (G3*G3))) *$G$11 + ((G3*G3)/((N3*N3) + (G3*G3)))*$N$11</f>
        <v>4.188627460158996E-2</v>
      </c>
      <c r="AD3" s="4">
        <f>C3-B3</f>
        <v>65.050000000000011</v>
      </c>
      <c r="AE3" s="4">
        <f>E3-D3</f>
        <v>73.25</v>
      </c>
      <c r="AF3" s="4">
        <f>G3-F3</f>
        <v>75.099999999999994</v>
      </c>
      <c r="AH3" s="52">
        <f>(($B$14*$B$14) - (AD3*AD3))/(4 *$B$14)</f>
        <v>14.421243749999997</v>
      </c>
      <c r="AI3" s="52">
        <f t="shared" ref="AI3:AJ7" si="2">(($B$14*$B$14) - (AE3*AE3))/(4 *$B$14)</f>
        <v>11.58609375</v>
      </c>
      <c r="AJ3" s="52">
        <f t="shared" si="2"/>
        <v>10.899975000000001</v>
      </c>
      <c r="AL3">
        <f>(AD3*AD3 + $B$14*$B$14)/(4*$B$14*$B$14) * B15 + AD3/(2*$B$14) * $AD$11</f>
        <v>6.4933420993442389E-2</v>
      </c>
      <c r="AM3">
        <f t="shared" ref="AM3:AN7" si="3">(AE3*AE3 + $B$14*$B$14)/(4*$B$14*$B$14) * C15 + AE3/(2*$B$14) * $AD$11</f>
        <v>7.2317451343019284E-2</v>
      </c>
      <c r="AN3">
        <f t="shared" si="3"/>
        <v>7.4143898919600645E-2</v>
      </c>
    </row>
    <row r="4" spans="1:40" x14ac:dyDescent="0.3">
      <c r="A4" s="8">
        <v>2</v>
      </c>
      <c r="B4" s="4">
        <v>24.6</v>
      </c>
      <c r="C4" s="4">
        <v>90</v>
      </c>
      <c r="D4" s="4">
        <v>18.350000000000001</v>
      </c>
      <c r="E4" s="4">
        <v>91.4</v>
      </c>
      <c r="F4" s="4">
        <v>16.600000000000001</v>
      </c>
      <c r="G4" s="4">
        <v>91.65</v>
      </c>
      <c r="I4" s="4">
        <f t="shared" ref="I4:I7" si="4">$B$14-B4</f>
        <v>75.400000000000006</v>
      </c>
      <c r="J4" s="4">
        <f t="shared" si="0"/>
        <v>10</v>
      </c>
      <c r="K4" s="4">
        <f t="shared" si="0"/>
        <v>81.650000000000006</v>
      </c>
      <c r="L4" s="4">
        <f t="shared" si="0"/>
        <v>8.5999999999999943</v>
      </c>
      <c r="M4" s="4">
        <f t="shared" si="0"/>
        <v>83.4</v>
      </c>
      <c r="N4" s="4">
        <f t="shared" si="0"/>
        <v>8.3499999999999943</v>
      </c>
      <c r="P4" s="49">
        <f t="shared" ref="P4:P7" si="5">1/(1/I4+1/B4)</f>
        <v>18.548400000000001</v>
      </c>
      <c r="Q4" s="49">
        <f t="shared" si="1"/>
        <v>9</v>
      </c>
      <c r="R4" s="49">
        <f t="shared" si="1"/>
        <v>14.982775</v>
      </c>
      <c r="S4" s="49">
        <f t="shared" si="1"/>
        <v>7.8603999999999958</v>
      </c>
      <c r="T4" s="49">
        <f t="shared" si="1"/>
        <v>13.8444</v>
      </c>
      <c r="U4" s="49">
        <f t="shared" si="1"/>
        <v>7.6527749999999948</v>
      </c>
      <c r="W4" s="41">
        <f t="shared" ref="W4:W7" si="6">((I4*I4)/((I4*I4) + (B4*B4))) *$B$11 + ((B4*B4)/((I4*I4) + (B4*B4)))*$I$11</f>
        <v>6.5982270345904273E-2</v>
      </c>
      <c r="X4" s="41">
        <f t="shared" ref="X4:X7" si="7">((J4*J4)/((J4*J4) + (C4*C4))) *$C$11 + ((C4*C4)/((J4*J4) + (C4*C4)))*$J$11</f>
        <v>0.1512380904402067</v>
      </c>
      <c r="Y4" s="41">
        <f t="shared" ref="Y4:Y7" si="8">((K4*K4)/((K4*K4) + (D4*D4))) *$D$11 + ((D4*D4)/((K4*K4) + (D4*D4)))*$K$11</f>
        <v>4.9033254022143175E-2</v>
      </c>
      <c r="Z4" s="41">
        <f t="shared" ref="Z4:Z7" si="9">((L4*L4)/((L4*L4) + (E4*E4))) *$E$11 + ((E4*E4)/((L4*L4) + (E4*E4)))*$L$11</f>
        <v>6.8873362049490766E-2</v>
      </c>
      <c r="AA4" s="41">
        <f t="shared" ref="AA4:AA7" si="10">((M4*M4)/((M4*M4) + (F4*F4))) *$F$11 + ((F4*F4)/((M4*M4) + (F4*F4)))*$M$11</f>
        <v>3.419999999999962E-2</v>
      </c>
      <c r="AB4" s="41">
        <f t="shared" ref="AB4:AB7" si="11">((N4*N4)/((N4*N4) + (G4*G4))) *$G$11 + ((G4*G4)/((N4*N4) + (G4*G4)))*$N$11</f>
        <v>4.188627460158996E-2</v>
      </c>
      <c r="AD4" s="4">
        <f t="shared" ref="AD4:AD7" si="12">C4-B4</f>
        <v>65.400000000000006</v>
      </c>
      <c r="AE4" s="4">
        <f t="shared" ref="AE4:AE7" si="13">E4-D4</f>
        <v>73.050000000000011</v>
      </c>
      <c r="AF4" s="4">
        <f t="shared" ref="AF4:AF7" si="14">G4-F4</f>
        <v>75.050000000000011</v>
      </c>
      <c r="AH4" s="52">
        <f t="shared" ref="AH4:AH7" si="15">(($B$14*$B$14) - (AD4*AD4))/(4 *$B$14)</f>
        <v>14.307099999999998</v>
      </c>
      <c r="AI4" s="52">
        <f t="shared" si="2"/>
        <v>11.659243749999996</v>
      </c>
      <c r="AJ4" s="52">
        <f t="shared" si="2"/>
        <v>10.918743749999997</v>
      </c>
      <c r="AL4">
        <f t="shared" ref="AL4:AL7" si="16">(AD4*AD4 + $B$14*$B$14)/(4*$B$14*$B$14) * B16 + AD4/(2*$B$14) * $AD$11</f>
        <v>6.4567390004552375E-2</v>
      </c>
      <c r="AM4">
        <f t="shared" si="3"/>
        <v>7.2119997550956452E-2</v>
      </c>
      <c r="AN4">
        <f t="shared" si="3"/>
        <v>7.4094535471584969E-2</v>
      </c>
    </row>
    <row r="5" spans="1:40" x14ac:dyDescent="0.3">
      <c r="A5" s="8">
        <v>3</v>
      </c>
      <c r="B5" s="4">
        <v>24.85</v>
      </c>
      <c r="C5" s="4">
        <v>89.35</v>
      </c>
      <c r="D5" s="4">
        <v>18.100000000000001</v>
      </c>
      <c r="E5" s="4">
        <v>91.35</v>
      </c>
      <c r="F5" s="4">
        <v>16.600000000000001</v>
      </c>
      <c r="G5" s="4">
        <v>91.7</v>
      </c>
      <c r="I5" s="4">
        <f t="shared" si="4"/>
        <v>75.150000000000006</v>
      </c>
      <c r="J5" s="4">
        <f t="shared" si="0"/>
        <v>10.650000000000006</v>
      </c>
      <c r="K5" s="4">
        <f t="shared" si="0"/>
        <v>81.900000000000006</v>
      </c>
      <c r="L5" s="4">
        <f t="shared" si="0"/>
        <v>8.6500000000000057</v>
      </c>
      <c r="M5" s="4">
        <f t="shared" si="0"/>
        <v>83.4</v>
      </c>
      <c r="N5" s="4">
        <f t="shared" si="0"/>
        <v>8.2999999999999972</v>
      </c>
      <c r="P5" s="49">
        <f t="shared" si="5"/>
        <v>18.674775</v>
      </c>
      <c r="Q5" s="49">
        <f t="shared" si="1"/>
        <v>9.515775000000005</v>
      </c>
      <c r="R5" s="49">
        <f t="shared" si="1"/>
        <v>14.8239</v>
      </c>
      <c r="S5" s="49">
        <f t="shared" si="1"/>
        <v>7.9017750000000051</v>
      </c>
      <c r="T5" s="49">
        <f t="shared" si="1"/>
        <v>13.8444</v>
      </c>
      <c r="U5" s="49">
        <f t="shared" si="1"/>
        <v>7.6110999999999969</v>
      </c>
      <c r="W5" s="41">
        <f t="shared" si="6"/>
        <v>6.5982270345904259E-2</v>
      </c>
      <c r="X5" s="41">
        <f t="shared" si="7"/>
        <v>0.1512380904402067</v>
      </c>
      <c r="Y5" s="41">
        <f t="shared" si="8"/>
        <v>4.9033254022143181E-2</v>
      </c>
      <c r="Z5" s="41">
        <f t="shared" si="9"/>
        <v>6.8873362049490766E-2</v>
      </c>
      <c r="AA5" s="41">
        <f t="shared" si="10"/>
        <v>3.419999999999962E-2</v>
      </c>
      <c r="AB5" s="41">
        <f t="shared" si="11"/>
        <v>4.188627460158996E-2</v>
      </c>
      <c r="AD5" s="4">
        <f t="shared" si="12"/>
        <v>64.5</v>
      </c>
      <c r="AE5" s="4">
        <f t="shared" si="13"/>
        <v>73.25</v>
      </c>
      <c r="AF5" s="4">
        <f t="shared" si="14"/>
        <v>75.099999999999994</v>
      </c>
      <c r="AH5" s="52">
        <f t="shared" si="15"/>
        <v>14.599375</v>
      </c>
      <c r="AI5" s="52">
        <f t="shared" si="2"/>
        <v>11.58609375</v>
      </c>
      <c r="AJ5" s="52">
        <f t="shared" si="2"/>
        <v>10.899975000000001</v>
      </c>
      <c r="AL5">
        <f t="shared" si="16"/>
        <v>6.367884794026954E-2</v>
      </c>
      <c r="AM5">
        <f t="shared" si="3"/>
        <v>7.2317451343019284E-2</v>
      </c>
      <c r="AN5">
        <f t="shared" si="3"/>
        <v>7.4143898919600645E-2</v>
      </c>
    </row>
    <row r="6" spans="1:40" x14ac:dyDescent="0.3">
      <c r="A6" s="8">
        <v>4</v>
      </c>
      <c r="B6" s="4">
        <v>24.6</v>
      </c>
      <c r="C6" s="4">
        <v>89.8</v>
      </c>
      <c r="D6" s="4">
        <v>18.149999999999999</v>
      </c>
      <c r="E6" s="4">
        <v>91.35</v>
      </c>
      <c r="F6" s="4">
        <v>16.7</v>
      </c>
      <c r="G6" s="4">
        <v>91.8</v>
      </c>
      <c r="I6" s="4">
        <f t="shared" si="4"/>
        <v>75.400000000000006</v>
      </c>
      <c r="J6" s="4">
        <f t="shared" si="0"/>
        <v>10.200000000000003</v>
      </c>
      <c r="K6" s="4">
        <f t="shared" si="0"/>
        <v>81.849999999999994</v>
      </c>
      <c r="L6" s="4">
        <f t="shared" si="0"/>
        <v>8.6500000000000057</v>
      </c>
      <c r="M6" s="4">
        <f t="shared" si="0"/>
        <v>83.3</v>
      </c>
      <c r="N6" s="4">
        <f t="shared" si="0"/>
        <v>8.2000000000000028</v>
      </c>
      <c r="P6" s="49">
        <f t="shared" si="5"/>
        <v>18.548400000000001</v>
      </c>
      <c r="Q6" s="49">
        <f t="shared" si="1"/>
        <v>9.1596000000000029</v>
      </c>
      <c r="R6" s="49">
        <f t="shared" si="1"/>
        <v>14.855775000000001</v>
      </c>
      <c r="S6" s="49">
        <f t="shared" si="1"/>
        <v>7.9017750000000051</v>
      </c>
      <c r="T6" s="49">
        <f t="shared" si="1"/>
        <v>13.911100000000001</v>
      </c>
      <c r="U6" s="49">
        <f t="shared" si="1"/>
        <v>7.5276000000000032</v>
      </c>
      <c r="W6" s="41">
        <f>((I6*I6)/((I6*I6) + (B6*B6))) *$B$11 + ((B6*B6)/((I6*I6) + (B6*B6)))*$I$11</f>
        <v>6.5982270345904273E-2</v>
      </c>
      <c r="X6" s="41">
        <f t="shared" si="7"/>
        <v>0.15123809044020667</v>
      </c>
      <c r="Y6" s="41">
        <f t="shared" si="8"/>
        <v>4.9033254022143181E-2</v>
      </c>
      <c r="Z6" s="41">
        <f t="shared" si="9"/>
        <v>6.8873362049490766E-2</v>
      </c>
      <c r="AA6" s="41">
        <f t="shared" si="10"/>
        <v>3.419999999999962E-2</v>
      </c>
      <c r="AB6" s="41">
        <f t="shared" si="11"/>
        <v>4.188627460158996E-2</v>
      </c>
      <c r="AD6" s="4">
        <f t="shared" si="12"/>
        <v>65.199999999999989</v>
      </c>
      <c r="AE6" s="4">
        <f t="shared" si="13"/>
        <v>73.199999999999989</v>
      </c>
      <c r="AF6" s="4">
        <f t="shared" si="14"/>
        <v>75.099999999999994</v>
      </c>
      <c r="AH6" s="52">
        <f t="shared" si="15"/>
        <v>14.372400000000004</v>
      </c>
      <c r="AI6" s="52">
        <f t="shared" si="2"/>
        <v>11.604400000000005</v>
      </c>
      <c r="AJ6" s="52">
        <f t="shared" si="2"/>
        <v>10.899975000000001</v>
      </c>
      <c r="AL6">
        <f t="shared" si="16"/>
        <v>6.4369936212489515E-2</v>
      </c>
      <c r="AM6">
        <f t="shared" si="3"/>
        <v>7.2268087895003566E-2</v>
      </c>
      <c r="AN6">
        <f t="shared" si="3"/>
        <v>7.4143898919600645E-2</v>
      </c>
    </row>
    <row r="7" spans="1:40" x14ac:dyDescent="0.3">
      <c r="A7" s="8">
        <v>5</v>
      </c>
      <c r="B7" s="4">
        <v>24.8</v>
      </c>
      <c r="C7" s="4">
        <v>89.4</v>
      </c>
      <c r="D7" s="4">
        <v>18.149999999999999</v>
      </c>
      <c r="E7" s="4">
        <v>91.1</v>
      </c>
      <c r="F7" s="4">
        <v>16.7</v>
      </c>
      <c r="G7" s="4">
        <v>91.8</v>
      </c>
      <c r="I7" s="4">
        <f t="shared" si="4"/>
        <v>75.2</v>
      </c>
      <c r="J7" s="4">
        <f t="shared" si="0"/>
        <v>10.599999999999994</v>
      </c>
      <c r="K7" s="4">
        <f t="shared" si="0"/>
        <v>81.849999999999994</v>
      </c>
      <c r="L7" s="4">
        <f t="shared" si="0"/>
        <v>8.9000000000000057</v>
      </c>
      <c r="M7" s="4">
        <f t="shared" si="0"/>
        <v>83.3</v>
      </c>
      <c r="N7" s="4">
        <f t="shared" si="0"/>
        <v>8.2000000000000028</v>
      </c>
      <c r="P7" s="49">
        <f t="shared" si="5"/>
        <v>18.6496</v>
      </c>
      <c r="Q7" s="49">
        <f t="shared" si="1"/>
        <v>9.4763999999999946</v>
      </c>
      <c r="R7" s="49">
        <f t="shared" si="1"/>
        <v>14.855775000000001</v>
      </c>
      <c r="S7" s="49">
        <f t="shared" si="1"/>
        <v>8.1079000000000043</v>
      </c>
      <c r="T7" s="49">
        <f t="shared" si="1"/>
        <v>13.911100000000001</v>
      </c>
      <c r="U7" s="49">
        <f t="shared" si="1"/>
        <v>7.5276000000000032</v>
      </c>
      <c r="W7" s="41">
        <f t="shared" si="6"/>
        <v>6.5982270345904259E-2</v>
      </c>
      <c r="X7" s="41">
        <f t="shared" si="7"/>
        <v>0.1512380904402067</v>
      </c>
      <c r="Y7" s="41">
        <f t="shared" si="8"/>
        <v>4.9033254022143181E-2</v>
      </c>
      <c r="Z7" s="41">
        <f t="shared" si="9"/>
        <v>6.8873362049490752E-2</v>
      </c>
      <c r="AA7" s="41">
        <f t="shared" si="10"/>
        <v>3.419999999999962E-2</v>
      </c>
      <c r="AB7" s="41">
        <f t="shared" si="11"/>
        <v>4.188627460158996E-2</v>
      </c>
      <c r="AD7" s="4">
        <f t="shared" si="12"/>
        <v>64.600000000000009</v>
      </c>
      <c r="AE7" s="4">
        <f t="shared" si="13"/>
        <v>72.949999999999989</v>
      </c>
      <c r="AF7" s="4">
        <f t="shared" si="14"/>
        <v>75.099999999999994</v>
      </c>
      <c r="AH7" s="52">
        <f t="shared" si="15"/>
        <v>14.567099999999998</v>
      </c>
      <c r="AI7" s="52">
        <f t="shared" si="2"/>
        <v>11.695743750000004</v>
      </c>
      <c r="AJ7" s="52">
        <f t="shared" si="2"/>
        <v>10.899975000000001</v>
      </c>
      <c r="AL7">
        <f t="shared" si="16"/>
        <v>6.3777574836300976E-2</v>
      </c>
      <c r="AM7">
        <f t="shared" si="3"/>
        <v>7.2021270654925001E-2</v>
      </c>
      <c r="AN7">
        <f t="shared" si="3"/>
        <v>7.4143898919600645E-2</v>
      </c>
    </row>
    <row r="8" spans="1:40" x14ac:dyDescent="0.3">
      <c r="A8" s="44" t="s">
        <v>9</v>
      </c>
      <c r="B8" s="45">
        <f>AVERAGEA(B3:B7)</f>
        <v>24.740000000000002</v>
      </c>
      <c r="C8" s="45">
        <f t="shared" ref="C8:N8" si="17">AVERAGEA(C3:C7)</f>
        <v>89.690000000000012</v>
      </c>
      <c r="D8" s="45">
        <f t="shared" si="17"/>
        <v>18.189999999999998</v>
      </c>
      <c r="E8" s="45">
        <f t="shared" si="17"/>
        <v>91.330000000000013</v>
      </c>
      <c r="F8" s="45">
        <f t="shared" si="17"/>
        <v>16.670000000000002</v>
      </c>
      <c r="G8" s="45">
        <f t="shared" si="17"/>
        <v>91.76</v>
      </c>
      <c r="I8" s="45">
        <f t="shared" si="17"/>
        <v>75.260000000000005</v>
      </c>
      <c r="J8" s="45">
        <f t="shared" si="17"/>
        <v>10.309999999999999</v>
      </c>
      <c r="K8" s="45">
        <f t="shared" si="17"/>
        <v>81.809999999999988</v>
      </c>
      <c r="L8" s="45">
        <f t="shared" si="17"/>
        <v>8.6700000000000017</v>
      </c>
      <c r="M8" s="45">
        <f t="shared" si="17"/>
        <v>83.330000000000013</v>
      </c>
      <c r="N8" s="45">
        <f t="shared" si="17"/>
        <v>8.24</v>
      </c>
      <c r="AD8" s="45">
        <f t="shared" ref="AD8:AF8" si="18">AVERAGEA(AD3:AD7)</f>
        <v>64.95</v>
      </c>
      <c r="AE8" s="45">
        <f t="shared" si="18"/>
        <v>73.14</v>
      </c>
      <c r="AF8" s="45">
        <f t="shared" si="18"/>
        <v>75.09</v>
      </c>
      <c r="AK8" s="55" t="s">
        <v>74</v>
      </c>
      <c r="AL8" s="55">
        <f>AVERAGE(AL3:AL7)</f>
        <v>6.4265433997410956E-2</v>
      </c>
      <c r="AM8" s="55">
        <f t="shared" ref="AM8:AN8" si="19">AVERAGE(AM3:AM7)</f>
        <v>7.2208851757384715E-2</v>
      </c>
      <c r="AN8" s="55">
        <f t="shared" si="19"/>
        <v>7.4134026229997513E-2</v>
      </c>
    </row>
    <row r="9" spans="1:40" ht="30.6" customHeight="1" x14ac:dyDescent="0.3">
      <c r="A9" s="14" t="s">
        <v>18</v>
      </c>
      <c r="B9" s="46">
        <f>STDEV(B3:B7)</f>
        <v>0.12942179105544777</v>
      </c>
      <c r="C9" s="46">
        <f t="shared" ref="C9:N9" si="20">STDEV(C3:C7)</f>
        <v>0.29664793948382751</v>
      </c>
      <c r="D9" s="46">
        <f t="shared" si="20"/>
        <v>9.6176920308357269E-2</v>
      </c>
      <c r="E9" s="46">
        <f t="shared" si="20"/>
        <v>0.13509256086106633</v>
      </c>
      <c r="F9" s="46">
        <f t="shared" si="20"/>
        <v>6.7082039324992793E-2</v>
      </c>
      <c r="G9" s="46">
        <f t="shared" si="20"/>
        <v>8.2158383625770243E-2</v>
      </c>
      <c r="I9" s="46">
        <f t="shared" si="20"/>
        <v>0.12942179105544818</v>
      </c>
      <c r="J9" s="46">
        <f t="shared" si="20"/>
        <v>0.29664793948382751</v>
      </c>
      <c r="K9" s="46">
        <f t="shared" si="20"/>
        <v>9.6176920308354591E-2</v>
      </c>
      <c r="L9" s="46">
        <f t="shared" si="20"/>
        <v>0.13509256086106633</v>
      </c>
      <c r="M9" s="46">
        <f t="shared" si="20"/>
        <v>6.7082039324997289E-2</v>
      </c>
      <c r="N9" s="46">
        <f t="shared" si="20"/>
        <v>8.2158383625770257E-2</v>
      </c>
      <c r="AD9" s="46">
        <f t="shared" ref="AD9:AF9" si="21">STDEV(AD3:AD7)</f>
        <v>0.38729833462074031</v>
      </c>
      <c r="AE9" s="46">
        <f t="shared" si="21"/>
        <v>0.13416407864998822</v>
      </c>
      <c r="AF9" s="46">
        <f t="shared" si="21"/>
        <v>2.2360679774990271E-2</v>
      </c>
    </row>
    <row r="10" spans="1:40" ht="44.4" customHeight="1" x14ac:dyDescent="0.3">
      <c r="A10" s="53" t="s">
        <v>65</v>
      </c>
      <c r="B10" s="5">
        <f>B9*1.14</f>
        <v>0.14754084180321045</v>
      </c>
      <c r="C10" s="5">
        <f t="shared" ref="C10:G10" si="22">C9*1.14</f>
        <v>0.3381786510115633</v>
      </c>
      <c r="D10" s="5">
        <f t="shared" si="22"/>
        <v>0.10964168915152728</v>
      </c>
      <c r="E10" s="5">
        <f t="shared" si="22"/>
        <v>0.15400551938161561</v>
      </c>
      <c r="F10" s="5">
        <f t="shared" si="22"/>
        <v>7.6473524830491774E-2</v>
      </c>
      <c r="G10" s="5">
        <f t="shared" si="22"/>
        <v>9.3660557333378067E-2</v>
      </c>
      <c r="I10" s="5">
        <f t="shared" ref="I10:N10" si="23">I9*1.14</f>
        <v>0.14754084180321092</v>
      </c>
      <c r="J10" s="5">
        <f t="shared" si="23"/>
        <v>0.3381786510115633</v>
      </c>
      <c r="K10" s="5">
        <f t="shared" si="23"/>
        <v>0.10964168915152422</v>
      </c>
      <c r="L10" s="5">
        <f t="shared" si="23"/>
        <v>0.15400551938161561</v>
      </c>
      <c r="M10" s="5">
        <f t="shared" si="23"/>
        <v>7.6473524830496908E-2</v>
      </c>
      <c r="N10" s="5">
        <f t="shared" si="23"/>
        <v>9.3660557333378081E-2</v>
      </c>
      <c r="AD10" s="5">
        <f t="shared" ref="AD10:AF10" si="24">AD9*1.14</f>
        <v>0.44152010146764392</v>
      </c>
      <c r="AE10" s="5">
        <f t="shared" si="24"/>
        <v>0.15294704966098657</v>
      </c>
      <c r="AF10" s="5">
        <f t="shared" si="24"/>
        <v>2.5491174943488907E-2</v>
      </c>
    </row>
    <row r="11" spans="1:40" ht="45.6" customHeight="1" x14ac:dyDescent="0.3">
      <c r="A11" s="54" t="s">
        <v>66</v>
      </c>
      <c r="B11" s="7">
        <f>B10/SQRT(5)</f>
        <v>6.5982270345904245E-2</v>
      </c>
      <c r="C11" s="7">
        <f t="shared" ref="C11:G11" si="25">C10/SQRT(5)</f>
        <v>0.1512380904402067</v>
      </c>
      <c r="D11" s="7">
        <f t="shared" si="25"/>
        <v>4.9033254022143244E-2</v>
      </c>
      <c r="E11" s="7">
        <f t="shared" si="25"/>
        <v>6.8873362049490766E-2</v>
      </c>
      <c r="F11" s="7">
        <f t="shared" si="25"/>
        <v>3.4199999999999536E-2</v>
      </c>
      <c r="G11" s="7">
        <f t="shared" si="25"/>
        <v>4.1886274601589953E-2</v>
      </c>
      <c r="I11" s="7">
        <f t="shared" ref="I11:N11" si="26">I10/SQRT(5)</f>
        <v>6.5982270345904454E-2</v>
      </c>
      <c r="J11" s="7">
        <f t="shared" si="26"/>
        <v>0.1512380904402067</v>
      </c>
      <c r="K11" s="7">
        <f t="shared" si="26"/>
        <v>4.9033254022141877E-2</v>
      </c>
      <c r="L11" s="7">
        <f t="shared" si="26"/>
        <v>6.8873362049490766E-2</v>
      </c>
      <c r="M11" s="7">
        <f t="shared" si="26"/>
        <v>3.4200000000001833E-2</v>
      </c>
      <c r="N11" s="7">
        <f t="shared" si="26"/>
        <v>4.188627460158996E-2</v>
      </c>
      <c r="AD11" s="7">
        <f t="shared" ref="AD11:AF11" si="27">AD10/SQRT(5)</f>
        <v>0.1974537920628513</v>
      </c>
      <c r="AE11" s="7">
        <f t="shared" si="27"/>
        <v>6.8400000000000419E-2</v>
      </c>
      <c r="AF11" s="7">
        <f t="shared" si="27"/>
        <v>1.1399999999996111E-2</v>
      </c>
    </row>
    <row r="14" spans="1:40" x14ac:dyDescent="0.3">
      <c r="A14" s="47" t="s">
        <v>14</v>
      </c>
      <c r="B14" s="47">
        <v>100</v>
      </c>
    </row>
    <row r="15" spans="1:40" x14ac:dyDescent="0.3">
      <c r="A15" t="s">
        <v>73</v>
      </c>
      <c r="B15">
        <v>2E-3</v>
      </c>
    </row>
  </sheetData>
  <mergeCells count="12">
    <mergeCell ref="AA1:AB1"/>
    <mergeCell ref="B1:C1"/>
    <mergeCell ref="D1:E1"/>
    <mergeCell ref="F1:G1"/>
    <mergeCell ref="I1:J1"/>
    <mergeCell ref="K1:L1"/>
    <mergeCell ref="M1:N1"/>
    <mergeCell ref="P1:Q1"/>
    <mergeCell ref="R1:S1"/>
    <mergeCell ref="T1:U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4.4" x14ac:dyDescent="0.3"/>
  <cols>
    <col min="1" max="1" width="11.44140625" customWidth="1"/>
    <col min="2" max="2" width="13.5546875" customWidth="1"/>
    <col min="3" max="3" width="12.88671875" customWidth="1"/>
    <col min="4" max="4" width="18.5546875" customWidth="1"/>
  </cols>
  <sheetData>
    <row r="1" spans="1:3" x14ac:dyDescent="0.3">
      <c r="A1" s="58" t="s">
        <v>44</v>
      </c>
      <c r="B1" s="58"/>
      <c r="C1" s="58"/>
    </row>
    <row r="2" spans="1:3" x14ac:dyDescent="0.3">
      <c r="A2" s="5" t="str">
        <f>rozpraszajace!AD2</f>
        <v>e</v>
      </c>
      <c r="B2" s="5" t="s">
        <v>14</v>
      </c>
      <c r="C2" s="5" t="str">
        <f>rozpraszajace!AH2</f>
        <v>$f_{bessela}$</v>
      </c>
    </row>
    <row r="3" spans="1:3" x14ac:dyDescent="0.3">
      <c r="A3" s="4">
        <f>rozpraszajace!AD3</f>
        <v>65.050000000000011</v>
      </c>
      <c r="B3" s="5">
        <f>rozpraszajace!$B$14</f>
        <v>100</v>
      </c>
      <c r="C3" s="50">
        <f>rozpraszajace!AH3</f>
        <v>14.421243749999997</v>
      </c>
    </row>
    <row r="4" spans="1:3" x14ac:dyDescent="0.3">
      <c r="A4" s="4">
        <f>rozpraszajace!AD4</f>
        <v>65.400000000000006</v>
      </c>
      <c r="B4" s="5">
        <f>rozpraszajace!$B$14</f>
        <v>100</v>
      </c>
      <c r="C4" s="50">
        <f>rozpraszajace!AH4</f>
        <v>14.307099999999998</v>
      </c>
    </row>
    <row r="5" spans="1:3" x14ac:dyDescent="0.3">
      <c r="A5" s="4">
        <f>rozpraszajace!AD5</f>
        <v>64.5</v>
      </c>
      <c r="B5" s="5">
        <f>rozpraszajace!$B$14</f>
        <v>100</v>
      </c>
      <c r="C5" s="50">
        <f>rozpraszajace!AH5</f>
        <v>14.599375</v>
      </c>
    </row>
    <row r="6" spans="1:3" x14ac:dyDescent="0.3">
      <c r="A6" s="4">
        <f>rozpraszajace!AD6</f>
        <v>65.199999999999989</v>
      </c>
      <c r="B6" s="5">
        <f>rozpraszajace!$B$14</f>
        <v>100</v>
      </c>
      <c r="C6" s="50">
        <f>rozpraszajace!AH6</f>
        <v>14.372400000000004</v>
      </c>
    </row>
    <row r="7" spans="1:3" x14ac:dyDescent="0.3">
      <c r="A7" s="4">
        <f>rozpraszajace!AD7</f>
        <v>64.600000000000009</v>
      </c>
      <c r="B7" s="5">
        <f>rozpraszajace!$B$14</f>
        <v>100</v>
      </c>
      <c r="C7" s="50">
        <f>rozpraszajace!AH7</f>
        <v>14.567099999999998</v>
      </c>
    </row>
    <row r="8" spans="1:3" x14ac:dyDescent="0.3">
      <c r="A8" s="22"/>
      <c r="B8" s="56"/>
      <c r="C8" s="40"/>
    </row>
    <row r="9" spans="1:3" x14ac:dyDescent="0.3">
      <c r="A9" s="5" t="s">
        <v>79</v>
      </c>
      <c r="B9" s="5" t="str">
        <f>rozpraszajace!AH2</f>
        <v>$f_{bessela}$</v>
      </c>
    </row>
    <row r="10" spans="1:3" x14ac:dyDescent="0.3">
      <c r="A10" s="5" t="s">
        <v>76</v>
      </c>
      <c r="B10" s="50">
        <f>AVERAGE(C3:C7)</f>
        <v>14.45344375</v>
      </c>
    </row>
    <row r="11" spans="1:3" x14ac:dyDescent="0.3">
      <c r="A11" s="5" t="s">
        <v>78</v>
      </c>
      <c r="B11" s="5">
        <f>STDEV(C3:C7)</f>
        <v>0.12573294662572498</v>
      </c>
    </row>
    <row r="12" spans="1:3" x14ac:dyDescent="0.3">
      <c r="A12" s="5" t="s">
        <v>77</v>
      </c>
      <c r="B12" s="5">
        <f>rozpraszajace!AL8</f>
        <v>6.4265433997410956E-2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4.4" x14ac:dyDescent="0.3"/>
  <cols>
    <col min="2" max="2" width="12.33203125" customWidth="1"/>
    <col min="3" max="3" width="12.21875" customWidth="1"/>
  </cols>
  <sheetData>
    <row r="1" spans="1:5" x14ac:dyDescent="0.3">
      <c r="A1" s="58" t="s">
        <v>45</v>
      </c>
      <c r="B1" s="58"/>
      <c r="C1" s="58"/>
    </row>
    <row r="2" spans="1:5" x14ac:dyDescent="0.3">
      <c r="A2" s="5" t="str">
        <f>rozpraszajace!AE2</f>
        <v>e</v>
      </c>
      <c r="B2" s="5" t="s">
        <v>14</v>
      </c>
      <c r="C2" s="5" t="str">
        <f>rozpraszajace!AI2</f>
        <v>$f_{bessela}$</v>
      </c>
    </row>
    <row r="3" spans="1:5" x14ac:dyDescent="0.3">
      <c r="A3" s="4">
        <f>rozpraszajace!AE3</f>
        <v>73.25</v>
      </c>
      <c r="B3" s="5">
        <f>rozpraszajace!$B$14</f>
        <v>100</v>
      </c>
      <c r="C3" s="50">
        <f>rozpraszajace!AI3</f>
        <v>11.58609375</v>
      </c>
    </row>
    <row r="4" spans="1:5" x14ac:dyDescent="0.3">
      <c r="A4" s="4">
        <f>rozpraszajace!AE4</f>
        <v>73.050000000000011</v>
      </c>
      <c r="B4" s="5">
        <f>rozpraszajace!$B$14</f>
        <v>100</v>
      </c>
      <c r="C4" s="50">
        <f>rozpraszajace!AI4</f>
        <v>11.659243749999996</v>
      </c>
    </row>
    <row r="5" spans="1:5" x14ac:dyDescent="0.3">
      <c r="A5" s="4">
        <f>rozpraszajace!AE5</f>
        <v>73.25</v>
      </c>
      <c r="B5" s="5">
        <f>rozpraszajace!$B$14</f>
        <v>100</v>
      </c>
      <c r="C5" s="50">
        <f>rozpraszajace!AI5</f>
        <v>11.58609375</v>
      </c>
    </row>
    <row r="6" spans="1:5" x14ac:dyDescent="0.3">
      <c r="A6" s="4">
        <f>rozpraszajace!AE6</f>
        <v>73.199999999999989</v>
      </c>
      <c r="B6" s="5">
        <f>rozpraszajace!$B$14</f>
        <v>100</v>
      </c>
      <c r="C6" s="50">
        <f>rozpraszajace!AI6</f>
        <v>11.604400000000005</v>
      </c>
    </row>
    <row r="7" spans="1:5" x14ac:dyDescent="0.3">
      <c r="A7" s="4">
        <f>rozpraszajace!AE7</f>
        <v>72.949999999999989</v>
      </c>
      <c r="B7" s="5">
        <f>rozpraszajace!$B$14</f>
        <v>100</v>
      </c>
      <c r="C7" s="50">
        <f>rozpraszajace!AI7</f>
        <v>11.695743750000004</v>
      </c>
    </row>
    <row r="8" spans="1:5" x14ac:dyDescent="0.3">
      <c r="A8" s="22"/>
      <c r="B8" s="56"/>
      <c r="C8" s="40"/>
    </row>
    <row r="9" spans="1:5" x14ac:dyDescent="0.3">
      <c r="A9" s="5" t="s">
        <v>79</v>
      </c>
      <c r="B9" s="5" t="str">
        <f>rozpraszajace!AI2</f>
        <v>$f_{bessela}$</v>
      </c>
    </row>
    <row r="10" spans="1:5" x14ac:dyDescent="0.3">
      <c r="A10" s="5" t="s">
        <v>76</v>
      </c>
      <c r="B10" s="50">
        <f>AVERAGE(C3:C7)</f>
        <v>11.626315000000002</v>
      </c>
    </row>
    <row r="11" spans="1:5" x14ac:dyDescent="0.3">
      <c r="A11" s="5" t="s">
        <v>78</v>
      </c>
      <c r="B11" s="5">
        <f>STDEV(C3:C7)</f>
        <v>4.9041867397281211E-2</v>
      </c>
    </row>
    <row r="12" spans="1:5" x14ac:dyDescent="0.3">
      <c r="A12" s="5" t="s">
        <v>77</v>
      </c>
      <c r="B12" s="5">
        <f>rozpraszajace!AM8</f>
        <v>7.2208851757384715E-2</v>
      </c>
      <c r="E12" t="s">
        <v>80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4.4" x14ac:dyDescent="0.3"/>
  <cols>
    <col min="2" max="2" width="12.5546875" customWidth="1"/>
    <col min="3" max="3" width="13.33203125" customWidth="1"/>
  </cols>
  <sheetData>
    <row r="1" spans="1:3" x14ac:dyDescent="0.3">
      <c r="A1" s="58" t="s">
        <v>46</v>
      </c>
      <c r="B1" s="58"/>
      <c r="C1" s="58"/>
    </row>
    <row r="2" spans="1:3" x14ac:dyDescent="0.3">
      <c r="A2" s="5" t="str">
        <f>rozpraszajace!AF2</f>
        <v>e</v>
      </c>
      <c r="B2" s="5" t="s">
        <v>14</v>
      </c>
      <c r="C2" s="5" t="str">
        <f>rozpraszajace!AJ2</f>
        <v>$f_{bessela}$</v>
      </c>
    </row>
    <row r="3" spans="1:3" x14ac:dyDescent="0.3">
      <c r="A3" s="4">
        <f>rozpraszajace!AF3</f>
        <v>75.099999999999994</v>
      </c>
      <c r="B3" s="5">
        <f>rozpraszajace!$B$14</f>
        <v>100</v>
      </c>
      <c r="C3" s="50">
        <f>rozpraszajace!AJ3</f>
        <v>10.899975000000001</v>
      </c>
    </row>
    <row r="4" spans="1:3" x14ac:dyDescent="0.3">
      <c r="A4" s="4">
        <f>rozpraszajace!AF4</f>
        <v>75.050000000000011</v>
      </c>
      <c r="B4" s="5">
        <f>rozpraszajace!$B$14</f>
        <v>100</v>
      </c>
      <c r="C4" s="50">
        <f>rozpraszajace!AJ4</f>
        <v>10.918743749999997</v>
      </c>
    </row>
    <row r="5" spans="1:3" x14ac:dyDescent="0.3">
      <c r="A5" s="4">
        <f>rozpraszajace!AF5</f>
        <v>75.099999999999994</v>
      </c>
      <c r="B5" s="5">
        <f>rozpraszajace!$B$14</f>
        <v>100</v>
      </c>
      <c r="C5" s="50">
        <f>rozpraszajace!AJ5</f>
        <v>10.899975000000001</v>
      </c>
    </row>
    <row r="6" spans="1:3" x14ac:dyDescent="0.3">
      <c r="A6" s="4">
        <f>rozpraszajace!AF6</f>
        <v>75.099999999999994</v>
      </c>
      <c r="B6" s="5">
        <f>rozpraszajace!$B$14</f>
        <v>100</v>
      </c>
      <c r="C6" s="50">
        <f>rozpraszajace!AJ6</f>
        <v>10.899975000000001</v>
      </c>
    </row>
    <row r="7" spans="1:3" x14ac:dyDescent="0.3">
      <c r="A7" s="4">
        <f>rozpraszajace!AF7</f>
        <v>75.099999999999994</v>
      </c>
      <c r="B7" s="5">
        <f>rozpraszajace!$B$14</f>
        <v>100</v>
      </c>
      <c r="C7" s="50">
        <f>rozpraszajace!AJ7</f>
        <v>10.899975000000001</v>
      </c>
    </row>
    <row r="8" spans="1:3" x14ac:dyDescent="0.3">
      <c r="A8" s="22"/>
      <c r="B8" s="56"/>
      <c r="C8" s="40"/>
    </row>
    <row r="9" spans="1:3" x14ac:dyDescent="0.3">
      <c r="A9" s="5" t="s">
        <v>79</v>
      </c>
      <c r="B9" s="5" t="str">
        <f>rozpraszajace!AJ2</f>
        <v>$f_{bessela}$</v>
      </c>
    </row>
    <row r="10" spans="1:3" x14ac:dyDescent="0.3">
      <c r="A10" s="5" t="s">
        <v>76</v>
      </c>
      <c r="B10" s="50">
        <f>AVERAGE(C3:C7)</f>
        <v>10.903728749999999</v>
      </c>
    </row>
    <row r="11" spans="1:3" x14ac:dyDescent="0.3">
      <c r="A11" s="5" t="s">
        <v>78</v>
      </c>
      <c r="B11" s="5">
        <f>STDEV(C3:C7)</f>
        <v>8.3936401705380498E-3</v>
      </c>
    </row>
    <row r="12" spans="1:3" x14ac:dyDescent="0.3">
      <c r="A12" s="5" t="s">
        <v>77</v>
      </c>
      <c r="B12" s="5">
        <f>rozpraszajace!AN8</f>
        <v>7.4134026229997513E-2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Arkusz1</vt:lpstr>
      <vt:lpstr>rozpr</vt:lpstr>
      <vt:lpstr>Skupiajace</vt:lpstr>
      <vt:lpstr>A</vt:lpstr>
      <vt:lpstr>B</vt:lpstr>
      <vt:lpstr>C</vt:lpstr>
      <vt:lpstr>rozpraszajace</vt:lpstr>
      <vt:lpstr>A+1</vt:lpstr>
      <vt:lpstr>A+2</vt:lpstr>
      <vt:lpstr>A+3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2024-10-22T10:52:31Z</dcterms:created>
  <dcterms:modified xsi:type="dcterms:W3CDTF">2024-11-02T21:29:56Z</dcterms:modified>
</cp:coreProperties>
</file>