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sem3\lab_fiz\303\"/>
    </mc:Choice>
  </mc:AlternateContent>
  <bookViews>
    <workbookView xWindow="0" yWindow="0" windowWidth="23040" windowHeight="9192" activeTab="1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3" i="2" l="1"/>
  <c r="P14" i="2"/>
  <c r="P15" i="2"/>
  <c r="P16" i="2"/>
  <c r="P17" i="2"/>
  <c r="P13" i="2"/>
  <c r="R16" i="2"/>
  <c r="R17" i="2"/>
  <c r="N17" i="2"/>
  <c r="N16" i="2"/>
  <c r="N15" i="2"/>
  <c r="N14" i="2"/>
  <c r="N13" i="2"/>
  <c r="R15" i="2"/>
  <c r="R14" i="2"/>
  <c r="M17" i="2"/>
  <c r="M16" i="2"/>
  <c r="M15" i="2"/>
  <c r="M13" i="2"/>
  <c r="M14" i="2"/>
  <c r="Y7" i="2"/>
  <c r="Z7" i="2"/>
  <c r="AA6" i="2"/>
  <c r="Z6" i="2"/>
  <c r="Y6" i="2"/>
  <c r="G34" i="2" l="1"/>
  <c r="F34" i="2"/>
  <c r="G27" i="2"/>
  <c r="F27" i="2"/>
  <c r="G20" i="2"/>
  <c r="F20" i="2"/>
  <c r="H13" i="2"/>
  <c r="I13" i="2"/>
  <c r="G13" i="2"/>
  <c r="W7" i="2" l="1"/>
  <c r="W6" i="2"/>
  <c r="V6" i="2"/>
  <c r="U6" i="2"/>
  <c r="T6" i="2"/>
  <c r="S6" i="2"/>
  <c r="R6" i="2"/>
  <c r="R7" i="2" s="1"/>
  <c r="Q6" i="2"/>
  <c r="P6" i="2"/>
  <c r="P7" i="2" s="1"/>
  <c r="O6" i="2"/>
  <c r="O7" i="2" s="1"/>
  <c r="Q7" i="2"/>
  <c r="V7" i="2"/>
  <c r="T7" i="2"/>
  <c r="U7" i="2"/>
  <c r="S7" i="2"/>
  <c r="N6" i="2"/>
  <c r="N5" i="2"/>
  <c r="I24" i="2"/>
  <c r="I31" i="2"/>
  <c r="I38" i="2"/>
  <c r="K17" i="2"/>
  <c r="G38" i="2"/>
  <c r="F38" i="2"/>
  <c r="G37" i="2"/>
  <c r="F37" i="2"/>
  <c r="G35" i="2"/>
  <c r="F35" i="2"/>
  <c r="G31" i="2"/>
  <c r="F31" i="2"/>
  <c r="G30" i="2"/>
  <c r="F30" i="2"/>
  <c r="G28" i="2"/>
  <c r="I28" i="2" s="1"/>
  <c r="F28" i="2"/>
  <c r="G24" i="2"/>
  <c r="F24" i="2"/>
  <c r="G21" i="2"/>
  <c r="F21" i="2"/>
  <c r="G23" i="2"/>
  <c r="F23" i="2"/>
  <c r="H17" i="2"/>
  <c r="I17" i="2"/>
  <c r="H16" i="2"/>
  <c r="I16" i="2"/>
  <c r="G17" i="2"/>
  <c r="G16" i="2"/>
  <c r="H14" i="2"/>
  <c r="I14" i="2"/>
  <c r="G14" i="2"/>
  <c r="K14" i="2" s="1"/>
  <c r="AA10" i="2"/>
  <c r="Z10" i="2"/>
  <c r="Y10" i="2"/>
  <c r="V10" i="2"/>
  <c r="U10" i="2"/>
  <c r="T10" i="2"/>
  <c r="S10" i="2"/>
  <c r="R10" i="2"/>
  <c r="Q10" i="2"/>
  <c r="P10" i="2"/>
  <c r="O10" i="2"/>
  <c r="N10" i="2"/>
  <c r="O9" i="2"/>
  <c r="P9" i="2"/>
  <c r="Q9" i="2"/>
  <c r="R9" i="2"/>
  <c r="S9" i="2"/>
  <c r="T9" i="2"/>
  <c r="U9" i="2"/>
  <c r="V9" i="2"/>
  <c r="N9" i="2"/>
  <c r="D3" i="2"/>
  <c r="I35" i="2" l="1"/>
  <c r="I21" i="2"/>
  <c r="N7" i="2"/>
  <c r="G36" i="2"/>
  <c r="F36" i="2"/>
  <c r="G33" i="2"/>
  <c r="F33" i="2"/>
  <c r="G29" i="2"/>
  <c r="F29" i="2"/>
  <c r="G26" i="2"/>
  <c r="F26" i="2"/>
  <c r="G22" i="2"/>
  <c r="F22" i="2"/>
  <c r="G19" i="2"/>
  <c r="F19" i="2"/>
  <c r="H15" i="2"/>
  <c r="I15" i="2"/>
  <c r="G15" i="2"/>
  <c r="H12" i="2"/>
  <c r="I12" i="2"/>
  <c r="G12" i="2"/>
  <c r="O8" i="2"/>
  <c r="P8" i="2"/>
  <c r="Q8" i="2"/>
  <c r="R8" i="2"/>
  <c r="S8" i="2"/>
  <c r="T8" i="2"/>
  <c r="U8" i="2"/>
  <c r="V8" i="2"/>
  <c r="N8" i="2"/>
  <c r="W5" i="2"/>
  <c r="O5" i="2"/>
  <c r="P5" i="2"/>
  <c r="Q5" i="2"/>
  <c r="R5" i="2"/>
  <c r="S5" i="2"/>
  <c r="T5" i="2"/>
  <c r="U5" i="2"/>
  <c r="V5" i="2"/>
  <c r="D36" i="2"/>
  <c r="C36" i="2"/>
  <c r="D33" i="2"/>
  <c r="C33" i="2"/>
  <c r="D29" i="2"/>
  <c r="C29" i="2"/>
  <c r="D26" i="2"/>
  <c r="C26" i="2"/>
  <c r="D19" i="2"/>
  <c r="C19" i="2"/>
  <c r="E15" i="2"/>
  <c r="D15" i="2"/>
  <c r="C15" i="2"/>
  <c r="E12" i="2"/>
  <c r="D12" i="2"/>
  <c r="C12" i="2"/>
  <c r="C8" i="2"/>
  <c r="K8" i="2"/>
  <c r="J8" i="2"/>
  <c r="I8" i="2"/>
  <c r="H8" i="2"/>
  <c r="G8" i="2"/>
  <c r="E8" i="2"/>
  <c r="K5" i="2"/>
  <c r="J5" i="2"/>
  <c r="I5" i="2"/>
  <c r="H5" i="2"/>
  <c r="G5" i="2"/>
  <c r="E5" i="2"/>
  <c r="D8" i="2"/>
  <c r="L5" i="2"/>
  <c r="AA7" i="2" l="1"/>
  <c r="C1" i="1"/>
  <c r="D26" i="1"/>
  <c r="C26" i="1"/>
  <c r="D24" i="1"/>
  <c r="C24" i="1"/>
  <c r="D21" i="1"/>
  <c r="C21" i="1"/>
  <c r="D19" i="1"/>
  <c r="C19" i="1"/>
  <c r="D16" i="1"/>
  <c r="C16" i="1"/>
  <c r="D14" i="1"/>
  <c r="C14" i="1"/>
  <c r="E11" i="1"/>
  <c r="D11" i="1"/>
  <c r="C11" i="1"/>
  <c r="E9" i="1"/>
  <c r="D9" i="1"/>
  <c r="C9" i="1"/>
  <c r="K6" i="1"/>
  <c r="J6" i="1"/>
  <c r="I6" i="1"/>
  <c r="H6" i="1"/>
  <c r="G6" i="1"/>
  <c r="F6" i="1"/>
  <c r="E6" i="1"/>
  <c r="D6" i="1"/>
  <c r="C6" i="1"/>
  <c r="L4" i="1"/>
  <c r="K4" i="1"/>
  <c r="J4" i="1"/>
  <c r="I4" i="1"/>
  <c r="H4" i="1"/>
  <c r="G4" i="1"/>
  <c r="E4" i="1"/>
</calcChain>
</file>

<file path=xl/sharedStrings.xml><?xml version="1.0" encoding="utf-8"?>
<sst xmlns="http://schemas.openxmlformats.org/spreadsheetml/2006/main" count="51" uniqueCount="23">
  <si>
    <t>B</t>
  </si>
  <si>
    <t>C</t>
  </si>
  <si>
    <t>D</t>
  </si>
  <si>
    <t>E</t>
  </si>
  <si>
    <t xml:space="preserve">A </t>
  </si>
  <si>
    <t xml:space="preserve">prawo </t>
  </si>
  <si>
    <t>lewo</t>
  </si>
  <si>
    <t>-</t>
  </si>
  <si>
    <t>środkowy prążek</t>
  </si>
  <si>
    <t>stopnie</t>
  </si>
  <si>
    <t xml:space="preserve">minuty </t>
  </si>
  <si>
    <t>d</t>
  </si>
  <si>
    <t>nm</t>
  </si>
  <si>
    <r>
      <t>λ</t>
    </r>
    <r>
      <rPr>
        <sz val="11"/>
        <color rgb="FF282828"/>
        <rFont val="Montserrat"/>
      </rPr>
      <t>=</t>
    </r>
  </si>
  <si>
    <t>prawo</t>
  </si>
  <si>
    <t xml:space="preserve">kąt ugięcia </t>
  </si>
  <si>
    <t>A</t>
  </si>
  <si>
    <t>odch stand</t>
  </si>
  <si>
    <t>wsp stude</t>
  </si>
  <si>
    <t>średnia aryt</t>
  </si>
  <si>
    <t xml:space="preserve">odch stand * wsp </t>
  </si>
  <si>
    <t>odch stand sr aryt</t>
  </si>
  <si>
    <t>siatka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</si>
</sst>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4">
    <font>
      <sz val="11"/>
      <color theme="1"/>
      <name val="Calibri"/>
      <family val="2"/>
      <charset val="238"/>
      <scheme val="minor"/>
    </font>
    <font>
      <i/>
      <sz val="11"/>
      <color rgb="FF282828"/>
      <name val="Montserrat"/>
    </font>
    <font>
      <sz val="11"/>
      <color rgb="FF282828"/>
      <name val="Montserrat"/>
    </font>
    <font>
      <sz val="11"/>
      <color rgb="FF282828"/>
      <name val="Montserrat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0" fillId="2" borderId="2" xfId="0" applyFill="1" applyBorder="1"/>
    <xf numFmtId="0" fontId="0" fillId="0" borderId="3" xfId="0" applyBorder="1"/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2" fontId="0" fillId="0" borderId="2" xfId="0" applyNumberFormat="1" applyBorder="1"/>
    <xf numFmtId="165" fontId="0" fillId="0" borderId="2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1" fontId="0" fillId="0" borderId="0" xfId="0" applyNumberFormat="1" applyFill="1" applyBorder="1"/>
    <xf numFmtId="1" fontId="0" fillId="2" borderId="1" xfId="0" applyNumberFormat="1" applyFill="1" applyBorder="1"/>
    <xf numFmtId="1" fontId="0" fillId="0" borderId="0" xfId="0" applyNumberFormat="1"/>
    <xf numFmtId="1" fontId="0" fillId="0" borderId="5" xfId="0" applyNumberFormat="1" applyFill="1" applyBorder="1"/>
    <xf numFmtId="1" fontId="0" fillId="2" borderId="2" xfId="0" applyNumberFormat="1" applyFill="1" applyBorder="1"/>
    <xf numFmtId="1" fontId="0" fillId="0" borderId="2" xfId="0" applyNumberFormat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0" fillId="3" borderId="0" xfId="0" applyFill="1"/>
    <xf numFmtId="2" fontId="0" fillId="3" borderId="1" xfId="0" applyNumberFormat="1" applyFill="1" applyBorder="1"/>
    <xf numFmtId="2" fontId="0" fillId="0" borderId="0" xfId="0" applyNumberFormat="1"/>
    <xf numFmtId="2" fontId="0" fillId="3" borderId="0" xfId="0" applyNumberForma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1" sqref="C1"/>
    </sheetView>
  </sheetViews>
  <sheetFormatPr defaultRowHeight="14.4"/>
  <cols>
    <col min="4" max="5" width="10.44140625" bestFit="1" customWidth="1"/>
    <col min="6" max="6" width="9.44140625" bestFit="1" customWidth="1"/>
    <col min="9" max="9" width="9.44140625" bestFit="1" customWidth="1"/>
    <col min="11" max="12" width="11.44140625" bestFit="1" customWidth="1"/>
  </cols>
  <sheetData>
    <row r="1" spans="1:12">
      <c r="A1" s="27" t="s">
        <v>8</v>
      </c>
      <c r="B1" s="27"/>
      <c r="C1" s="1">
        <f xml:space="preserve"> 0 + 41/60</f>
        <v>0.68333333333333335</v>
      </c>
    </row>
    <row r="3" spans="1:12">
      <c r="A3" s="28" t="s">
        <v>4</v>
      </c>
      <c r="B3" s="29" t="s">
        <v>5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</row>
    <row r="4" spans="1:12">
      <c r="A4" s="28"/>
      <c r="B4" s="29"/>
      <c r="C4" s="6">
        <v>358</v>
      </c>
      <c r="D4" s="8">
        <v>356.11669999999998</v>
      </c>
      <c r="E4" s="7">
        <f>352 + 37/60</f>
        <v>352.61666666666667</v>
      </c>
      <c r="F4" s="7">
        <v>350.41667000000001</v>
      </c>
      <c r="G4" s="6">
        <f>347 +12/60</f>
        <v>347.2</v>
      </c>
      <c r="H4" s="6">
        <f xml:space="preserve"> 344 + 30/60</f>
        <v>344.5</v>
      </c>
      <c r="I4" s="8">
        <f xml:space="preserve"> 341 + 40/60</f>
        <v>341.66666666666669</v>
      </c>
      <c r="J4" s="6">
        <f>338 + 48/60</f>
        <v>338.8</v>
      </c>
      <c r="K4" s="8">
        <f>336 + 20/60</f>
        <v>336.33333333333331</v>
      </c>
      <c r="L4" s="6">
        <f>333+0/60</f>
        <v>333</v>
      </c>
    </row>
    <row r="5" spans="1:12">
      <c r="A5" s="28"/>
      <c r="B5" s="29" t="s">
        <v>6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</row>
    <row r="6" spans="1:12">
      <c r="A6" s="28"/>
      <c r="B6" s="29"/>
      <c r="C6" s="1">
        <f>3 + 19/60</f>
        <v>3.3166666666666664</v>
      </c>
      <c r="D6" s="6">
        <f>6+0/60</f>
        <v>6</v>
      </c>
      <c r="E6" s="8">
        <f>8 + 40/60</f>
        <v>8.6666666666666661</v>
      </c>
      <c r="F6" s="8">
        <f>11 + 20/60</f>
        <v>11.333333333333334</v>
      </c>
      <c r="G6" s="6">
        <f>14 + 6/60</f>
        <v>14.1</v>
      </c>
      <c r="H6" s="1">
        <f>17 + 20/60</f>
        <v>17.333333333333332</v>
      </c>
      <c r="I6" s="8">
        <f>19 + 40/60</f>
        <v>19.666666666666668</v>
      </c>
      <c r="J6" s="1">
        <f>22 + 57/60</f>
        <v>22.95</v>
      </c>
      <c r="K6" s="8">
        <f>25 + 50/60</f>
        <v>25.833333333333332</v>
      </c>
      <c r="L6" s="1" t="s">
        <v>7</v>
      </c>
    </row>
    <row r="8" spans="1:12">
      <c r="A8" s="28" t="s">
        <v>0</v>
      </c>
      <c r="B8" s="29" t="s">
        <v>5</v>
      </c>
      <c r="C8" s="2">
        <v>1</v>
      </c>
      <c r="D8" s="2">
        <v>2</v>
      </c>
      <c r="E8" s="2">
        <v>3</v>
      </c>
    </row>
    <row r="9" spans="1:12">
      <c r="A9" s="28"/>
      <c r="B9" s="29"/>
      <c r="C9" s="1">
        <f>354 + 25/60</f>
        <v>354.41666666666669</v>
      </c>
      <c r="D9" s="6">
        <f>347 + 12/60</f>
        <v>347.2</v>
      </c>
      <c r="E9" s="1">
        <f>340 +14/60</f>
        <v>340.23333333333335</v>
      </c>
    </row>
    <row r="10" spans="1:12">
      <c r="A10" s="28"/>
      <c r="B10" s="29" t="s">
        <v>6</v>
      </c>
      <c r="C10" s="2">
        <v>1</v>
      </c>
      <c r="D10" s="2">
        <v>2</v>
      </c>
      <c r="E10" s="2">
        <v>3</v>
      </c>
    </row>
    <row r="11" spans="1:12">
      <c r="A11" s="28"/>
      <c r="B11" s="29"/>
      <c r="C11" s="1">
        <f>7 + 55/60</f>
        <v>7.916666666666667</v>
      </c>
      <c r="D11" s="1">
        <f>14 + 46/60</f>
        <v>14.766666666666667</v>
      </c>
      <c r="E11" s="1">
        <f>21 + 50/60</f>
        <v>21.833333333333332</v>
      </c>
    </row>
    <row r="13" spans="1:12">
      <c r="A13" s="28" t="s">
        <v>1</v>
      </c>
      <c r="B13" s="29" t="s">
        <v>5</v>
      </c>
      <c r="C13" s="2">
        <v>1</v>
      </c>
      <c r="D13" s="2">
        <v>2</v>
      </c>
    </row>
    <row r="14" spans="1:12">
      <c r="A14" s="28"/>
      <c r="B14" s="29"/>
      <c r="C14" s="1">
        <f>347 + 21/60</f>
        <v>347.35</v>
      </c>
      <c r="D14" s="8">
        <f>332 + 23/60</f>
        <v>332.38333333333333</v>
      </c>
    </row>
    <row r="15" spans="1:12">
      <c r="A15" s="28"/>
      <c r="B15" s="29" t="s">
        <v>6</v>
      </c>
      <c r="C15" s="2">
        <v>1</v>
      </c>
      <c r="D15" s="2">
        <v>2</v>
      </c>
    </row>
    <row r="16" spans="1:12">
      <c r="A16" s="28"/>
      <c r="B16" s="29"/>
      <c r="C16" s="6">
        <f>14 + 12/60</f>
        <v>14.2</v>
      </c>
      <c r="D16" s="8">
        <f>28 + 20/60</f>
        <v>28.333333333333332</v>
      </c>
      <c r="I16" s="3"/>
    </row>
    <row r="18" spans="1:9">
      <c r="A18" s="28" t="s">
        <v>2</v>
      </c>
      <c r="B18" s="29" t="s">
        <v>5</v>
      </c>
      <c r="C18" s="2">
        <v>1</v>
      </c>
      <c r="D18" s="2">
        <v>2</v>
      </c>
    </row>
    <row r="19" spans="1:9">
      <c r="A19" s="28"/>
      <c r="B19" s="29"/>
      <c r="C19" s="1">
        <f>340 + 3/60</f>
        <v>340.05</v>
      </c>
      <c r="D19" s="1">
        <f>316 + 5/60</f>
        <v>316.08333333333331</v>
      </c>
    </row>
    <row r="20" spans="1:9">
      <c r="A20" s="28"/>
      <c r="B20" s="29" t="s">
        <v>6</v>
      </c>
      <c r="C20" s="1">
        <v>1</v>
      </c>
      <c r="D20" s="1">
        <v>2</v>
      </c>
    </row>
    <row r="21" spans="1:9">
      <c r="A21" s="28"/>
      <c r="B21" s="29"/>
      <c r="C21" s="1">
        <f>21 + 17/60</f>
        <v>21.283333333333335</v>
      </c>
      <c r="D21" s="1">
        <f>45 + 19/60</f>
        <v>45.31666666666667</v>
      </c>
    </row>
    <row r="23" spans="1:9">
      <c r="A23" s="28" t="s">
        <v>3</v>
      </c>
      <c r="B23" s="29" t="s">
        <v>5</v>
      </c>
      <c r="C23" s="2">
        <v>1</v>
      </c>
      <c r="D23" s="4">
        <v>2</v>
      </c>
      <c r="E23" s="5"/>
    </row>
    <row r="24" spans="1:9">
      <c r="A24" s="28"/>
      <c r="B24" s="29"/>
      <c r="C24" s="1">
        <f>350 + 50/60</f>
        <v>350.83333333333331</v>
      </c>
      <c r="D24" s="9">
        <f>337 + 54/60</f>
        <v>337.9</v>
      </c>
      <c r="E24" s="5"/>
    </row>
    <row r="25" spans="1:9">
      <c r="A25" s="28"/>
      <c r="B25" s="29" t="s">
        <v>6</v>
      </c>
      <c r="C25" s="2">
        <v>1</v>
      </c>
      <c r="D25" s="4">
        <v>2</v>
      </c>
      <c r="E25" s="5"/>
    </row>
    <row r="26" spans="1:9">
      <c r="A26" s="28"/>
      <c r="B26" s="29"/>
      <c r="C26" s="1">
        <f>11 +25/60</f>
        <v>11.416666666666666</v>
      </c>
      <c r="D26" s="10">
        <f>24 + 40/60</f>
        <v>24.666666666666668</v>
      </c>
      <c r="E26" s="5"/>
      <c r="I26" s="1"/>
    </row>
  </sheetData>
  <mergeCells count="16">
    <mergeCell ref="A1:B1"/>
    <mergeCell ref="A18:A21"/>
    <mergeCell ref="B18:B19"/>
    <mergeCell ref="B20:B21"/>
    <mergeCell ref="A23:A26"/>
    <mergeCell ref="B23:B24"/>
    <mergeCell ref="B25:B26"/>
    <mergeCell ref="A8:A11"/>
    <mergeCell ref="B8:B9"/>
    <mergeCell ref="B10:B11"/>
    <mergeCell ref="A13:A16"/>
    <mergeCell ref="B13:B14"/>
    <mergeCell ref="B15:B16"/>
    <mergeCell ref="B3:B4"/>
    <mergeCell ref="A3:A6"/>
    <mergeCell ref="B5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topLeftCell="I4" workbookViewId="0">
      <selection activeCell="O16" sqref="O16"/>
    </sheetView>
  </sheetViews>
  <sheetFormatPr defaultRowHeight="14.4"/>
  <cols>
    <col min="4" max="4" width="10.44140625" bestFit="1" customWidth="1"/>
    <col min="5" max="5" width="10.33203125" customWidth="1"/>
    <col min="6" max="6" width="10.44140625" customWidth="1"/>
    <col min="7" max="7" width="9.109375" bestFit="1" customWidth="1"/>
    <col min="13" max="13" width="26.109375" customWidth="1"/>
    <col min="14" max="14" width="23.77734375" bestFit="1" customWidth="1"/>
    <col min="15" max="22" width="10.44140625" bestFit="1" customWidth="1"/>
    <col min="23" max="23" width="10.6640625" customWidth="1"/>
  </cols>
  <sheetData>
    <row r="1" spans="1:27">
      <c r="C1" t="s">
        <v>9</v>
      </c>
      <c r="D1" t="s">
        <v>10</v>
      </c>
    </row>
    <row r="2" spans="1:27">
      <c r="A2" s="27" t="s">
        <v>8</v>
      </c>
      <c r="B2" s="27"/>
      <c r="C2" s="1">
        <v>0</v>
      </c>
      <c r="D2">
        <v>41</v>
      </c>
      <c r="E2" s="21" t="s">
        <v>13</v>
      </c>
      <c r="F2" s="22">
        <v>589.6</v>
      </c>
      <c r="G2" t="s">
        <v>12</v>
      </c>
    </row>
    <row r="3" spans="1:27">
      <c r="D3">
        <f>C2+D2/60</f>
        <v>0.68333333333333335</v>
      </c>
    </row>
    <row r="4" spans="1:27">
      <c r="A4" s="32" t="s">
        <v>4</v>
      </c>
      <c r="B4" s="30" t="s">
        <v>6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</row>
    <row r="5" spans="1:27">
      <c r="A5" s="33"/>
      <c r="B5" s="31"/>
      <c r="C5" s="12">
        <v>358</v>
      </c>
      <c r="D5" s="12">
        <v>356</v>
      </c>
      <c r="E5" s="12">
        <f>352</f>
        <v>352</v>
      </c>
      <c r="F5" s="12">
        <v>350</v>
      </c>
      <c r="G5" s="12">
        <f>347</f>
        <v>347</v>
      </c>
      <c r="H5" s="12">
        <f xml:space="preserve"> 344</f>
        <v>344</v>
      </c>
      <c r="I5" s="12">
        <f xml:space="preserve"> 341</f>
        <v>341</v>
      </c>
      <c r="J5" s="12">
        <f>338</f>
        <v>338</v>
      </c>
      <c r="K5" s="12">
        <f>336</f>
        <v>336</v>
      </c>
      <c r="L5" s="12">
        <f>333+0/60</f>
        <v>333</v>
      </c>
      <c r="N5" s="24">
        <f>C5+C6/60</f>
        <v>358</v>
      </c>
      <c r="O5" s="24">
        <f t="shared" ref="O5:V5" si="0">D5+D6/60</f>
        <v>356.28333333333336</v>
      </c>
      <c r="P5" s="24">
        <f t="shared" si="0"/>
        <v>352.61666666666667</v>
      </c>
      <c r="Q5" s="24">
        <f t="shared" si="0"/>
        <v>350.41666666666669</v>
      </c>
      <c r="R5" s="24">
        <f t="shared" si="0"/>
        <v>347.2</v>
      </c>
      <c r="S5" s="24">
        <f t="shared" si="0"/>
        <v>344.5</v>
      </c>
      <c r="T5" s="24">
        <f t="shared" si="0"/>
        <v>341.66666666666669</v>
      </c>
      <c r="U5" s="24">
        <f t="shared" si="0"/>
        <v>338.8</v>
      </c>
      <c r="V5" s="24">
        <f t="shared" si="0"/>
        <v>336.33333333333331</v>
      </c>
      <c r="W5" s="24">
        <f>L5+L6/60</f>
        <v>333</v>
      </c>
    </row>
    <row r="6" spans="1:27">
      <c r="A6" s="33"/>
      <c r="B6" s="31"/>
      <c r="C6" s="12">
        <v>0</v>
      </c>
      <c r="D6" s="12">
        <v>17</v>
      </c>
      <c r="E6" s="12">
        <v>37</v>
      </c>
      <c r="F6" s="12">
        <v>25</v>
      </c>
      <c r="G6" s="12">
        <v>12</v>
      </c>
      <c r="H6" s="12">
        <v>30</v>
      </c>
      <c r="I6" s="12">
        <v>40</v>
      </c>
      <c r="J6" s="12">
        <v>48</v>
      </c>
      <c r="K6" s="12">
        <v>20</v>
      </c>
      <c r="L6" s="12">
        <v>0</v>
      </c>
      <c r="M6" s="20" t="s">
        <v>15</v>
      </c>
      <c r="N6" s="6">
        <f>360 - ABS(N5-$D$3)</f>
        <v>2.6833333333333371</v>
      </c>
      <c r="O6" s="6">
        <f t="shared" ref="O6:W6" si="1">360 - ABS(O5-$D$3)</f>
        <v>4.3999999999999773</v>
      </c>
      <c r="P6" s="6">
        <f t="shared" si="1"/>
        <v>8.0666666666666629</v>
      </c>
      <c r="Q6" s="6">
        <f t="shared" si="1"/>
        <v>10.266666666666652</v>
      </c>
      <c r="R6" s="6">
        <f t="shared" si="1"/>
        <v>13.483333333333348</v>
      </c>
      <c r="S6" s="6">
        <f t="shared" si="1"/>
        <v>16.183333333333337</v>
      </c>
      <c r="T6" s="6">
        <f t="shared" si="1"/>
        <v>19.016666666666652</v>
      </c>
      <c r="U6" s="6">
        <f t="shared" si="1"/>
        <v>21.883333333333326</v>
      </c>
      <c r="V6" s="6">
        <f t="shared" si="1"/>
        <v>24.350000000000023</v>
      </c>
      <c r="W6" s="6">
        <f t="shared" si="1"/>
        <v>27.683333333333337</v>
      </c>
      <c r="Y6">
        <f>AVERAGEA(N6,P6:V6)</f>
        <v>14.491666666666667</v>
      </c>
      <c r="Z6">
        <f>STDEV(Q6:V6,P6,N6)</f>
        <v>7.3167670022407707</v>
      </c>
      <c r="AA6">
        <f>Y6/SQRT(Z6)</f>
        <v>5.357457360802055</v>
      </c>
    </row>
    <row r="7" spans="1:27">
      <c r="A7" s="33"/>
      <c r="B7" s="30" t="s">
        <v>14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0" t="s">
        <v>11</v>
      </c>
      <c r="N7" s="6">
        <f>(C4*$F$2)/SIN(RADIANS(N6))</f>
        <v>12594.016319833423</v>
      </c>
      <c r="O7" s="6">
        <f t="shared" ref="O7:W7" si="2">(D4*$F$2)/SIN(RADIANS(O6))</f>
        <v>15370.371976698616</v>
      </c>
      <c r="P7" s="6">
        <f t="shared" si="2"/>
        <v>12605.002878279312</v>
      </c>
      <c r="Q7" s="6">
        <f t="shared" si="2"/>
        <v>13232.356287592296</v>
      </c>
      <c r="R7" s="6">
        <f t="shared" si="2"/>
        <v>12643.542428891487</v>
      </c>
      <c r="S7" s="6">
        <f t="shared" si="2"/>
        <v>12692.683111490362</v>
      </c>
      <c r="T7" s="6">
        <f t="shared" si="2"/>
        <v>12666.215658725094</v>
      </c>
      <c r="U7" s="6">
        <f t="shared" si="2"/>
        <v>12655.148511675261</v>
      </c>
      <c r="V7" s="6">
        <f t="shared" si="2"/>
        <v>12869.941975437965</v>
      </c>
      <c r="W7" s="6">
        <f t="shared" si="2"/>
        <v>12690.910503855586</v>
      </c>
      <c r="Y7">
        <f>AVERAGEA(N7:W7)</f>
        <v>13002.01896524794</v>
      </c>
      <c r="Z7">
        <f>STDEV(N7:W7)</f>
        <v>853.60341277095574</v>
      </c>
      <c r="AA7">
        <f>Y7/SQRT(Z7)</f>
        <v>445.02327330862732</v>
      </c>
    </row>
    <row r="8" spans="1:27">
      <c r="A8" s="33"/>
      <c r="B8" s="31"/>
      <c r="C8" s="12">
        <f>3</f>
        <v>3</v>
      </c>
      <c r="D8" s="12">
        <f>6+0/60</f>
        <v>6</v>
      </c>
      <c r="E8" s="12">
        <f>8</f>
        <v>8</v>
      </c>
      <c r="F8" s="12">
        <v>11</v>
      </c>
      <c r="G8" s="12">
        <f>14</f>
        <v>14</v>
      </c>
      <c r="H8" s="12">
        <f>17</f>
        <v>17</v>
      </c>
      <c r="I8" s="12">
        <f>19</f>
        <v>19</v>
      </c>
      <c r="J8" s="12">
        <f>22</f>
        <v>22</v>
      </c>
      <c r="K8" s="12">
        <f>25</f>
        <v>25</v>
      </c>
      <c r="L8" s="1" t="s">
        <v>7</v>
      </c>
      <c r="N8" s="24">
        <f>C8+C9/60</f>
        <v>3.3166666666666664</v>
      </c>
      <c r="O8" s="24">
        <f t="shared" ref="O8:V8" si="3">D8+D9/60</f>
        <v>6</v>
      </c>
      <c r="P8" s="24">
        <f t="shared" si="3"/>
        <v>8.6666666666666661</v>
      </c>
      <c r="Q8" s="24">
        <f t="shared" si="3"/>
        <v>11.333333333333334</v>
      </c>
      <c r="R8" s="24">
        <f t="shared" si="3"/>
        <v>14.1</v>
      </c>
      <c r="S8" s="24">
        <f t="shared" si="3"/>
        <v>17.333333333333332</v>
      </c>
      <c r="T8" s="24">
        <f t="shared" si="3"/>
        <v>19.666666666666668</v>
      </c>
      <c r="U8" s="24">
        <f t="shared" si="3"/>
        <v>22.95</v>
      </c>
      <c r="V8" s="24">
        <f t="shared" si="3"/>
        <v>25.833333333333332</v>
      </c>
      <c r="W8" s="6"/>
      <c r="Y8" s="25"/>
    </row>
    <row r="9" spans="1:27">
      <c r="A9" s="33"/>
      <c r="B9" s="31"/>
      <c r="C9" s="13">
        <v>19</v>
      </c>
      <c r="D9" s="13">
        <v>0</v>
      </c>
      <c r="E9" s="13">
        <v>40</v>
      </c>
      <c r="F9" s="13">
        <v>20</v>
      </c>
      <c r="G9" s="13">
        <v>6</v>
      </c>
      <c r="H9" s="13">
        <v>20</v>
      </c>
      <c r="I9" s="13">
        <v>40</v>
      </c>
      <c r="J9" s="14">
        <v>57</v>
      </c>
      <c r="K9" s="13">
        <v>50</v>
      </c>
      <c r="L9" s="11"/>
      <c r="N9" s="6">
        <f>ABS(N8-$D$3)</f>
        <v>2.6333333333333329</v>
      </c>
      <c r="O9" s="6">
        <f t="shared" ref="O9:V9" si="4">ABS(O8-$D$3)</f>
        <v>5.3166666666666664</v>
      </c>
      <c r="P9" s="6">
        <f t="shared" si="4"/>
        <v>7.9833333333333325</v>
      </c>
      <c r="Q9" s="6">
        <f t="shared" si="4"/>
        <v>10.65</v>
      </c>
      <c r="R9" s="6">
        <f t="shared" si="4"/>
        <v>13.416666666666666</v>
      </c>
      <c r="S9" s="6">
        <f t="shared" si="4"/>
        <v>16.649999999999999</v>
      </c>
      <c r="T9" s="6">
        <f t="shared" si="4"/>
        <v>18.983333333333334</v>
      </c>
      <c r="U9" s="6">
        <f t="shared" si="4"/>
        <v>22.266666666666666</v>
      </c>
      <c r="V9" s="6">
        <f t="shared" si="4"/>
        <v>25.15</v>
      </c>
      <c r="W9" s="6"/>
    </row>
    <row r="10" spans="1:27">
      <c r="N10" s="6">
        <f>(C7*$F$2)/SIN(RADIANS(N9))</f>
        <v>12832.969989055873</v>
      </c>
      <c r="O10" s="6">
        <f t="shared" ref="O10:V10" si="5">(D7*$F$2)/SIN(RADIANS(O9))</f>
        <v>12726.064073816942</v>
      </c>
      <c r="P10" s="6">
        <f t="shared" si="5"/>
        <v>12735.713136440445</v>
      </c>
      <c r="Q10" s="6">
        <f t="shared" si="5"/>
        <v>12761.279585629056</v>
      </c>
      <c r="R10" s="6">
        <f t="shared" si="5"/>
        <v>12705.206391369216</v>
      </c>
      <c r="S10" s="6">
        <f t="shared" si="5"/>
        <v>12346.585890531911</v>
      </c>
      <c r="T10" s="6">
        <f t="shared" si="5"/>
        <v>12687.634609778535</v>
      </c>
      <c r="U10" s="6">
        <f t="shared" si="5"/>
        <v>12448.081416905536</v>
      </c>
      <c r="V10" s="6">
        <f t="shared" si="5"/>
        <v>12485.954977772704</v>
      </c>
      <c r="W10" s="6"/>
      <c r="Y10">
        <f t="shared" ref="Y10" si="6">AVERAGEA(N10,P10:V10)</f>
        <v>12625.42824968541</v>
      </c>
      <c r="Z10">
        <f t="shared" ref="Z10" si="7">STDEV(Q10:V10,P10,N10)</f>
        <v>174.26738583694379</v>
      </c>
      <c r="AA10">
        <f>Y10/SQRT(Z10)</f>
        <v>956.39668014588028</v>
      </c>
    </row>
    <row r="11" spans="1:27">
      <c r="A11" s="32" t="s">
        <v>0</v>
      </c>
      <c r="B11" s="30" t="s">
        <v>6</v>
      </c>
      <c r="C11" s="15">
        <v>1</v>
      </c>
      <c r="D11" s="15">
        <v>2</v>
      </c>
      <c r="E11" s="15">
        <v>3</v>
      </c>
    </row>
    <row r="12" spans="1:27">
      <c r="A12" s="33"/>
      <c r="B12" s="31"/>
      <c r="C12" s="12">
        <f>354</f>
        <v>354</v>
      </c>
      <c r="D12" s="12">
        <f>347</f>
        <v>347</v>
      </c>
      <c r="E12" s="12">
        <f>340</f>
        <v>340</v>
      </c>
      <c r="G12" s="23">
        <f>C12+C13/60</f>
        <v>354.41666666666669</v>
      </c>
      <c r="H12" s="23">
        <f t="shared" ref="H12:I12" si="8">D12+D13/60</f>
        <v>347.2</v>
      </c>
      <c r="I12" s="23">
        <f t="shared" si="8"/>
        <v>340.23333333333335</v>
      </c>
      <c r="L12" t="s">
        <v>22</v>
      </c>
      <c r="M12" t="s">
        <v>19</v>
      </c>
      <c r="N12" t="s">
        <v>17</v>
      </c>
      <c r="O12" t="s">
        <v>18</v>
      </c>
      <c r="P12" t="s">
        <v>20</v>
      </c>
      <c r="R12" t="s">
        <v>21</v>
      </c>
    </row>
    <row r="13" spans="1:27">
      <c r="A13" s="33"/>
      <c r="B13" s="31"/>
      <c r="C13" s="12">
        <v>25</v>
      </c>
      <c r="D13" s="12">
        <v>12</v>
      </c>
      <c r="E13" s="12">
        <v>14</v>
      </c>
      <c r="G13" s="25">
        <f>360-ABS(G12-$D$3)</f>
        <v>6.2666666666666515</v>
      </c>
      <c r="H13" s="25">
        <f t="shared" ref="H13:I13" si="9">360-ABS(H12-$D$3)</f>
        <v>13.483333333333348</v>
      </c>
      <c r="I13" s="25">
        <f t="shared" si="9"/>
        <v>20.449999999999989</v>
      </c>
      <c r="L13" s="20" t="s">
        <v>16</v>
      </c>
      <c r="M13" s="25">
        <f>AVERAGEA(N7:W7, N10:V10)</f>
        <v>12828.930511777875</v>
      </c>
      <c r="N13">
        <f>STDEVP(M7:V7, M10:U10)</f>
        <v>653.56600854373926</v>
      </c>
      <c r="O13">
        <v>1.0269999999999999</v>
      </c>
      <c r="P13">
        <f>N13 * O13</f>
        <v>671.21229077442013</v>
      </c>
      <c r="R13">
        <f xml:space="preserve"> P14/SQRT(19)</f>
        <v>68.42516456834295</v>
      </c>
    </row>
    <row r="14" spans="1:27">
      <c r="A14" s="33"/>
      <c r="B14" s="30" t="s">
        <v>14</v>
      </c>
      <c r="C14" s="15">
        <v>1</v>
      </c>
      <c r="D14" s="15">
        <v>2</v>
      </c>
      <c r="E14" s="15">
        <v>3</v>
      </c>
      <c r="G14" s="25">
        <f>(C11*$F$2)/SIN(RADIANS(G13))</f>
        <v>5401.4423449577071</v>
      </c>
      <c r="H14" s="25">
        <f t="shared" ref="H14:I14" si="10">(D11*$F$2)/SIN(RADIANS(H13))</f>
        <v>5057.4169715565949</v>
      </c>
      <c r="I14" s="25">
        <f t="shared" si="10"/>
        <v>5062.5397776293594</v>
      </c>
      <c r="K14">
        <f>AVERAGE(G14:I14)</f>
        <v>5173.7996980478874</v>
      </c>
      <c r="L14" s="20" t="s">
        <v>0</v>
      </c>
      <c r="M14" s="25">
        <f>AVERAGEA(G14:I14,G17:I17)</f>
        <v>4992.0704078754252</v>
      </c>
      <c r="N14">
        <f>STDEVP(F14:H14,F17:H17)</f>
        <v>268.70124103472688</v>
      </c>
      <c r="O14">
        <v>1.1100000000000001</v>
      </c>
      <c r="P14">
        <f t="shared" ref="P14:P17" si="11">N14 * O14</f>
        <v>298.25837754854683</v>
      </c>
      <c r="R14">
        <f xml:space="preserve"> P14/SQRT(6)</f>
        <v>121.76347275071967</v>
      </c>
    </row>
    <row r="15" spans="1:27">
      <c r="A15" s="33"/>
      <c r="B15" s="31"/>
      <c r="C15" s="12">
        <f>7</f>
        <v>7</v>
      </c>
      <c r="D15" s="12">
        <f>14</f>
        <v>14</v>
      </c>
      <c r="E15" s="12">
        <f>21</f>
        <v>21</v>
      </c>
      <c r="G15" s="23">
        <f>C15+C16/60</f>
        <v>7.916666666666667</v>
      </c>
      <c r="H15" s="23">
        <f t="shared" ref="H15:I15" si="12">D15+D16/60</f>
        <v>14.766666666666667</v>
      </c>
      <c r="I15" s="23">
        <f t="shared" si="12"/>
        <v>21.833333333333332</v>
      </c>
      <c r="L15" s="20" t="s">
        <v>1</v>
      </c>
      <c r="M15" s="25">
        <f>AVERAGEA(F21:G21,F24:G24)</f>
        <v>2526.8804036982337</v>
      </c>
      <c r="N15">
        <f>STDEVP(E21:F21,E24:F24)</f>
        <v>17.022109727838142</v>
      </c>
      <c r="O15">
        <v>1.2</v>
      </c>
      <c r="P15">
        <f t="shared" si="11"/>
        <v>20.426531673405769</v>
      </c>
      <c r="R15">
        <f xml:space="preserve"> P15/SQRT(4)</f>
        <v>10.213265836702885</v>
      </c>
    </row>
    <row r="16" spans="1:27">
      <c r="A16" s="33"/>
      <c r="B16" s="31"/>
      <c r="C16" s="17">
        <v>55</v>
      </c>
      <c r="D16" s="13">
        <v>46</v>
      </c>
      <c r="E16" s="17">
        <v>50</v>
      </c>
      <c r="G16" s="25">
        <f>ABS(G15-$D$3)</f>
        <v>7.2333333333333334</v>
      </c>
      <c r="H16" s="25">
        <f t="shared" ref="H16:I16" si="13">ABS(H15-$D$3)</f>
        <v>14.083333333333334</v>
      </c>
      <c r="I16" s="25">
        <f t="shared" si="13"/>
        <v>21.15</v>
      </c>
      <c r="L16" s="20" t="s">
        <v>2</v>
      </c>
      <c r="M16" s="25">
        <f>AVERAGEA(F28:G28,F31:G31)</f>
        <v>1676.6850600825801</v>
      </c>
      <c r="N16">
        <f>STDEVP(E28:F28,E31:F31)</f>
        <v>1.2947128386132363</v>
      </c>
      <c r="O16">
        <v>1.2</v>
      </c>
      <c r="P16">
        <f t="shared" si="11"/>
        <v>1.5536554063358834</v>
      </c>
      <c r="R16">
        <f t="shared" ref="R16:R17" si="14" xml:space="preserve"> P16/SQRT(4)</f>
        <v>0.7768277031679417</v>
      </c>
    </row>
    <row r="17" spans="1:18">
      <c r="G17" s="25">
        <f>(C14*$F$2)/SIN(RADIANS(G16))</f>
        <v>4682.6949490252409</v>
      </c>
      <c r="H17" s="25">
        <f t="shared" ref="H17:I17" si="15">(D14*$F$2)/SIN(RADIANS(H16))</f>
        <v>4846.0364822513502</v>
      </c>
      <c r="I17" s="25">
        <f t="shared" si="15"/>
        <v>4902.2919218322959</v>
      </c>
      <c r="K17">
        <f t="shared" ref="K17" si="16">AVERAGE(G17:I17)</f>
        <v>4810.3411177029629</v>
      </c>
      <c r="L17" s="20" t="s">
        <v>3</v>
      </c>
      <c r="M17" s="25">
        <f>AVERAGEA(F35:G35,F38:G38)</f>
        <v>3139.6357538049297</v>
      </c>
      <c r="N17">
        <f>STDEVP(E35:F35,E38:F38)</f>
        <v>140.35887622547557</v>
      </c>
      <c r="O17">
        <v>1.2</v>
      </c>
      <c r="P17">
        <f t="shared" si="11"/>
        <v>168.43065147057067</v>
      </c>
      <c r="R17">
        <f t="shared" si="14"/>
        <v>84.215325735285333</v>
      </c>
    </row>
    <row r="18" spans="1:18">
      <c r="A18" s="28" t="s">
        <v>1</v>
      </c>
      <c r="B18" s="30" t="s">
        <v>6</v>
      </c>
      <c r="C18" s="15">
        <v>1</v>
      </c>
      <c r="D18" s="15">
        <v>2</v>
      </c>
    </row>
    <row r="19" spans="1:18">
      <c r="A19" s="28"/>
      <c r="B19" s="31"/>
      <c r="C19" s="12">
        <f>347</f>
        <v>347</v>
      </c>
      <c r="D19" s="12">
        <f>332</f>
        <v>332</v>
      </c>
      <c r="F19" s="26">
        <f>C19 + C20/60</f>
        <v>347.35</v>
      </c>
      <c r="G19" s="26">
        <f>D19 + D20/60</f>
        <v>332.38333333333333</v>
      </c>
    </row>
    <row r="20" spans="1:18">
      <c r="A20" s="28"/>
      <c r="B20" s="31"/>
      <c r="C20" s="12">
        <v>21</v>
      </c>
      <c r="D20" s="12">
        <v>23</v>
      </c>
      <c r="F20" s="25">
        <f>360 - ABS(F19-$D$3)</f>
        <v>13.333333333333314</v>
      </c>
      <c r="G20" s="25">
        <f>360 - ABS(G19-$D$3)</f>
        <v>28.300000000000011</v>
      </c>
    </row>
    <row r="21" spans="1:18">
      <c r="A21" s="28"/>
      <c r="B21" s="30" t="s">
        <v>14</v>
      </c>
      <c r="C21" s="15">
        <v>1</v>
      </c>
      <c r="D21" s="15">
        <v>2</v>
      </c>
      <c r="F21" s="25">
        <f>(C18*$F$2)/SIN(RADIANS(F20))</f>
        <v>2556.6323692374435</v>
      </c>
      <c r="G21" s="25">
        <f>(D18*$F$2)/SIN(RADIANS(G20))</f>
        <v>2487.3008387407658</v>
      </c>
      <c r="I21">
        <f>AVERAGE(F21:G21)</f>
        <v>2521.9666039891044</v>
      </c>
    </row>
    <row r="22" spans="1:18">
      <c r="A22" s="28"/>
      <c r="B22" s="31"/>
      <c r="C22" s="15">
        <v>14</v>
      </c>
      <c r="D22" s="15">
        <v>28</v>
      </c>
      <c r="F22" s="23">
        <f>C22 + C23/60</f>
        <v>14.2</v>
      </c>
      <c r="G22" s="23">
        <f>D22 + D23/60</f>
        <v>28.333333333333332</v>
      </c>
    </row>
    <row r="23" spans="1:18">
      <c r="A23" s="28"/>
      <c r="B23" s="31"/>
      <c r="C23" s="12">
        <v>12</v>
      </c>
      <c r="D23" s="12">
        <v>20</v>
      </c>
      <c r="F23" s="25">
        <f>ABS(F22-$D$3)</f>
        <v>13.516666666666666</v>
      </c>
      <c r="G23" s="25">
        <f>ABS(G22-$D$3)</f>
        <v>27.65</v>
      </c>
    </row>
    <row r="24" spans="1:18">
      <c r="C24" s="16"/>
      <c r="D24" s="16"/>
      <c r="F24" s="25">
        <f>(C18*$F$2)/SIN(RADIANS(F23))</f>
        <v>2522.5881497817672</v>
      </c>
      <c r="G24" s="25">
        <f>(D18*$F$2)/SIN(RADIANS(G23))</f>
        <v>2541.0002570329584</v>
      </c>
      <c r="I24">
        <f t="shared" ref="I24:I38" si="17">AVERAGE(F24:G24)</f>
        <v>2531.7942034073631</v>
      </c>
    </row>
    <row r="25" spans="1:18">
      <c r="A25" s="32" t="s">
        <v>2</v>
      </c>
      <c r="B25" s="30" t="s">
        <v>6</v>
      </c>
      <c r="C25" s="15">
        <v>1</v>
      </c>
      <c r="D25" s="15">
        <v>2</v>
      </c>
    </row>
    <row r="26" spans="1:18">
      <c r="A26" s="33"/>
      <c r="B26" s="31"/>
      <c r="C26" s="12">
        <f>340</f>
        <v>340</v>
      </c>
      <c r="D26" s="12">
        <f>316</f>
        <v>316</v>
      </c>
      <c r="F26" s="23">
        <f>C26 + C27/60</f>
        <v>340.05</v>
      </c>
      <c r="G26" s="23">
        <f>D26 + D27/60</f>
        <v>316.08333333333331</v>
      </c>
    </row>
    <row r="27" spans="1:18">
      <c r="A27" s="33"/>
      <c r="B27" s="31"/>
      <c r="C27" s="12">
        <v>3</v>
      </c>
      <c r="D27" s="12">
        <v>5</v>
      </c>
      <c r="F27" s="25">
        <f>360 - ABS(F26-$D$3)</f>
        <v>20.633333333333326</v>
      </c>
      <c r="G27" s="25">
        <f>360 - ABS(G26-$D$3)</f>
        <v>44.600000000000023</v>
      </c>
    </row>
    <row r="28" spans="1:18">
      <c r="A28" s="33"/>
      <c r="B28" s="30" t="s">
        <v>14</v>
      </c>
      <c r="C28" s="15">
        <v>1</v>
      </c>
      <c r="D28" s="15">
        <v>2</v>
      </c>
      <c r="F28" s="25">
        <f>(C18*$F$2)/SIN(RADIANS(F27))</f>
        <v>1673.1644331206933</v>
      </c>
      <c r="G28" s="25">
        <f>(D18*$F$2)/SIN(RADIANS(G27))</f>
        <v>1679.4059286218383</v>
      </c>
      <c r="I28">
        <f t="shared" si="17"/>
        <v>1676.2851808712658</v>
      </c>
    </row>
    <row r="29" spans="1:18">
      <c r="A29" s="33"/>
      <c r="B29" s="31"/>
      <c r="C29" s="12">
        <f>21</f>
        <v>21</v>
      </c>
      <c r="D29" s="12">
        <f>45</f>
        <v>45</v>
      </c>
      <c r="F29" s="23">
        <f>C29 + C30/60</f>
        <v>21.283333333333335</v>
      </c>
      <c r="G29" s="23">
        <f>D29 + D30/60</f>
        <v>45.31666666666667</v>
      </c>
    </row>
    <row r="30" spans="1:18">
      <c r="A30" s="33"/>
      <c r="B30" s="31"/>
      <c r="C30" s="17">
        <v>17</v>
      </c>
      <c r="D30" s="17">
        <v>19</v>
      </c>
      <c r="F30" s="25">
        <f>ABS(F29-$D$3)</f>
        <v>20.6</v>
      </c>
      <c r="G30" s="25">
        <f>ABS(G29-$D$3)</f>
        <v>44.63333333333334</v>
      </c>
    </row>
    <row r="31" spans="1:18">
      <c r="C31" s="16"/>
      <c r="D31" s="16"/>
      <c r="F31" s="25">
        <f>(C18*$F$2)/SIN(RADIANS(F30))</f>
        <v>1675.7538587979197</v>
      </c>
      <c r="G31" s="25">
        <f>(D18*$F$2)/SIN(RADIANS(G30))</f>
        <v>1678.4160197898693</v>
      </c>
      <c r="I31">
        <f t="shared" si="17"/>
        <v>1677.0849392938944</v>
      </c>
    </row>
    <row r="32" spans="1:18">
      <c r="A32" s="32" t="s">
        <v>3</v>
      </c>
      <c r="B32" s="30" t="s">
        <v>6</v>
      </c>
      <c r="C32" s="15">
        <v>1</v>
      </c>
      <c r="D32" s="18">
        <v>2</v>
      </c>
      <c r="E32" s="5"/>
    </row>
    <row r="33" spans="1:9">
      <c r="A33" s="33"/>
      <c r="B33" s="31"/>
      <c r="C33" s="12">
        <f>350</f>
        <v>350</v>
      </c>
      <c r="D33" s="19">
        <f>337</f>
        <v>337</v>
      </c>
      <c r="E33" s="5"/>
      <c r="F33" s="23">
        <f>C33 + C34/60</f>
        <v>350.83333333333331</v>
      </c>
      <c r="G33" s="23">
        <f>D33 + D34/60</f>
        <v>337.9</v>
      </c>
    </row>
    <row r="34" spans="1:9">
      <c r="A34" s="33"/>
      <c r="B34" s="31"/>
      <c r="C34" s="12">
        <v>50</v>
      </c>
      <c r="D34" s="19">
        <v>54</v>
      </c>
      <c r="E34" s="5"/>
      <c r="F34" s="25">
        <f xml:space="preserve"> 360 - ABS(F33-$D$3)</f>
        <v>9.8500000000000227</v>
      </c>
      <c r="G34" s="25">
        <f xml:space="preserve"> 360 - ABS(G33-$D$3)</f>
        <v>22.78333333333336</v>
      </c>
    </row>
    <row r="35" spans="1:9">
      <c r="A35" s="33"/>
      <c r="B35" s="30" t="s">
        <v>14</v>
      </c>
      <c r="C35" s="15">
        <v>1</v>
      </c>
      <c r="D35" s="18">
        <v>2</v>
      </c>
      <c r="E35" s="5"/>
      <c r="F35" s="25">
        <f>(C18*$F$2)/SIN(RADIANS(F34))</f>
        <v>3446.5551472568823</v>
      </c>
      <c r="G35" s="25">
        <f>(D18*$F$2)/SIN(RADIANS(G34))</f>
        <v>3045.0816885705299</v>
      </c>
      <c r="I35">
        <f t="shared" si="17"/>
        <v>3245.8184179137061</v>
      </c>
    </row>
    <row r="36" spans="1:9">
      <c r="A36" s="33"/>
      <c r="B36" s="31"/>
      <c r="C36" s="12">
        <f>11</f>
        <v>11</v>
      </c>
      <c r="D36" s="19">
        <f>24</f>
        <v>24</v>
      </c>
      <c r="E36" s="5"/>
      <c r="F36" s="23">
        <f>C36 + C37/60</f>
        <v>11.416666666666666</v>
      </c>
      <c r="G36" s="23">
        <f>D36 + D37/60</f>
        <v>24.666666666666668</v>
      </c>
    </row>
    <row r="37" spans="1:9">
      <c r="A37" s="33"/>
      <c r="B37" s="31"/>
      <c r="C37" s="17">
        <v>25</v>
      </c>
      <c r="D37" s="13">
        <v>40</v>
      </c>
      <c r="E37" s="11"/>
      <c r="F37" s="25">
        <f>ABS(F36-$D$3)</f>
        <v>10.733333333333333</v>
      </c>
      <c r="G37" s="25">
        <f>ABS(G36-$D$3)</f>
        <v>23.983333333333334</v>
      </c>
    </row>
    <row r="38" spans="1:9">
      <c r="F38" s="25">
        <f>(C18*$F$2)/SIN(RADIANS(F37))</f>
        <v>3165.8373948059311</v>
      </c>
      <c r="G38" s="25">
        <f>(D18*$F$2)/SIN(RADIANS(G37))</f>
        <v>2901.0687845863768</v>
      </c>
      <c r="I38">
        <f t="shared" si="17"/>
        <v>3033.4530896961542</v>
      </c>
    </row>
  </sheetData>
  <mergeCells count="16">
    <mergeCell ref="A2:B2"/>
    <mergeCell ref="B11:B13"/>
    <mergeCell ref="B14:B16"/>
    <mergeCell ref="A32:A37"/>
    <mergeCell ref="A11:A16"/>
    <mergeCell ref="B7:B9"/>
    <mergeCell ref="B4:B6"/>
    <mergeCell ref="A4:A9"/>
    <mergeCell ref="B35:B37"/>
    <mergeCell ref="B32:B34"/>
    <mergeCell ref="B28:B30"/>
    <mergeCell ref="B18:B20"/>
    <mergeCell ref="A18:A23"/>
    <mergeCell ref="B21:B23"/>
    <mergeCell ref="B25:B27"/>
    <mergeCell ref="A25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2024-11-11T18:12:56Z</dcterms:created>
  <dcterms:modified xsi:type="dcterms:W3CDTF">2024-11-17T14:36:54Z</dcterms:modified>
</cp:coreProperties>
</file>