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PIAR\BLOG\herramientas\"/>
    </mc:Choice>
  </mc:AlternateContent>
  <bookViews>
    <workbookView xWindow="360" yWindow="90" windowWidth="11595" windowHeight="8700"/>
  </bookViews>
  <sheets>
    <sheet name="90 Minutos" sheetId="10" r:id="rId1"/>
    <sheet name="Informe-Resumen" sheetId="19" r:id="rId2"/>
  </sheets>
  <calcPr calcId="152511"/>
  <customWorkbookViews>
    <customWorkbookView name="WinuE - Vista personalizada" guid="{A246543C-5B3A-4FCE-AF70-ADBB154E9A3F}" mergeInterval="0" personalView="1" maximized="1" windowWidth="1020" windowHeight="555" activeSheetId="1"/>
  </customWorkbookViews>
</workbook>
</file>

<file path=xl/calcChain.xml><?xml version="1.0" encoding="utf-8"?>
<calcChain xmlns="http://schemas.openxmlformats.org/spreadsheetml/2006/main">
  <c r="C8" i="19" l="1"/>
  <c r="G8" i="19"/>
  <c r="B57" i="10" l="1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56" i="10"/>
  <c r="B51" i="10"/>
  <c r="B52" i="10"/>
  <c r="B53" i="10"/>
  <c r="B54" i="10"/>
  <c r="B55" i="10"/>
  <c r="B49" i="10"/>
  <c r="B50" i="10"/>
  <c r="B47" i="10"/>
  <c r="B48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30" i="10"/>
  <c r="I6" i="10"/>
  <c r="AY15" i="10" l="1"/>
  <c r="AZ15" i="10" l="1"/>
  <c r="BC15" i="10"/>
  <c r="BD15" i="10" s="1"/>
  <c r="AY16" i="10"/>
  <c r="AZ16" i="10" s="1"/>
  <c r="BC16" i="10"/>
  <c r="BD16" i="10" s="1"/>
  <c r="T3" i="10" l="1"/>
  <c r="AH21" i="10"/>
  <c r="AH20" i="10"/>
  <c r="AH19" i="10"/>
  <c r="AH18" i="10"/>
  <c r="AH17" i="10"/>
  <c r="AH16" i="10"/>
  <c r="AH15" i="10"/>
  <c r="AH14" i="10"/>
  <c r="AH13" i="10"/>
  <c r="AF9" i="10"/>
  <c r="AF8" i="10"/>
  <c r="AF7" i="10"/>
  <c r="AD21" i="10"/>
  <c r="AD20" i="10"/>
  <c r="AD19" i="10"/>
  <c r="AD18" i="10"/>
  <c r="AD17" i="10"/>
  <c r="AD16" i="10"/>
  <c r="AD15" i="10"/>
  <c r="AD14" i="10"/>
  <c r="AD13" i="10"/>
  <c r="Z21" i="10"/>
  <c r="Z20" i="10"/>
  <c r="Z19" i="10"/>
  <c r="Z18" i="10"/>
  <c r="W9" i="10"/>
  <c r="T21" i="10"/>
  <c r="T20" i="10"/>
  <c r="T19" i="10"/>
  <c r="T18" i="10"/>
  <c r="Z17" i="10"/>
  <c r="Z16" i="10"/>
  <c r="Z15" i="10"/>
  <c r="Z14" i="10"/>
  <c r="Z13" i="10"/>
  <c r="W8" i="10"/>
  <c r="W7" i="10"/>
  <c r="T17" i="10"/>
  <c r="T16" i="10"/>
  <c r="T15" i="10"/>
  <c r="T14" i="10"/>
  <c r="T13" i="10"/>
  <c r="AD3" i="10"/>
  <c r="AF3" i="10"/>
  <c r="AH3" i="10"/>
  <c r="AD4" i="10"/>
  <c r="AF4" i="10"/>
  <c r="AH4" i="10"/>
  <c r="AD5" i="10"/>
  <c r="AF5" i="10"/>
  <c r="AH5" i="10"/>
  <c r="AD6" i="10"/>
  <c r="AF6" i="10"/>
  <c r="AH6" i="10"/>
  <c r="AD7" i="10"/>
  <c r="AH7" i="10"/>
  <c r="AD8" i="10"/>
  <c r="AH8" i="10"/>
  <c r="AD9" i="10"/>
  <c r="AH9" i="10"/>
  <c r="AD10" i="10"/>
  <c r="AH10" i="10"/>
  <c r="AD11" i="10"/>
  <c r="AH11" i="10"/>
  <c r="AD12" i="10"/>
  <c r="AH12" i="10"/>
  <c r="W3" i="10"/>
  <c r="Z3" i="10"/>
  <c r="T4" i="10"/>
  <c r="W4" i="10"/>
  <c r="Z4" i="10"/>
  <c r="T5" i="10"/>
  <c r="W5" i="10"/>
  <c r="Z5" i="10"/>
  <c r="T6" i="10"/>
  <c r="W6" i="10"/>
  <c r="Z6" i="10"/>
  <c r="T7" i="10"/>
  <c r="Z7" i="10"/>
  <c r="T8" i="10"/>
  <c r="Z8" i="10"/>
  <c r="T9" i="10"/>
  <c r="Z9" i="10"/>
  <c r="T10" i="10"/>
  <c r="Z10" i="10"/>
  <c r="T11" i="10"/>
  <c r="Z11" i="10"/>
  <c r="T12" i="10"/>
  <c r="Z12" i="10"/>
  <c r="A39" i="10" l="1"/>
  <c r="A38" i="10"/>
  <c r="A37" i="10"/>
  <c r="A36" i="10"/>
  <c r="A35" i="10"/>
  <c r="A34" i="10"/>
  <c r="A52" i="10"/>
  <c r="A58" i="10"/>
  <c r="A32" i="10"/>
  <c r="A50" i="10"/>
  <c r="A56" i="10"/>
  <c r="A40" i="10"/>
  <c r="A42" i="10"/>
  <c r="A44" i="10"/>
  <c r="A54" i="10"/>
  <c r="A72" i="10"/>
  <c r="A74" i="10"/>
  <c r="A30" i="10"/>
  <c r="Z41" i="10"/>
  <c r="AA41" i="10" s="1"/>
  <c r="C67" i="10" s="1"/>
  <c r="A67" i="10"/>
  <c r="Z43" i="10"/>
  <c r="AA43" i="10" s="1"/>
  <c r="C69" i="10" s="1"/>
  <c r="A69" i="10"/>
  <c r="W36" i="10"/>
  <c r="X36" i="10" s="1"/>
  <c r="C55" i="10" s="1"/>
  <c r="A55" i="10"/>
  <c r="A65" i="10"/>
  <c r="A64" i="10"/>
  <c r="A63" i="10"/>
  <c r="A62" i="10"/>
  <c r="A61" i="10"/>
  <c r="A60" i="10"/>
  <c r="A59" i="10"/>
  <c r="A51" i="10"/>
  <c r="A57" i="10"/>
  <c r="A49" i="10"/>
  <c r="A53" i="10"/>
  <c r="Z40" i="10"/>
  <c r="AA40" i="10" s="1"/>
  <c r="C66" i="10" s="1"/>
  <c r="A66" i="10"/>
  <c r="Z42" i="10"/>
  <c r="AA42" i="10" s="1"/>
  <c r="C68" i="10" s="1"/>
  <c r="A68" i="10"/>
  <c r="Z44" i="10"/>
  <c r="AA44" i="10" s="1"/>
  <c r="C70" i="10" s="1"/>
  <c r="A70" i="10"/>
  <c r="A71" i="10"/>
  <c r="A73" i="10"/>
  <c r="T45" i="10"/>
  <c r="U45" i="10" s="1"/>
  <c r="C45" i="10" s="1"/>
  <c r="A45" i="10"/>
  <c r="T47" i="10"/>
  <c r="U47" i="10" s="1"/>
  <c r="C47" i="10" s="1"/>
  <c r="A47" i="10"/>
  <c r="A33" i="10"/>
  <c r="A31" i="10"/>
  <c r="A41" i="10"/>
  <c r="A43" i="10"/>
  <c r="T46" i="10"/>
  <c r="U46" i="10" s="1"/>
  <c r="C46" i="10" s="1"/>
  <c r="A46" i="10"/>
  <c r="T48" i="10"/>
  <c r="U48" i="10" s="1"/>
  <c r="C48" i="10" s="1"/>
  <c r="A48" i="10"/>
  <c r="W32" i="10"/>
  <c r="Z39" i="10"/>
  <c r="AA39" i="10" s="1"/>
  <c r="C65" i="10" s="1"/>
  <c r="Z35" i="10"/>
  <c r="AA35" i="10" s="1"/>
  <c r="C61" i="10" s="1"/>
  <c r="Z38" i="10"/>
  <c r="AA38" i="10" s="1"/>
  <c r="C64" i="10" s="1"/>
  <c r="Z37" i="10"/>
  <c r="AA37" i="10" s="1"/>
  <c r="C63" i="10" s="1"/>
  <c r="Z36" i="10"/>
  <c r="AA36" i="10" s="1"/>
  <c r="C62" i="10" s="1"/>
  <c r="Z34" i="10"/>
  <c r="AA34" i="10" s="1"/>
  <c r="C60" i="10" s="1"/>
  <c r="Z33" i="10"/>
  <c r="AA33" i="10" s="1"/>
  <c r="C59" i="10" s="1"/>
  <c r="T33" i="10"/>
  <c r="Z31" i="10"/>
  <c r="T31" i="10"/>
  <c r="W30" i="10"/>
  <c r="T34" i="10"/>
  <c r="W33" i="10"/>
  <c r="X33" i="10" s="1"/>
  <c r="C52" i="10" s="1"/>
  <c r="T32" i="10"/>
  <c r="W31" i="10"/>
  <c r="T30" i="10"/>
  <c r="T41" i="10"/>
  <c r="U41" i="10" s="1"/>
  <c r="C41" i="10" s="1"/>
  <c r="T43" i="10"/>
  <c r="U43" i="10" s="1"/>
  <c r="C43" i="10" s="1"/>
  <c r="W34" i="10"/>
  <c r="X34" i="10" s="1"/>
  <c r="C53" i="10" s="1"/>
  <c r="Z45" i="10"/>
  <c r="AA45" i="10" s="1"/>
  <c r="C71" i="10" s="1"/>
  <c r="Z47" i="10"/>
  <c r="AA47" i="10" s="1"/>
  <c r="C73" i="10" s="1"/>
  <c r="Z32" i="10"/>
  <c r="Z30" i="10"/>
  <c r="T39" i="10"/>
  <c r="U39" i="10" s="1"/>
  <c r="C39" i="10" s="1"/>
  <c r="T38" i="10"/>
  <c r="U38" i="10" s="1"/>
  <c r="C38" i="10" s="1"/>
  <c r="T37" i="10"/>
  <c r="U37" i="10" s="1"/>
  <c r="C37" i="10" s="1"/>
  <c r="T35" i="10"/>
  <c r="U35" i="10" s="1"/>
  <c r="C35" i="10" s="1"/>
  <c r="T36" i="10"/>
  <c r="U36" i="10" s="1"/>
  <c r="C36" i="10" s="1"/>
  <c r="T40" i="10"/>
  <c r="U40" i="10" s="1"/>
  <c r="C40" i="10" s="1"/>
  <c r="T42" i="10"/>
  <c r="U42" i="10" s="1"/>
  <c r="C42" i="10" s="1"/>
  <c r="T44" i="10"/>
  <c r="U44" i="10" s="1"/>
  <c r="C44" i="10" s="1"/>
  <c r="W35" i="10"/>
  <c r="X35" i="10" s="1"/>
  <c r="C54" i="10" s="1"/>
  <c r="Z46" i="10"/>
  <c r="AA46" i="10" s="1"/>
  <c r="C72" i="10" s="1"/>
  <c r="Z48" i="10"/>
  <c r="AA48" i="10" s="1"/>
  <c r="C74" i="10" s="1"/>
  <c r="AR15" i="10"/>
  <c r="AT15" i="10"/>
  <c r="Z23" i="10"/>
  <c r="W23" i="10"/>
  <c r="T23" i="10"/>
  <c r="AH23" i="10"/>
  <c r="AF23" i="10"/>
  <c r="AD23" i="10"/>
  <c r="AX5" i="10"/>
  <c r="AX4" i="10" s="1"/>
  <c r="BA5" i="10"/>
  <c r="BA4" i="10" s="1"/>
  <c r="AY5" i="10"/>
  <c r="AY4" i="10" s="1"/>
  <c r="AZ5" i="10"/>
  <c r="AZ4" i="10" s="1"/>
  <c r="BB5" i="10"/>
  <c r="BB4" i="10" s="1"/>
  <c r="BC5" i="10"/>
  <c r="BC4" i="10" s="1"/>
  <c r="AX11" i="10"/>
  <c r="AY11" i="10"/>
  <c r="AZ11" i="10"/>
  <c r="BA11" i="10"/>
  <c r="BB11" i="10"/>
  <c r="BC11" i="10"/>
  <c r="C14" i="19" l="1"/>
  <c r="C15" i="19"/>
  <c r="C16" i="19"/>
  <c r="C13" i="19"/>
  <c r="C12" i="19"/>
  <c r="BA10" i="10"/>
  <c r="E46" i="10"/>
  <c r="C22" i="19" s="1"/>
  <c r="E59" i="10"/>
  <c r="BC10" i="10"/>
  <c r="E48" i="10"/>
  <c r="C24" i="19" s="1"/>
  <c r="AY10" i="10"/>
  <c r="E44" i="10"/>
  <c r="C20" i="19" s="1"/>
  <c r="BB10" i="10"/>
  <c r="E47" i="10"/>
  <c r="C23" i="19" s="1"/>
  <c r="AZ10" i="10"/>
  <c r="E45" i="10"/>
  <c r="C21" i="19" s="1"/>
  <c r="AX10" i="10"/>
  <c r="E43" i="10"/>
  <c r="C19" i="19" s="1"/>
  <c r="E61" i="10"/>
  <c r="E60" i="10"/>
  <c r="E40" i="10"/>
  <c r="U34" i="10"/>
  <c r="C34" i="10" s="1"/>
  <c r="U33" i="10"/>
  <c r="C33" i="10" s="1"/>
  <c r="AA30" i="10"/>
  <c r="C56" i="10" s="1"/>
  <c r="X31" i="10"/>
  <c r="C50" i="10" s="1"/>
  <c r="X30" i="10"/>
  <c r="C49" i="10" s="1"/>
  <c r="AA31" i="10"/>
  <c r="C57" i="10" s="1"/>
  <c r="AA32" i="10"/>
  <c r="C58" i="10" s="1"/>
  <c r="U30" i="10"/>
  <c r="C30" i="10" s="1"/>
  <c r="U32" i="10"/>
  <c r="C32" i="10" s="1"/>
  <c r="U31" i="10"/>
  <c r="C31" i="10" s="1"/>
  <c r="X32" i="10"/>
  <c r="C51" i="10" s="1"/>
  <c r="AF40" i="10"/>
  <c r="W50" i="10"/>
  <c r="G60" i="10" s="1"/>
  <c r="T50" i="10"/>
  <c r="G59" i="10" s="1"/>
  <c r="AT5" i="10"/>
  <c r="AL33" i="10"/>
  <c r="AL34" i="10"/>
  <c r="AL36" i="10"/>
  <c r="Z50" i="10"/>
  <c r="AR5" i="10"/>
  <c r="AL35" i="10"/>
  <c r="AL32" i="10"/>
  <c r="AL31" i="10"/>
  <c r="AR3" i="10"/>
  <c r="AT3" i="10"/>
  <c r="AT4" i="10"/>
  <c r="AF25" i="10"/>
  <c r="AR4" i="10"/>
  <c r="W25" i="10"/>
  <c r="C30" i="19" l="1"/>
  <c r="C32" i="19"/>
  <c r="C31" i="19"/>
  <c r="D13" i="19"/>
  <c r="E13" i="19"/>
  <c r="D16" i="19"/>
  <c r="E16" i="19"/>
  <c r="E15" i="19"/>
  <c r="D15" i="19"/>
  <c r="E12" i="19"/>
  <c r="D12" i="19"/>
  <c r="D14" i="19"/>
  <c r="E14" i="19"/>
  <c r="E51" i="10"/>
  <c r="G19" i="19" s="1"/>
  <c r="G43" i="10"/>
  <c r="E19" i="19" s="1"/>
  <c r="E55" i="10"/>
  <c r="G23" i="19" s="1"/>
  <c r="G47" i="10"/>
  <c r="E23" i="19" s="1"/>
  <c r="E54" i="10"/>
  <c r="G22" i="19" s="1"/>
  <c r="G46" i="10"/>
  <c r="E22" i="19" s="1"/>
  <c r="E52" i="10"/>
  <c r="G20" i="19" s="1"/>
  <c r="G44" i="10"/>
  <c r="E20" i="19" s="1"/>
  <c r="E56" i="10"/>
  <c r="G24" i="19" s="1"/>
  <c r="G48" i="10"/>
  <c r="E24" i="19" s="1"/>
  <c r="E53" i="10"/>
  <c r="G21" i="19" s="1"/>
  <c r="G45" i="10"/>
  <c r="E21" i="19" s="1"/>
  <c r="AA50" i="10"/>
  <c r="G61" i="10"/>
  <c r="AH40" i="10"/>
  <c r="G40" i="10"/>
  <c r="AM31" i="10"/>
  <c r="AJ31" i="10"/>
  <c r="AM35" i="10"/>
  <c r="AJ35" i="10"/>
  <c r="AM34" i="10"/>
  <c r="AJ34" i="10"/>
  <c r="AM32" i="10"/>
  <c r="AJ32" i="10"/>
  <c r="AM36" i="10"/>
  <c r="AJ36" i="10"/>
  <c r="AM33" i="10"/>
  <c r="AJ33" i="10"/>
  <c r="U50" i="10"/>
  <c r="X50" i="10"/>
  <c r="W51" i="10"/>
  <c r="AF31" i="10" s="1"/>
  <c r="AR14" i="10"/>
  <c r="AR9" i="10"/>
  <c r="AR10" i="10"/>
  <c r="AT14" i="10"/>
  <c r="AT9" i="10"/>
  <c r="AT10" i="10"/>
  <c r="D31" i="19" l="1"/>
  <c r="E31" i="19"/>
  <c r="E32" i="19"/>
  <c r="D32" i="19"/>
  <c r="D30" i="19"/>
  <c r="E30" i="19"/>
  <c r="AO33" i="10"/>
  <c r="G53" i="10"/>
  <c r="I21" i="19" s="1"/>
  <c r="AO36" i="10"/>
  <c r="G56" i="10"/>
  <c r="I24" i="19" s="1"/>
  <c r="AO32" i="10"/>
  <c r="G52" i="10"/>
  <c r="I20" i="19" s="1"/>
  <c r="AO34" i="10"/>
  <c r="G54" i="10"/>
  <c r="I22" i="19" s="1"/>
  <c r="AO35" i="10"/>
  <c r="G55" i="10"/>
  <c r="I23" i="19" s="1"/>
  <c r="AO31" i="10"/>
  <c r="G51" i="10"/>
  <c r="I19" i="19" s="1"/>
  <c r="E36" i="10"/>
  <c r="E39" i="10"/>
  <c r="C27" i="19" s="1"/>
  <c r="E35" i="10"/>
  <c r="G27" i="19" s="1"/>
  <c r="AH31" i="10"/>
  <c r="G31" i="10"/>
  <c r="E31" i="10"/>
  <c r="E30" i="10"/>
  <c r="E32" i="10"/>
  <c r="AF36" i="10"/>
  <c r="AF39" i="10"/>
  <c r="AF35" i="10"/>
  <c r="AF30" i="10"/>
  <c r="AF32" i="10"/>
  <c r="G15" i="19" l="1"/>
  <c r="G16" i="19"/>
  <c r="G14" i="19"/>
  <c r="D27" i="19"/>
  <c r="H27" i="19"/>
  <c r="AH39" i="10"/>
  <c r="G39" i="10"/>
  <c r="E27" i="19" s="1"/>
  <c r="G30" i="10"/>
  <c r="AH30" i="10"/>
  <c r="AH32" i="10"/>
  <c r="G32" i="10"/>
  <c r="AH35" i="10"/>
  <c r="G35" i="10"/>
  <c r="I27" i="19" s="1"/>
  <c r="AH36" i="10"/>
  <c r="G36" i="10"/>
  <c r="H15" i="19" l="1"/>
  <c r="I15" i="19"/>
  <c r="H14" i="19"/>
  <c r="I14" i="19"/>
  <c r="H16" i="19"/>
  <c r="I16" i="19"/>
</calcChain>
</file>

<file path=xl/connections.xml><?xml version="1.0" encoding="utf-8"?>
<connections xmlns="http://schemas.openxmlformats.org/spreadsheetml/2006/main">
  <connection id="1" name="Conexión11" type="4" refreshedVersion="3" background="1" saveData="1">
    <webPr sourceData="1" parsePre="1" consecutive="1" xl2000="1" url="http://www.stat-football.com/en/t/ger20.php?c=29" htmlTables="1">
      <tables count="1">
        <x v="6"/>
      </tables>
    </webPr>
  </connection>
  <connection id="2" name="Conexión12" type="4" refreshedVersion="3" background="1" saveData="1">
    <webPr sourceData="1" parsePre="1" consecutive="1" xl2000="1" url="http://www.stat-football.com/en/t/arg10.php?c=29" htmlTables="1">
      <tables count="1">
        <x v="6"/>
      </tables>
    </webPr>
  </connection>
  <connection id="3" name="Conexión14" type="4" refreshedVersion="3" background="1" saveData="1">
    <webPr sourceData="1" parsePre="1" consecutive="1" xl2000="1" url="http://www.stat-football.com/en/t/ita10.php?c=29" htmlTables="1">
      <tables count="1">
        <x v="5"/>
      </tables>
    </webPr>
  </connection>
  <connection id="4" name="Conexión15" type="4" refreshedVersion="3" background="1" saveData="1">
    <webPr sourceData="1" parsePre="1" consecutive="1" xl2000="1" url="http://www.stat-football.com/en/t/ita20.php?c=29" htmlTables="1">
      <tables count="1">
        <x v="5"/>
      </tables>
    </webPr>
  </connection>
  <connection id="5" name="Conexión18" type="4" refreshedVersion="3" background="1" saveData="1">
    <webPr sourceData="1" parsePre="1" consecutive="1" xl2000="1" url="http://www.stat-football.com/en/t/fra20.php" htmlTables="1">
      <tables count="1">
        <s v="tb01"/>
      </tables>
    </webPr>
  </connection>
  <connection id="6" name="Conexión19" type="4" refreshedVersion="3" background="1" saveData="1">
    <webPr sourceData="1" parsePre="1" consecutive="1" xl2000="1" url="http://www.stat-football.com/en/t/fra20.php?c=24" htmlTables="1">
      <tables count="1">
        <s v="tb09"/>
      </tables>
    </webPr>
  </connection>
  <connection id="7" name="Conexión20" type="4" refreshedVersion="3" background="1" saveData="1">
    <webPr sourceData="1" parsePre="1" consecutive="1" xl2000="1" url="http://www.stat-football.com/en/t/fra20.php?c=25" htmlTables="1">
      <tables count="1">
        <s v="tb01"/>
      </tables>
    </webPr>
  </connection>
  <connection id="8" name="Conexión24" type="4" refreshedVersion="3" background="1" saveData="1">
    <webPr sourceData="1" parsePre="1" consecutive="1" xl2000="1" url="http://www.stat-football.com/en/t/ger20.php" htmlTables="1">
      <tables count="1">
        <s v="tb01"/>
      </tables>
    </webPr>
  </connection>
  <connection id="9" name="Conexión25" type="4" refreshedVersion="3" background="1" saveData="1">
    <webPr sourceData="1" parsePre="1" consecutive="1" xl2000="1" url="http://www.stat-football.com/en/t/ger20.php?c=25" htmlTables="1">
      <tables count="1">
        <s v="tb01"/>
      </tables>
    </webPr>
  </connection>
  <connection id="10" name="Conexión26" type="4" refreshedVersion="3" background="1" saveData="1">
    <webPr sourceData="1" parsePre="1" consecutive="1" xl2000="1" url="http://www.stat-football.com/en/t/ger20.php?c=24" htmlTables="1">
      <tables count="1">
        <s v="tb09"/>
      </tables>
    </webPr>
  </connection>
  <connection id="11" name="Conexión27" type="4" refreshedVersion="3" background="1" saveData="1">
    <webPr sourceData="1" parsePre="1" consecutive="1" xl2000="1" url="http://www.stat-football.com/en/t/arg10.php" htmlTables="1">
      <tables count="1">
        <s v="tb01"/>
      </tables>
    </webPr>
  </connection>
  <connection id="12" name="Conexión28" type="4" refreshedVersion="3" background="1" saveData="1">
    <webPr sourceData="1" parsePre="1" consecutive="1" xl2000="1" url="http://www.stat-football.com/en/t/arg10.php?c=25" htmlTables="1">
      <tables count="1">
        <s v="tb01"/>
      </tables>
    </webPr>
  </connection>
  <connection id="13" name="Conexión29" type="4" refreshedVersion="3" background="1" saveData="1">
    <webPr sourceData="1" parsePre="1" consecutive="1" xl2000="1" url="http://www.stat-football.com/en/t/arg10.php?c=24" htmlTables="1">
      <tables count="1">
        <s v="tb09"/>
      </tables>
    </webPr>
  </connection>
  <connection id="14" name="Conexión33" type="4" refreshedVersion="3" background="1" saveData="1">
    <webPr sourceData="1" parsePre="1" consecutive="1" xl2000="1" url="http://www.stat-football.com/en/t/ita20.php?c=25" htmlTables="1">
      <tables count="1">
        <s v="tb01"/>
      </tables>
    </webPr>
  </connection>
  <connection id="15" name="Conexión34" type="4" refreshedVersion="3" background="1" saveData="1">
    <webPr sourceData="1" parsePre="1" consecutive="1" xl2000="1" url="http://www.stat-football.com/en/t/ita20.php" htmlTables="1">
      <tables count="1">
        <s v="tb01"/>
      </tables>
    </webPr>
  </connection>
  <connection id="16" name="Conexión35" type="4" refreshedVersion="3" background="1" saveData="1">
    <webPr sourceData="1" parsePre="1" consecutive="1" xl2000="1" url="http://www.stat-football.com/en/t/ita20.php?c=24" htmlTables="1">
      <tables count="1">
        <s v="tb09"/>
      </tables>
    </webPr>
  </connection>
  <connection id="17" name="Conexión36" type="4" refreshedVersion="4" background="1">
    <webPr sourceData="1" parsePre="1" consecutive="1" xl2000="1" url="http://www.stat-football.com/en/t/ita10.php?c=29" htmlTables="1">
      <tables count="1">
        <x v="6"/>
      </tables>
    </webPr>
  </connection>
  <connection id="18" name="Conexión37" type="4" refreshedVersion="4" background="1">
    <webPr sourceData="1" parsePre="1" consecutive="1" xl2000="1" url="http://www.stat-football.com/en/t/ita10.php?c=29" htmlTables="1">
      <tables count="1">
        <x v="6"/>
      </tables>
    </webPr>
  </connection>
  <connection id="19" name="Conexión9" type="4" refreshedVersion="3" background="1" saveData="1">
    <webPr sourceData="1" parsePre="1" consecutive="1" xl2000="1" url="http://www.stat-football.com/en/t/fra20.php?c=29" htmlTables="1">
      <tables count="1">
        <x v="5"/>
      </tables>
    </webPr>
  </connection>
</connections>
</file>

<file path=xl/sharedStrings.xml><?xml version="1.0" encoding="utf-8"?>
<sst xmlns="http://schemas.openxmlformats.org/spreadsheetml/2006/main" count="296" uniqueCount="101">
  <si>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</si>
  <si>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</si>
  <si>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</si>
  <si>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</si>
  <si>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</si>
  <si>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</si>
  <si>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</si>
  <si>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</si>
  <si>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</si>
  <si>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</si>
  <si>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3-3</t>
  </si>
  <si>
    <t>2-2</t>
  </si>
  <si>
    <t>1-1</t>
  </si>
  <si>
    <t>0-0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</si>
  <si>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</si>
  <si>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</si>
  <si>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</si>
  <si>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</si>
  <si>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</si>
  <si>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</si>
  <si>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</si>
  <si>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</si>
  <si>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</si>
  <si>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</si>
  <si>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GC</t>
  </si>
  <si>
    <t>GF</t>
  </si>
  <si>
    <t>Promedio</t>
  </si>
  <si>
    <t>GOLES A FAVOR</t>
  </si>
  <si>
    <t>GOLES A CONTRA</t>
  </si>
  <si>
    <t>X</t>
  </si>
  <si>
    <t>NC</t>
  </si>
  <si>
    <t>POISSON RESULTADO EXACTO</t>
  </si>
  <si>
    <t>RESULTADO EXACTO</t>
  </si>
  <si>
    <t>1X</t>
  </si>
  <si>
    <t>X2</t>
  </si>
  <si>
    <t>DOBLE OPORTUNIDAD</t>
  </si>
  <si>
    <t>FAVOR</t>
  </si>
  <si>
    <t>CONTRA</t>
  </si>
  <si>
    <t>PAR / IMPAR</t>
  </si>
  <si>
    <t>PAR</t>
  </si>
  <si>
    <t>IMPAR</t>
  </si>
  <si>
    <t xml:space="preserve">PAR  </t>
  </si>
  <si>
    <t>MARCAN LOS 2 EQUIPOS</t>
  </si>
  <si>
    <t>SI</t>
  </si>
  <si>
    <t>NO</t>
  </si>
  <si>
    <t>+0,5</t>
  </si>
  <si>
    <t>+1,5</t>
  </si>
  <si>
    <t>+2,5</t>
  </si>
  <si>
    <t>+3,5</t>
  </si>
  <si>
    <t>+4,5</t>
  </si>
  <si>
    <t>+5,5</t>
  </si>
  <si>
    <t>-0,5</t>
  </si>
  <si>
    <t>-1,5</t>
  </si>
  <si>
    <t>-2,5</t>
  </si>
  <si>
    <t>-3,5</t>
  </si>
  <si>
    <t>-4,5</t>
  </si>
  <si>
    <t>-5,5</t>
  </si>
  <si>
    <t>OVER / UNDER</t>
  </si>
  <si>
    <t>ÚLTIMOS 10 RESULTADOS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</si>
  <si>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</si>
  <si>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</si>
  <si>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</si>
  <si>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</si>
  <si>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</si>
  <si>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</si>
  <si>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</si>
  <si>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</si>
  <si>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</si>
  <si>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</si>
  <si>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4-4</t>
  </si>
  <si>
    <t>5-5</t>
  </si>
  <si>
    <t>6-0</t>
  </si>
  <si>
    <t>6-1</t>
  </si>
  <si>
    <t>6-2</t>
  </si>
  <si>
    <t>6-3</t>
  </si>
  <si>
    <t>6-6</t>
  </si>
  <si>
    <t>0-6</t>
  </si>
  <si>
    <t>1-6</t>
  </si>
  <si>
    <t>2-6</t>
  </si>
  <si>
    <t>3-6</t>
  </si>
  <si>
    <t>OTROS</t>
  </si>
  <si>
    <t>Cuota</t>
  </si>
  <si>
    <t>Prob.</t>
  </si>
  <si>
    <t>Res.</t>
  </si>
  <si>
    <t>OVER/UNDER</t>
  </si>
  <si>
    <t>12</t>
  </si>
  <si>
    <t>PAR/IMPAR</t>
  </si>
  <si>
    <t>MARCAN LOS 2</t>
  </si>
  <si>
    <t>UNDER</t>
  </si>
  <si>
    <t>OVER</t>
  </si>
  <si>
    <t>Apuesta</t>
  </si>
  <si>
    <t>AMBOS EQUIPOS ANOTAN</t>
  </si>
  <si>
    <t>1 X 2</t>
  </si>
  <si>
    <t>1X2</t>
  </si>
  <si>
    <t>2</t>
  </si>
  <si>
    <t>90 MINUTOS</t>
  </si>
  <si>
    <t>-</t>
  </si>
  <si>
    <t xml:space="preserve"> </t>
  </si>
  <si>
    <t xml:space="preserve">  </t>
  </si>
  <si>
    <t>Celta</t>
  </si>
  <si>
    <t>Sevilla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</si>
</sst>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8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5"/>
      <color theme="1"/>
      <name val="Arial"/>
      <family val="2"/>
    </font>
    <font>
      <sz val="15"/>
      <name val="Arial"/>
      <family val="2"/>
    </font>
    <font>
      <sz val="15"/>
      <color rgb="FF0070C0"/>
      <name val="Arial"/>
      <family val="2"/>
    </font>
    <font>
      <b/>
      <sz val="13"/>
      <name val="Arial"/>
      <family val="2"/>
    </font>
    <font>
      <b/>
      <sz val="13"/>
      <color theme="1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40"/>
      <name val="Arial"/>
      <family val="2"/>
    </font>
    <font>
      <b/>
      <sz val="24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6">
    <xf numFmtId="0" fontId="0" fillId="0" borderId="0" xfId="0"/>
    <xf numFmtId="0" fontId="30" fillId="0" borderId="0" xfId="0" applyNumberFormat="1" applyFont="1" applyAlignment="1" applyProtection="1">
      <alignment horizontal="center" vertical="center"/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0" fontId="0" fillId="4" borderId="0" xfId="0" applyNumberFormat="1" applyFill="1" applyBorder="1" applyAlignment="1" applyProtection="1">
      <alignment horizontal="center" vertical="center"/>
      <protection hidden="1"/>
    </xf>
    <xf numFmtId="0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1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12" xfId="0" applyNumberFormat="1" applyFont="1" applyBorder="1" applyAlignment="1" applyProtection="1">
      <alignment horizontal="center" vertical="center"/>
      <protection hidden="1"/>
    </xf>
    <xf numFmtId="0" fontId="3" fillId="0" borderId="13" xfId="0" applyNumberFormat="1" applyFont="1" applyBorder="1" applyAlignment="1" applyProtection="1">
      <alignment horizontal="center" vertical="center"/>
      <protection hidden="1"/>
    </xf>
    <xf numFmtId="0" fontId="3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2" xfId="0" applyNumberFormat="1" applyFont="1" applyBorder="1" applyAlignment="1" applyProtection="1">
      <alignment horizontal="center" vertical="center"/>
      <protection hidden="1"/>
    </xf>
    <xf numFmtId="0" fontId="2" fillId="0" borderId="3" xfId="0" applyNumberFormat="1" applyFont="1" applyBorder="1" applyAlignment="1" applyProtection="1">
      <alignment horizontal="center" vertical="center"/>
      <protection hidden="1"/>
    </xf>
    <xf numFmtId="0" fontId="2" fillId="0" borderId="0" xfId="0" applyNumberFormat="1" applyFont="1" applyBorder="1" applyAlignment="1" applyProtection="1">
      <alignment horizontal="center" vertical="center"/>
      <protection hidden="1"/>
    </xf>
    <xf numFmtId="0" fontId="0" fillId="2" borderId="0" xfId="0" applyNumberFormat="1" applyFill="1" applyBorder="1" applyAlignment="1" applyProtection="1">
      <alignment horizontal="center" vertical="center"/>
      <protection hidden="1"/>
    </xf>
    <xf numFmtId="0" fontId="0" fillId="0" borderId="4" xfId="0" applyNumberFormat="1" applyBorder="1" applyAlignment="1" applyProtection="1">
      <alignment horizontal="center" vertical="center"/>
      <protection hidden="1"/>
    </xf>
    <xf numFmtId="0" fontId="8" fillId="0" borderId="2" xfId="0" applyNumberFormat="1" applyFont="1" applyBorder="1" applyAlignment="1" applyProtection="1">
      <alignment horizontal="center" vertical="center"/>
      <protection hidden="1"/>
    </xf>
    <xf numFmtId="0" fontId="8" fillId="0" borderId="3" xfId="0" applyNumberFormat="1" applyFont="1" applyBorder="1" applyAlignment="1" applyProtection="1">
      <alignment horizontal="center" vertical="center"/>
      <protection hidden="1"/>
    </xf>
    <xf numFmtId="0" fontId="3" fillId="0" borderId="15" xfId="0" applyNumberFormat="1" applyFont="1" applyBorder="1" applyAlignment="1" applyProtection="1">
      <alignment horizontal="center" vertical="center"/>
      <protection hidden="1"/>
    </xf>
    <xf numFmtId="0" fontId="3" fillId="0" borderId="16" xfId="0" applyNumberFormat="1" applyFont="1" applyBorder="1" applyAlignment="1" applyProtection="1">
      <alignment horizontal="center" vertical="center"/>
      <protection hidden="1"/>
    </xf>
    <xf numFmtId="0" fontId="3" fillId="0" borderId="17" xfId="0" applyNumberFormat="1" applyFont="1" applyBorder="1" applyAlignment="1" applyProtection="1">
      <alignment horizontal="center" vertical="center"/>
      <protection hidden="1"/>
    </xf>
    <xf numFmtId="10" fontId="5" fillId="0" borderId="0" xfId="0" applyNumberFormat="1" applyFont="1" applyBorder="1" applyAlignment="1" applyProtection="1">
      <alignment horizontal="center" vertical="center"/>
      <protection hidden="1"/>
    </xf>
    <xf numFmtId="10" fontId="5" fillId="0" borderId="5" xfId="0" applyNumberFormat="1" applyFont="1" applyBorder="1" applyAlignment="1" applyProtection="1">
      <alignment horizontal="center" vertical="center"/>
      <protection hidden="1"/>
    </xf>
    <xf numFmtId="0" fontId="0" fillId="2" borderId="4" xfId="0" applyNumberFormat="1" applyFill="1" applyBorder="1" applyAlignment="1" applyProtection="1">
      <alignment horizontal="center" vertical="center"/>
      <protection hidden="1"/>
    </xf>
    <xf numFmtId="0" fontId="2" fillId="0" borderId="4" xfId="0" applyNumberFormat="1" applyFont="1" applyBorder="1" applyAlignment="1" applyProtection="1">
      <alignment horizontal="center" vertical="center"/>
      <protection hidden="1"/>
    </xf>
    <xf numFmtId="10" fontId="0" fillId="0" borderId="0" xfId="0" applyNumberFormat="1" applyBorder="1" applyAlignment="1" applyProtection="1">
      <alignment horizontal="center" vertical="center"/>
      <protection hidden="1"/>
    </xf>
    <xf numFmtId="10" fontId="0" fillId="0" borderId="5" xfId="0" applyNumberFormat="1" applyBorder="1" applyAlignment="1" applyProtection="1">
      <alignment horizontal="center" vertical="center"/>
      <protection hidden="1"/>
    </xf>
    <xf numFmtId="49" fontId="11" fillId="0" borderId="4" xfId="0" applyNumberFormat="1" applyFont="1" applyBorder="1" applyAlignment="1" applyProtection="1">
      <alignment horizontal="center" vertical="center"/>
      <protection hidden="1"/>
    </xf>
    <xf numFmtId="49" fontId="11" fillId="0" borderId="0" xfId="0" applyNumberFormat="1" applyFont="1" applyBorder="1" applyAlignment="1" applyProtection="1">
      <alignment horizontal="center" vertical="center"/>
      <protection hidden="1"/>
    </xf>
    <xf numFmtId="49" fontId="11" fillId="0" borderId="5" xfId="0" applyNumberFormat="1" applyFont="1" applyBorder="1" applyAlignment="1" applyProtection="1">
      <alignment horizontal="center" vertical="center"/>
      <protection hidden="1"/>
    </xf>
    <xf numFmtId="10" fontId="0" fillId="0" borderId="4" xfId="0" applyNumberFormat="1" applyBorder="1" applyAlignment="1" applyProtection="1">
      <alignment horizontal="center" vertical="center"/>
      <protection hidden="1"/>
    </xf>
    <xf numFmtId="10" fontId="0" fillId="0" borderId="0" xfId="0" applyNumberFormat="1" applyBorder="1" applyAlignment="1" applyProtection="1">
      <alignment horizontal="center" vertical="center"/>
      <protection hidden="1"/>
    </xf>
    <xf numFmtId="10" fontId="0" fillId="0" borderId="5" xfId="0" applyNumberFormat="1" applyBorder="1" applyAlignment="1" applyProtection="1">
      <alignment horizontal="center" vertical="center"/>
      <protection hidden="1"/>
    </xf>
    <xf numFmtId="0" fontId="2" fillId="0" borderId="6" xfId="0" applyNumberFormat="1" applyFont="1" applyBorder="1" applyAlignment="1" applyProtection="1">
      <alignment horizontal="center" vertical="center"/>
      <protection hidden="1"/>
    </xf>
    <xf numFmtId="10" fontId="0" fillId="0" borderId="7" xfId="0" applyNumberFormat="1" applyBorder="1" applyAlignment="1" applyProtection="1">
      <alignment horizontal="center" vertical="center"/>
      <protection hidden="1"/>
    </xf>
    <xf numFmtId="10" fontId="0" fillId="0" borderId="8" xfId="0" applyNumberFormat="1" applyBorder="1" applyAlignment="1" applyProtection="1">
      <alignment horizontal="center" vertical="center"/>
      <protection hidden="1"/>
    </xf>
    <xf numFmtId="10" fontId="0" fillId="4" borderId="0" xfId="0" applyNumberFormat="1" applyFill="1" applyBorder="1" applyAlignment="1" applyProtection="1">
      <alignment horizontal="center" vertical="center"/>
      <protection hidden="1"/>
    </xf>
    <xf numFmtId="49" fontId="12" fillId="0" borderId="18" xfId="0" applyNumberFormat="1" applyFont="1" applyBorder="1" applyAlignment="1" applyProtection="1">
      <alignment horizontal="center" vertical="center"/>
      <protection hidden="1"/>
    </xf>
    <xf numFmtId="49" fontId="12" fillId="0" borderId="19" xfId="0" applyNumberFormat="1" applyFont="1" applyBorder="1" applyAlignment="1" applyProtection="1">
      <alignment horizontal="center" vertical="center"/>
      <protection hidden="1"/>
    </xf>
    <xf numFmtId="49" fontId="12" fillId="0" borderId="20" xfId="0" applyNumberFormat="1" applyFont="1" applyBorder="1" applyAlignment="1" applyProtection="1">
      <alignment horizontal="center" vertical="center"/>
      <protection hidden="1"/>
    </xf>
    <xf numFmtId="49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NumberFormat="1" applyBorder="1" applyAlignment="1" applyProtection="1">
      <alignment horizontal="center" vertical="center"/>
      <protection hidden="1"/>
    </xf>
    <xf numFmtId="0" fontId="0" fillId="0" borderId="5" xfId="0" applyNumberFormat="1" applyBorder="1" applyAlignment="1" applyProtection="1">
      <alignment horizontal="center" vertical="center"/>
      <protection hidden="1"/>
    </xf>
    <xf numFmtId="0" fontId="9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NumberFormat="1" applyFont="1" applyBorder="1" applyAlignment="1" applyProtection="1">
      <alignment horizontal="center" vertical="center"/>
      <protection hidden="1"/>
    </xf>
    <xf numFmtId="0" fontId="2" fillId="0" borderId="5" xfId="0" applyNumberFormat="1" applyFont="1" applyBorder="1" applyAlignment="1" applyProtection="1">
      <alignment horizontal="center" vertical="center"/>
      <protection hidden="1"/>
    </xf>
    <xf numFmtId="49" fontId="0" fillId="0" borderId="4" xfId="0" applyNumberFormat="1" applyBorder="1" applyAlignment="1" applyProtection="1">
      <alignment horizontal="center" vertical="center"/>
      <protection hidden="1"/>
    </xf>
    <xf numFmtId="0" fontId="0" fillId="6" borderId="1" xfId="0" applyNumberFormat="1" applyFill="1" applyBorder="1" applyAlignment="1" applyProtection="1">
      <alignment horizontal="center" vertical="center"/>
      <protection hidden="1"/>
    </xf>
    <xf numFmtId="0" fontId="0" fillId="6" borderId="2" xfId="0" applyNumberFormat="1" applyFill="1" applyBorder="1" applyAlignment="1" applyProtection="1">
      <alignment horizontal="center" vertical="center"/>
      <protection hidden="1"/>
    </xf>
    <xf numFmtId="0" fontId="0" fillId="6" borderId="2" xfId="0" applyNumberFormat="1" applyFill="1" applyBorder="1" applyAlignment="1" applyProtection="1">
      <alignment horizontal="center" vertical="center"/>
      <protection hidden="1"/>
    </xf>
    <xf numFmtId="0" fontId="0" fillId="6" borderId="3" xfId="0" applyNumberFormat="1" applyFill="1" applyBorder="1" applyAlignment="1" applyProtection="1">
      <alignment horizontal="center" vertical="center"/>
      <protection hidden="1"/>
    </xf>
    <xf numFmtId="0" fontId="0" fillId="0" borderId="22" xfId="0" applyNumberFormat="1" applyBorder="1" applyAlignment="1" applyProtection="1">
      <alignment horizontal="center" vertical="center"/>
      <protection hidden="1"/>
    </xf>
    <xf numFmtId="0" fontId="2" fillId="0" borderId="25" xfId="0" applyNumberFormat="1" applyFont="1" applyBorder="1" applyAlignment="1" applyProtection="1">
      <alignment horizontal="center" vertical="center"/>
      <protection hidden="1"/>
    </xf>
    <xf numFmtId="0" fontId="0" fillId="0" borderId="7" xfId="0" applyNumberFormat="1" applyBorder="1" applyAlignment="1" applyProtection="1">
      <alignment horizontal="center" vertical="center"/>
      <protection hidden="1"/>
    </xf>
    <xf numFmtId="0" fontId="0" fillId="0" borderId="23" xfId="0" applyNumberFormat="1" applyBorder="1" applyAlignment="1" applyProtection="1">
      <alignment horizontal="center" vertical="center"/>
      <protection hidden="1"/>
    </xf>
    <xf numFmtId="0" fontId="2" fillId="0" borderId="31" xfId="0" applyNumberFormat="1" applyFont="1" applyBorder="1" applyAlignment="1" applyProtection="1">
      <alignment horizontal="center" vertical="center"/>
      <protection hidden="1"/>
    </xf>
    <xf numFmtId="0" fontId="0" fillId="0" borderId="8" xfId="0" applyNumberFormat="1" applyBorder="1" applyAlignment="1" applyProtection="1">
      <alignment horizontal="center" vertical="center"/>
      <protection hidden="1"/>
    </xf>
    <xf numFmtId="0" fontId="3" fillId="0" borderId="4" xfId="0" applyNumberFormat="1" applyFont="1" applyBorder="1" applyAlignment="1" applyProtection="1">
      <alignment horizontal="center" vertical="center"/>
      <protection hidden="1"/>
    </xf>
    <xf numFmtId="10" fontId="4" fillId="0" borderId="0" xfId="0" applyNumberFormat="1" applyFont="1" applyBorder="1" applyAlignment="1" applyProtection="1">
      <alignment horizontal="center" vertical="center"/>
      <protection hidden="1"/>
    </xf>
    <xf numFmtId="0" fontId="3" fillId="0" borderId="0" xfId="0" applyNumberFormat="1" applyFont="1" applyBorder="1" applyAlignment="1" applyProtection="1">
      <alignment horizontal="center" vertical="center"/>
      <protection hidden="1"/>
    </xf>
    <xf numFmtId="10" fontId="4" fillId="0" borderId="5" xfId="0" applyNumberFormat="1" applyFont="1" applyBorder="1" applyAlignment="1" applyProtection="1">
      <alignment horizontal="center" vertical="center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9" fontId="10" fillId="0" borderId="0" xfId="0" applyNumberFormat="1" applyFont="1" applyBorder="1" applyAlignment="1" applyProtection="1">
      <alignment horizontal="center" vertical="center"/>
      <protection hidden="1"/>
    </xf>
    <xf numFmtId="0" fontId="3" fillId="0" borderId="5" xfId="0" applyNumberFormat="1" applyFont="1" applyBorder="1" applyAlignment="1" applyProtection="1">
      <alignment horizontal="center" vertical="center"/>
      <protection hidden="1"/>
    </xf>
    <xf numFmtId="0" fontId="3" fillId="0" borderId="6" xfId="0" applyNumberFormat="1" applyFont="1" applyBorder="1" applyAlignment="1" applyProtection="1">
      <alignment horizontal="center" vertical="center"/>
      <protection hidden="1"/>
    </xf>
    <xf numFmtId="9" fontId="10" fillId="0" borderId="7" xfId="0" applyNumberFormat="1" applyFont="1" applyBorder="1" applyAlignment="1" applyProtection="1">
      <alignment horizontal="center" vertical="center"/>
      <protection hidden="1"/>
    </xf>
    <xf numFmtId="0" fontId="3" fillId="0" borderId="7" xfId="0" applyNumberFormat="1" applyFont="1" applyBorder="1" applyAlignment="1" applyProtection="1">
      <alignment horizontal="center" vertical="center"/>
      <protection hidden="1"/>
    </xf>
    <xf numFmtId="10" fontId="4" fillId="0" borderId="7" xfId="0" applyNumberFormat="1" applyFont="1" applyBorder="1" applyAlignment="1" applyProtection="1">
      <alignment horizontal="center" vertical="center"/>
      <protection hidden="1"/>
    </xf>
    <xf numFmtId="0" fontId="3" fillId="0" borderId="8" xfId="0" applyNumberFormat="1" applyFont="1" applyBorder="1" applyAlignment="1" applyProtection="1">
      <alignment horizontal="center" vertical="center"/>
      <protection hidden="1"/>
    </xf>
    <xf numFmtId="0" fontId="0" fillId="2" borderId="7" xfId="0" applyNumberFormat="1" applyFill="1" applyBorder="1" applyAlignment="1" applyProtection="1">
      <alignment horizontal="center" vertical="center"/>
      <protection hidden="1"/>
    </xf>
    <xf numFmtId="0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NumberFormat="1" applyFont="1" applyFill="1" applyBorder="1" applyAlignment="1" applyProtection="1">
      <alignment horizontal="center" vertical="center"/>
      <protection hidden="1"/>
    </xf>
    <xf numFmtId="0" fontId="30" fillId="4" borderId="0" xfId="0" applyNumberFormat="1" applyFont="1" applyFill="1" applyAlignment="1" applyProtection="1">
      <alignment horizontal="center" vertical="center"/>
      <protection hidden="1"/>
    </xf>
    <xf numFmtId="0" fontId="0" fillId="4" borderId="0" xfId="0" applyNumberFormat="1" applyFill="1" applyAlignment="1" applyProtection="1">
      <alignment horizontal="center" vertical="center"/>
      <protection hidden="1"/>
    </xf>
    <xf numFmtId="0" fontId="30" fillId="2" borderId="0" xfId="0" applyNumberFormat="1" applyFont="1" applyFill="1" applyAlignment="1" applyProtection="1">
      <alignment horizontal="center" vertical="center"/>
      <protection hidden="1"/>
    </xf>
    <xf numFmtId="0" fontId="0" fillId="2" borderId="0" xfId="0" applyNumberFormat="1" applyFill="1" applyAlignment="1" applyProtection="1">
      <alignment horizontal="center" vertical="center"/>
      <protection hidden="1"/>
    </xf>
    <xf numFmtId="0" fontId="22" fillId="5" borderId="1" xfId="0" applyNumberFormat="1" applyFont="1" applyFill="1" applyBorder="1" applyAlignment="1" applyProtection="1">
      <alignment horizontal="center" vertical="center"/>
      <protection hidden="1"/>
    </xf>
    <xf numFmtId="0" fontId="22" fillId="5" borderId="2" xfId="0" applyFont="1" applyFill="1" applyBorder="1" applyAlignment="1" applyProtection="1">
      <alignment horizontal="center" vertical="center"/>
      <protection hidden="1"/>
    </xf>
    <xf numFmtId="0" fontId="22" fillId="5" borderId="3" xfId="0" applyFont="1" applyFill="1" applyBorder="1" applyAlignment="1" applyProtection="1">
      <alignment horizontal="center" vertical="center"/>
      <protection hidden="1"/>
    </xf>
    <xf numFmtId="0" fontId="20" fillId="5" borderId="12" xfId="0" applyNumberFormat="1" applyFont="1" applyFill="1" applyBorder="1" applyAlignment="1" applyProtection="1">
      <alignment horizontal="center" vertical="center"/>
      <protection hidden="1"/>
    </xf>
    <xf numFmtId="0" fontId="20" fillId="5" borderId="13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27" fillId="5" borderId="12" xfId="0" applyNumberFormat="1" applyFont="1" applyFill="1" applyBorder="1" applyAlignment="1" applyProtection="1">
      <alignment horizontal="center" vertical="center"/>
      <protection hidden="1"/>
    </xf>
    <xf numFmtId="0" fontId="27" fillId="5" borderId="13" xfId="0" applyFont="1" applyFill="1" applyBorder="1" applyAlignment="1" applyProtection="1">
      <alignment horizontal="center" vertical="center"/>
      <protection hidden="1"/>
    </xf>
    <xf numFmtId="0" fontId="27" fillId="5" borderId="14" xfId="0" applyFont="1" applyFill="1" applyBorder="1" applyAlignment="1" applyProtection="1">
      <alignment horizontal="center" vertical="center"/>
      <protection hidden="1"/>
    </xf>
    <xf numFmtId="0" fontId="21" fillId="5" borderId="1" xfId="0" applyNumberFormat="1" applyFont="1" applyFill="1" applyBorder="1" applyAlignment="1" applyProtection="1">
      <alignment horizontal="center" vertical="center"/>
      <protection hidden="1"/>
    </xf>
    <xf numFmtId="0" fontId="21" fillId="5" borderId="2" xfId="0" applyFont="1" applyFill="1" applyBorder="1" applyAlignment="1" applyProtection="1">
      <alignment horizontal="center" vertical="center"/>
      <protection hidden="1"/>
    </xf>
    <xf numFmtId="0" fontId="21" fillId="5" borderId="3" xfId="0" applyFont="1" applyFill="1" applyBorder="1" applyAlignment="1" applyProtection="1">
      <alignment horizontal="center" vertical="center"/>
      <protection hidden="1"/>
    </xf>
    <xf numFmtId="0" fontId="19" fillId="3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2" fillId="5" borderId="4" xfId="0" applyNumberFormat="1" applyFont="1" applyFill="1" applyBorder="1" applyAlignment="1" applyProtection="1">
      <alignment horizontal="center" vertical="center"/>
      <protection hidden="1"/>
    </xf>
    <xf numFmtId="0" fontId="22" fillId="5" borderId="0" xfId="0" applyFont="1" applyFill="1" applyBorder="1" applyAlignment="1" applyProtection="1">
      <alignment horizontal="center" vertical="center"/>
      <protection hidden="1"/>
    </xf>
    <xf numFmtId="0" fontId="22" fillId="5" borderId="5" xfId="0" applyFont="1" applyFill="1" applyBorder="1" applyAlignment="1" applyProtection="1">
      <alignment horizontal="center" vertical="center"/>
      <protection hidden="1"/>
    </xf>
    <xf numFmtId="0" fontId="28" fillId="5" borderId="6" xfId="0" applyNumberFormat="1" applyFont="1" applyFill="1" applyBorder="1" applyAlignment="1" applyProtection="1">
      <alignment horizontal="center" vertical="center"/>
      <protection hidden="1"/>
    </xf>
    <xf numFmtId="0" fontId="28" fillId="5" borderId="7" xfId="0" applyFont="1" applyFill="1" applyBorder="1" applyAlignment="1" applyProtection="1">
      <alignment horizontal="center" vertical="center"/>
      <protection hidden="1"/>
    </xf>
    <xf numFmtId="0" fontId="28" fillId="5" borderId="33" xfId="0" applyFont="1" applyFill="1" applyBorder="1" applyAlignment="1" applyProtection="1">
      <alignment horizontal="center" vertical="center"/>
      <protection hidden="1"/>
    </xf>
    <xf numFmtId="0" fontId="28" fillId="5" borderId="8" xfId="0" applyFont="1" applyFill="1" applyBorder="1" applyAlignment="1" applyProtection="1">
      <alignment horizontal="center" vertical="center"/>
      <protection hidden="1"/>
    </xf>
    <xf numFmtId="0" fontId="28" fillId="5" borderId="6" xfId="0" applyFont="1" applyFill="1" applyBorder="1" applyAlignment="1" applyProtection="1">
      <alignment horizontal="center" vertical="center"/>
      <protection hidden="1"/>
    </xf>
    <xf numFmtId="0" fontId="29" fillId="0" borderId="7" xfId="0" applyFont="1" applyBorder="1" applyAlignment="1" applyProtection="1">
      <alignment horizontal="center" vertical="center"/>
      <protection hidden="1"/>
    </xf>
    <xf numFmtId="0" fontId="28" fillId="5" borderId="7" xfId="0" applyFont="1" applyFill="1" applyBorder="1" applyAlignment="1" applyProtection="1">
      <alignment horizontal="center" vertic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0" fillId="4" borderId="4" xfId="0" applyNumberFormat="1" applyFill="1" applyBorder="1" applyAlignment="1" applyProtection="1">
      <alignment horizontal="center" vertical="center"/>
      <protection hidden="1"/>
    </xf>
    <xf numFmtId="10" fontId="23" fillId="3" borderId="0" xfId="0" applyNumberFormat="1" applyFont="1" applyFill="1" applyBorder="1" applyAlignment="1" applyProtection="1">
      <alignment horizontal="center" vertical="center"/>
      <protection hidden="1"/>
    </xf>
    <xf numFmtId="49" fontId="19" fillId="3" borderId="4" xfId="0" applyNumberFormat="1" applyFont="1" applyFill="1" applyBorder="1" applyAlignment="1" applyProtection="1">
      <alignment horizontal="center" vertical="center"/>
      <protection hidden="1"/>
    </xf>
    <xf numFmtId="2" fontId="19" fillId="3" borderId="0" xfId="0" applyNumberFormat="1" applyFont="1" applyFill="1" applyBorder="1" applyAlignment="1" applyProtection="1">
      <alignment horizontal="center" vertical="center"/>
      <protection hidden="1"/>
    </xf>
    <xf numFmtId="49" fontId="19" fillId="3" borderId="0" xfId="0" applyNumberFormat="1" applyFont="1" applyFill="1" applyBorder="1" applyAlignment="1" applyProtection="1">
      <alignment horizontal="center" vertical="center"/>
      <protection hidden="1"/>
    </xf>
    <xf numFmtId="10" fontId="19" fillId="3" borderId="0" xfId="0" applyNumberFormat="1" applyFont="1" applyFill="1" applyBorder="1" applyAlignment="1" applyProtection="1">
      <alignment horizontal="center" vertical="center"/>
      <protection hidden="1"/>
    </xf>
    <xf numFmtId="0" fontId="22" fillId="5" borderId="6" xfId="0" applyFont="1" applyFill="1" applyBorder="1" applyAlignment="1" applyProtection="1">
      <alignment horizontal="center" vertical="center"/>
      <protection hidden="1"/>
    </xf>
    <xf numFmtId="0" fontId="22" fillId="5" borderId="7" xfId="0" applyFont="1" applyFill="1" applyBorder="1" applyAlignment="1" applyProtection="1">
      <alignment horizontal="center" vertical="center"/>
      <protection hidden="1"/>
    </xf>
    <xf numFmtId="2" fontId="23" fillId="8" borderId="22" xfId="0" applyNumberFormat="1" applyFont="1" applyFill="1" applyBorder="1" applyAlignment="1" applyProtection="1">
      <alignment horizontal="center" vertical="center"/>
      <protection hidden="1"/>
    </xf>
    <xf numFmtId="49" fontId="22" fillId="3" borderId="25" xfId="0" applyNumberFormat="1" applyFont="1" applyFill="1" applyBorder="1" applyAlignment="1" applyProtection="1">
      <alignment horizontal="center" vertical="center"/>
      <protection hidden="1"/>
    </xf>
    <xf numFmtId="49" fontId="19" fillId="3" borderId="12" xfId="0" applyNumberFormat="1" applyFont="1" applyFill="1" applyBorder="1" applyAlignment="1" applyProtection="1">
      <alignment horizontal="center" vertical="center"/>
      <protection hidden="1"/>
    </xf>
    <xf numFmtId="49" fontId="19" fillId="3" borderId="13" xfId="0" applyNumberFormat="1" applyFont="1" applyFill="1" applyBorder="1" applyAlignment="1" applyProtection="1">
      <alignment horizontal="center" vertical="center"/>
      <protection hidden="1"/>
    </xf>
    <xf numFmtId="10" fontId="13" fillId="2" borderId="13" xfId="0" applyNumberFormat="1" applyFont="1" applyFill="1" applyBorder="1" applyAlignment="1" applyProtection="1">
      <alignment horizontal="center" vertical="center"/>
      <protection hidden="1"/>
    </xf>
    <xf numFmtId="0" fontId="13" fillId="2" borderId="13" xfId="0" applyFont="1" applyFill="1" applyBorder="1" applyAlignment="1" applyProtection="1">
      <alignment horizontal="center" vertical="center"/>
      <protection hidden="1"/>
    </xf>
    <xf numFmtId="2" fontId="14" fillId="2" borderId="20" xfId="0" applyNumberFormat="1" applyFont="1" applyFill="1" applyBorder="1" applyAlignment="1" applyProtection="1">
      <alignment horizontal="center" vertical="center"/>
      <protection hidden="1"/>
    </xf>
    <xf numFmtId="0" fontId="28" fillId="5" borderId="34" xfId="0" applyFont="1" applyFill="1" applyBorder="1" applyAlignment="1" applyProtection="1">
      <alignment horizontal="center" vertical="center"/>
      <protection hidden="1"/>
    </xf>
    <xf numFmtId="0" fontId="28" fillId="5" borderId="35" xfId="0" applyFont="1" applyFill="1" applyBorder="1" applyAlignment="1" applyProtection="1">
      <alignment horizontal="center" vertical="center"/>
      <protection hidden="1"/>
    </xf>
    <xf numFmtId="0" fontId="28" fillId="5" borderId="10" xfId="0" applyFont="1" applyFill="1" applyBorder="1" applyAlignment="1" applyProtection="1">
      <alignment horizontal="center" vertical="center"/>
      <protection hidden="1"/>
    </xf>
    <xf numFmtId="0" fontId="28" fillId="5" borderId="11" xfId="0" applyFont="1" applyFill="1" applyBorder="1" applyAlignment="1" applyProtection="1">
      <alignment horizontal="center" vertical="center"/>
      <protection hidden="1"/>
    </xf>
    <xf numFmtId="49" fontId="19" fillId="3" borderId="15" xfId="0" applyNumberFormat="1" applyFont="1" applyFill="1" applyBorder="1" applyAlignment="1" applyProtection="1">
      <alignment horizontal="center" vertical="center"/>
      <protection hidden="1"/>
    </xf>
    <xf numFmtId="49" fontId="19" fillId="3" borderId="16" xfId="0" applyNumberFormat="1" applyFont="1" applyFill="1" applyBorder="1" applyAlignment="1" applyProtection="1">
      <alignment horizontal="center" vertical="center"/>
      <protection hidden="1"/>
    </xf>
    <xf numFmtId="10" fontId="13" fillId="2" borderId="19" xfId="0" applyNumberFormat="1" applyFont="1" applyFill="1" applyBorder="1" applyAlignment="1" applyProtection="1">
      <alignment horizontal="center" vertical="center"/>
      <protection hidden="1"/>
    </xf>
    <xf numFmtId="0" fontId="13" fillId="2" borderId="19" xfId="0" applyFont="1" applyFill="1" applyBorder="1" applyAlignment="1" applyProtection="1">
      <alignment horizontal="center" vertical="center"/>
      <protection hidden="1"/>
    </xf>
    <xf numFmtId="2" fontId="14" fillId="2" borderId="17" xfId="0" applyNumberFormat="1" applyFont="1" applyFill="1" applyBorder="1" applyAlignment="1" applyProtection="1">
      <alignment horizontal="center" vertical="center"/>
      <protection hidden="1"/>
    </xf>
    <xf numFmtId="2" fontId="14" fillId="2" borderId="4" xfId="0" applyNumberFormat="1" applyFont="1" applyFill="1" applyBorder="1" applyAlignment="1" applyProtection="1">
      <alignment horizontal="center" vertical="center"/>
      <protection hidden="1"/>
    </xf>
    <xf numFmtId="0" fontId="17" fillId="3" borderId="2" xfId="0" applyNumberFormat="1" applyFont="1" applyFill="1" applyBorder="1" applyAlignment="1" applyProtection="1">
      <alignment horizontal="center" vertical="center"/>
      <protection hidden="1"/>
    </xf>
    <xf numFmtId="10" fontId="7" fillId="2" borderId="0" xfId="0" applyNumberFormat="1" applyFont="1" applyFill="1" applyBorder="1" applyAlignment="1" applyProtection="1">
      <alignment horizontal="center" vertical="center"/>
      <protection hidden="1"/>
    </xf>
    <xf numFmtId="10" fontId="7" fillId="2" borderId="1" xfId="0" applyNumberFormat="1" applyFont="1" applyFill="1" applyBorder="1" applyAlignment="1" applyProtection="1">
      <alignment horizontal="center" vertical="center"/>
      <protection hidden="1"/>
    </xf>
    <xf numFmtId="49" fontId="18" fillId="3" borderId="2" xfId="0" applyNumberFormat="1" applyFont="1" applyFill="1" applyBorder="1" applyAlignment="1" applyProtection="1">
      <alignment horizontal="center" vertical="center"/>
      <protection hidden="1"/>
    </xf>
    <xf numFmtId="2" fontId="14" fillId="2" borderId="5" xfId="0" applyNumberFormat="1" applyFont="1" applyFill="1" applyBorder="1" applyAlignment="1" applyProtection="1">
      <alignment horizontal="center" vertical="center"/>
      <protection hidden="1"/>
    </xf>
    <xf numFmtId="49" fontId="19" fillId="3" borderId="6" xfId="0" applyNumberFormat="1" applyFont="1" applyFill="1" applyBorder="1" applyAlignment="1" applyProtection="1">
      <alignment horizontal="center" vertical="center"/>
      <protection hidden="1"/>
    </xf>
    <xf numFmtId="49" fontId="19" fillId="3" borderId="7" xfId="0" applyNumberFormat="1" applyFont="1" applyFill="1" applyBorder="1" applyAlignment="1" applyProtection="1">
      <alignment horizontal="center" vertical="center"/>
      <protection hidden="1"/>
    </xf>
    <xf numFmtId="10" fontId="13" fillId="2" borderId="7" xfId="0" applyNumberFormat="1" applyFont="1" applyFill="1" applyBorder="1" applyAlignment="1" applyProtection="1">
      <alignment horizontal="center" vertical="center"/>
      <protection hidden="1"/>
    </xf>
    <xf numFmtId="0" fontId="13" fillId="2" borderId="7" xfId="0" applyFont="1" applyFill="1" applyBorder="1" applyAlignment="1" applyProtection="1">
      <alignment horizontal="center" vertical="center"/>
      <protection hidden="1"/>
    </xf>
    <xf numFmtId="2" fontId="14" fillId="2" borderId="8" xfId="0" applyNumberFormat="1" applyFont="1" applyFill="1" applyBorder="1" applyAlignment="1" applyProtection="1">
      <alignment horizontal="center" vertical="center"/>
      <protection hidden="1"/>
    </xf>
    <xf numFmtId="0" fontId="17" fillId="3" borderId="0" xfId="0" applyNumberFormat="1" applyFont="1" applyFill="1" applyBorder="1" applyAlignment="1" applyProtection="1">
      <alignment horizontal="center" vertical="center"/>
      <protection hidden="1"/>
    </xf>
    <xf numFmtId="10" fontId="7" fillId="2" borderId="4" xfId="0" applyNumberFormat="1" applyFont="1" applyFill="1" applyBorder="1" applyAlignment="1" applyProtection="1">
      <alignment horizontal="center" vertical="center"/>
      <protection hidden="1"/>
    </xf>
    <xf numFmtId="49" fontId="18" fillId="3" borderId="0" xfId="0" applyNumberFormat="1" applyFont="1" applyFill="1" applyBorder="1" applyAlignment="1" applyProtection="1">
      <alignment horizontal="center" vertical="center"/>
      <protection hidden="1"/>
    </xf>
    <xf numFmtId="0" fontId="19" fillId="3" borderId="0" xfId="0" applyNumberFormat="1" applyFont="1" applyFill="1" applyBorder="1" applyAlignment="1" applyProtection="1">
      <alignment horizontal="center" vertical="center"/>
      <protection hidden="1"/>
    </xf>
    <xf numFmtId="0" fontId="16" fillId="3" borderId="4" xfId="0" applyNumberFormat="1" applyFont="1" applyFill="1" applyBorder="1" applyAlignment="1" applyProtection="1">
      <alignment horizontal="center" vertical="center"/>
      <protection hidden="1"/>
    </xf>
    <xf numFmtId="0" fontId="0" fillId="3" borderId="22" xfId="0" applyNumberFormat="1" applyFill="1" applyBorder="1" applyAlignment="1" applyProtection="1">
      <alignment horizontal="center" vertical="center"/>
      <protection hidden="1"/>
    </xf>
    <xf numFmtId="0" fontId="16" fillId="3" borderId="0" xfId="0" applyNumberFormat="1" applyFont="1" applyFill="1" applyBorder="1" applyAlignment="1" applyProtection="1">
      <alignment horizontal="center" vertical="center"/>
      <protection hidden="1"/>
    </xf>
    <xf numFmtId="0" fontId="0" fillId="3" borderId="5" xfId="0" applyNumberFormat="1" applyFill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16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20" fillId="5" borderId="9" xfId="0" applyNumberFormat="1" applyFont="1" applyFill="1" applyBorder="1" applyAlignment="1" applyProtection="1">
      <alignment horizontal="center" vertical="center"/>
      <protection hidden="1"/>
    </xf>
    <xf numFmtId="0" fontId="20" fillId="5" borderId="10" xfId="0" applyFont="1" applyFill="1" applyBorder="1" applyAlignment="1" applyProtection="1">
      <alignment horizontal="center" vertical="center"/>
      <protection hidden="1"/>
    </xf>
    <xf numFmtId="0" fontId="20" fillId="5" borderId="11" xfId="0" applyFont="1" applyFill="1" applyBorder="1" applyAlignment="1" applyProtection="1">
      <alignment horizontal="center" vertical="center"/>
      <protection hidden="1"/>
    </xf>
    <xf numFmtId="0" fontId="26" fillId="3" borderId="12" xfId="0" applyNumberFormat="1" applyFont="1" applyFill="1" applyBorder="1" applyAlignment="1" applyProtection="1">
      <alignment horizontal="center" vertical="center"/>
      <protection hidden="1"/>
    </xf>
    <xf numFmtId="0" fontId="26" fillId="3" borderId="13" xfId="0" applyFont="1" applyFill="1" applyBorder="1" applyAlignment="1" applyProtection="1">
      <alignment horizontal="center" vertical="center"/>
      <protection hidden="1"/>
    </xf>
    <xf numFmtId="2" fontId="14" fillId="2" borderId="14" xfId="0" applyNumberFormat="1" applyFont="1" applyFill="1" applyBorder="1" applyAlignment="1" applyProtection="1">
      <alignment horizontal="center" vertical="center"/>
      <protection hidden="1"/>
    </xf>
    <xf numFmtId="0" fontId="26" fillId="3" borderId="6" xfId="0" applyNumberFormat="1" applyFont="1" applyFill="1" applyBorder="1" applyAlignment="1" applyProtection="1">
      <alignment horizontal="center" vertical="center"/>
      <protection hidden="1"/>
    </xf>
    <xf numFmtId="0" fontId="26" fillId="3" borderId="7" xfId="0" applyFont="1" applyFill="1" applyBorder="1" applyAlignment="1" applyProtection="1">
      <alignment horizontal="center" vertical="center"/>
      <protection hidden="1"/>
    </xf>
    <xf numFmtId="2" fontId="14" fillId="2" borderId="6" xfId="0" applyNumberFormat="1" applyFont="1" applyFill="1" applyBorder="1" applyAlignment="1" applyProtection="1">
      <alignment horizontal="center" vertical="center"/>
      <protection hidden="1"/>
    </xf>
    <xf numFmtId="0" fontId="17" fillId="3" borderId="7" xfId="0" applyNumberFormat="1" applyFont="1" applyFill="1" applyBorder="1" applyAlignment="1" applyProtection="1">
      <alignment horizontal="center" vertical="center"/>
      <protection hidden="1"/>
    </xf>
    <xf numFmtId="10" fontId="7" fillId="2" borderId="7" xfId="0" applyNumberFormat="1" applyFont="1" applyFill="1" applyBorder="1" applyAlignment="1" applyProtection="1">
      <alignment horizontal="center" vertical="center"/>
      <protection hidden="1"/>
    </xf>
    <xf numFmtId="10" fontId="7" fillId="2" borderId="6" xfId="0" applyNumberFormat="1" applyFont="1" applyFill="1" applyBorder="1" applyAlignment="1" applyProtection="1">
      <alignment horizontal="center" vertical="center"/>
      <protection hidden="1"/>
    </xf>
    <xf numFmtId="49" fontId="18" fillId="3" borderId="7" xfId="0" applyNumberFormat="1" applyFont="1" applyFill="1" applyBorder="1" applyAlignment="1" applyProtection="1">
      <alignment horizontal="center" vertical="center"/>
      <protection hidden="1"/>
    </xf>
    <xf numFmtId="0" fontId="15" fillId="3" borderId="25" xfId="0" applyNumberFormat="1" applyFont="1" applyFill="1" applyBorder="1" applyAlignment="1" applyProtection="1">
      <alignment horizontal="center" vertical="center"/>
      <protection hidden="1"/>
    </xf>
    <xf numFmtId="0" fontId="23" fillId="3" borderId="0" xfId="0" applyNumberFormat="1" applyFont="1" applyFill="1" applyBorder="1" applyAlignment="1" applyProtection="1">
      <alignment horizontal="center" vertical="center"/>
      <protection hidden="1"/>
    </xf>
    <xf numFmtId="0" fontId="23" fillId="3" borderId="22" xfId="0" applyNumberFormat="1" applyFont="1" applyFill="1" applyBorder="1" applyAlignment="1" applyProtection="1">
      <alignment horizontal="center" vertical="center"/>
      <protection hidden="1"/>
    </xf>
    <xf numFmtId="0" fontId="14" fillId="5" borderId="9" xfId="0" applyNumberFormat="1" applyFont="1" applyFill="1" applyBorder="1" applyAlignment="1" applyProtection="1">
      <alignment horizontal="center" vertical="center"/>
      <protection hidden="1"/>
    </xf>
    <xf numFmtId="0" fontId="14" fillId="5" borderId="10" xfId="0" applyFont="1" applyFill="1" applyBorder="1" applyAlignment="1" applyProtection="1">
      <alignment horizontal="center" vertical="center"/>
      <protection hidden="1"/>
    </xf>
    <xf numFmtId="0" fontId="14" fillId="5" borderId="11" xfId="0" applyFont="1" applyFill="1" applyBorder="1" applyAlignment="1" applyProtection="1">
      <alignment horizontal="center" vertical="center"/>
      <protection hidden="1"/>
    </xf>
    <xf numFmtId="0" fontId="19" fillId="3" borderId="18" xfId="0" applyNumberFormat="1" applyFont="1" applyFill="1" applyBorder="1" applyAlignment="1" applyProtection="1">
      <alignment horizontal="center" vertical="center"/>
      <protection hidden="1"/>
    </xf>
    <xf numFmtId="0" fontId="19" fillId="3" borderId="19" xfId="0" applyFont="1" applyFill="1" applyBorder="1" applyAlignment="1" applyProtection="1">
      <alignment horizontal="center" vertical="center"/>
      <protection hidden="1"/>
    </xf>
    <xf numFmtId="0" fontId="19" fillId="3" borderId="6" xfId="0" applyNumberFormat="1" applyFont="1" applyFill="1" applyBorder="1" applyAlignment="1" applyProtection="1">
      <alignment horizontal="center" vertical="center"/>
      <protection hidden="1"/>
    </xf>
    <xf numFmtId="0" fontId="19" fillId="3" borderId="7" xfId="0" applyFont="1" applyFill="1" applyBorder="1" applyAlignment="1" applyProtection="1">
      <alignment horizontal="center" vertical="center"/>
      <protection hidden="1"/>
    </xf>
    <xf numFmtId="0" fontId="0" fillId="3" borderId="5" xfId="0" applyNumberFormat="1" applyFill="1" applyBorder="1" applyAlignment="1" applyProtection="1">
      <alignment horizontal="center" vertical="center"/>
      <protection hidden="1"/>
    </xf>
    <xf numFmtId="0" fontId="0" fillId="3" borderId="22" xfId="0" applyNumberFormat="1" applyFill="1" applyBorder="1" applyAlignment="1" applyProtection="1">
      <alignment horizontal="center" vertical="center" wrapText="1"/>
      <protection hidden="1"/>
    </xf>
    <xf numFmtId="2" fontId="22" fillId="3" borderId="0" xfId="0" applyNumberFormat="1" applyFont="1" applyFill="1" applyBorder="1" applyAlignment="1" applyProtection="1">
      <alignment horizontal="center" vertical="center"/>
      <protection hidden="1"/>
    </xf>
    <xf numFmtId="0" fontId="22" fillId="3" borderId="0" xfId="0" applyNumberFormat="1" applyFont="1" applyFill="1" applyBorder="1" applyAlignment="1" applyProtection="1">
      <alignment horizontal="center" vertical="center"/>
      <protection hidden="1"/>
    </xf>
    <xf numFmtId="0" fontId="6" fillId="3" borderId="4" xfId="0" applyNumberFormat="1" applyFont="1" applyFill="1" applyBorder="1" applyAlignment="1" applyProtection="1">
      <alignment horizontal="center" vertical="center"/>
      <protection hidden="1"/>
    </xf>
    <xf numFmtId="10" fontId="25" fillId="3" borderId="0" xfId="0" applyNumberFormat="1" applyFont="1" applyFill="1" applyBorder="1" applyAlignment="1" applyProtection="1">
      <alignment horizontal="center" vertical="center"/>
      <protection hidden="1"/>
    </xf>
    <xf numFmtId="0" fontId="0" fillId="3" borderId="25" xfId="0" applyNumberFormat="1" applyFill="1" applyBorder="1" applyAlignment="1" applyProtection="1">
      <alignment horizontal="center" vertical="center"/>
      <protection hidden="1"/>
    </xf>
    <xf numFmtId="0" fontId="24" fillId="3" borderId="0" xfId="0" applyNumberFormat="1" applyFont="1" applyFill="1" applyBorder="1" applyAlignment="1" applyProtection="1">
      <alignment horizontal="center" vertical="center"/>
      <protection hidden="1"/>
    </xf>
    <xf numFmtId="0" fontId="14" fillId="3" borderId="25" xfId="0" applyNumberFormat="1" applyFont="1" applyFill="1" applyBorder="1" applyAlignment="1" applyProtection="1">
      <alignment horizontal="center" vertical="center"/>
      <protection hidden="1"/>
    </xf>
    <xf numFmtId="0" fontId="19" fillId="3" borderId="18" xfId="0" applyNumberFormat="1" applyFont="1" applyFill="1" applyBorder="1" applyAlignment="1" applyProtection="1">
      <alignment horizontal="center" vertical="center"/>
      <protection hidden="1"/>
    </xf>
    <xf numFmtId="10" fontId="24" fillId="3" borderId="0" xfId="0" applyNumberFormat="1" applyFont="1" applyFill="1" applyBorder="1" applyAlignment="1" applyProtection="1">
      <alignment horizontal="center" vertical="center"/>
      <protection hidden="1"/>
    </xf>
    <xf numFmtId="2" fontId="23" fillId="7" borderId="22" xfId="0" applyNumberFormat="1" applyFont="1" applyFill="1" applyBorder="1" applyAlignment="1" applyProtection="1">
      <alignment horizontal="center" vertical="center"/>
      <protection hidden="1"/>
    </xf>
    <xf numFmtId="0" fontId="19" fillId="3" borderId="25" xfId="0" applyNumberFormat="1" applyFont="1" applyFill="1" applyBorder="1" applyAlignment="1" applyProtection="1">
      <alignment horizontal="center" vertical="center"/>
      <protection hidden="1"/>
    </xf>
    <xf numFmtId="2" fontId="23" fillId="3" borderId="22" xfId="0" applyNumberFormat="1" applyFont="1" applyFill="1" applyBorder="1" applyAlignment="1" applyProtection="1">
      <alignment horizontal="center" vertical="center"/>
      <protection hidden="1"/>
    </xf>
    <xf numFmtId="0" fontId="0" fillId="3" borderId="24" xfId="0" applyNumberFormat="1" applyFill="1" applyBorder="1" applyAlignment="1" applyProtection="1">
      <alignment horizontal="center" vertical="center"/>
      <protection hidden="1"/>
    </xf>
    <xf numFmtId="0" fontId="3" fillId="3" borderId="6" xfId="0" applyNumberFormat="1" applyFont="1" applyFill="1" applyBorder="1" applyAlignment="1" applyProtection="1">
      <alignment horizontal="center" vertical="center"/>
      <protection hidden="1"/>
    </xf>
    <xf numFmtId="0" fontId="19" fillId="3" borderId="26" xfId="0" applyNumberFormat="1" applyFont="1" applyFill="1" applyBorder="1" applyAlignment="1" applyProtection="1">
      <alignment horizontal="center" vertical="center"/>
      <protection hidden="1"/>
    </xf>
    <xf numFmtId="0" fontId="0" fillId="3" borderId="26" xfId="0" applyFill="1" applyBorder="1" applyAlignment="1" applyProtection="1">
      <alignment horizontal="center" vertical="center"/>
      <protection hidden="1"/>
    </xf>
    <xf numFmtId="10" fontId="24" fillId="3" borderId="26" xfId="0" applyNumberFormat="1" applyFont="1" applyFill="1" applyBorder="1" applyAlignment="1" applyProtection="1">
      <alignment horizontal="center" vertical="center"/>
      <protection hidden="1"/>
    </xf>
    <xf numFmtId="0" fontId="3" fillId="3" borderId="26" xfId="0" applyNumberFormat="1" applyFont="1" applyFill="1" applyBorder="1" applyAlignment="1" applyProtection="1">
      <alignment horizontal="center" vertical="center"/>
      <protection hidden="1"/>
    </xf>
    <xf numFmtId="0" fontId="3" fillId="3" borderId="32" xfId="0" applyNumberFormat="1" applyFont="1" applyFill="1" applyBorder="1" applyAlignment="1" applyProtection="1">
      <alignment horizontal="center" vertical="center"/>
      <protection hidden="1"/>
    </xf>
    <xf numFmtId="0" fontId="16" fillId="3" borderId="6" xfId="0" applyNumberFormat="1" applyFont="1" applyFill="1" applyBorder="1" applyAlignment="1" applyProtection="1">
      <alignment horizontal="center" vertical="center"/>
      <protection hidden="1"/>
    </xf>
    <xf numFmtId="0" fontId="16" fillId="3" borderId="7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23" xfId="0" applyNumberFormat="1" applyFill="1" applyBorder="1" applyAlignment="1" applyProtection="1">
      <alignment horizontal="center" vertical="center"/>
      <protection hidden="1"/>
    </xf>
    <xf numFmtId="0" fontId="16" fillId="3" borderId="7" xfId="0" applyNumberFormat="1" applyFont="1" applyFill="1" applyBorder="1" applyAlignment="1" applyProtection="1">
      <alignment horizontal="center" vertical="center"/>
      <protection hidden="1"/>
    </xf>
    <xf numFmtId="0" fontId="0" fillId="3" borderId="8" xfId="0" applyNumberFormat="1" applyFill="1" applyBorder="1" applyAlignment="1" applyProtection="1">
      <alignment horizontal="center" vertical="center"/>
      <protection hidden="1"/>
    </xf>
    <xf numFmtId="0" fontId="3" fillId="4" borderId="0" xfId="0" applyNumberFormat="1" applyFont="1" applyFill="1" applyBorder="1" applyAlignment="1" applyProtection="1">
      <alignment horizontal="center" vertical="center"/>
      <protection hidden="1"/>
    </xf>
    <xf numFmtId="0" fontId="19" fillId="4" borderId="0" xfId="0" applyNumberFormat="1" applyFont="1" applyFill="1" applyBorder="1" applyAlignment="1" applyProtection="1">
      <alignment horizontal="center" vertical="center"/>
      <protection hidden="1"/>
    </xf>
    <xf numFmtId="10" fontId="7" fillId="4" borderId="0" xfId="0" applyNumberFormat="1" applyFont="1" applyFill="1" applyBorder="1" applyAlignment="1" applyProtection="1">
      <alignment horizontal="center" vertical="center"/>
      <protection hidden="1"/>
    </xf>
    <xf numFmtId="0" fontId="2" fillId="4" borderId="0" xfId="0" applyNumberFormat="1" applyFont="1" applyFill="1" applyAlignment="1" applyProtection="1">
      <alignment horizontal="center" vertical="center"/>
      <protection hidden="1"/>
    </xf>
    <xf numFmtId="10" fontId="22" fillId="3" borderId="0" xfId="0" applyNumberFormat="1" applyFont="1" applyFill="1" applyBorder="1" applyAlignment="1" applyProtection="1">
      <alignment horizontal="center" vertical="center"/>
      <protection hidden="1"/>
    </xf>
    <xf numFmtId="49" fontId="22" fillId="3" borderId="0" xfId="0" applyNumberFormat="1" applyFont="1" applyFill="1" applyBorder="1" applyAlignment="1" applyProtection="1">
      <alignment horizontal="center" vertical="center"/>
      <protection hidden="1"/>
    </xf>
    <xf numFmtId="10" fontId="30" fillId="4" borderId="0" xfId="0" applyNumberFormat="1" applyFont="1" applyFill="1" applyAlignment="1" applyProtection="1">
      <alignment horizontal="center" vertical="center"/>
      <protection hidden="1"/>
    </xf>
    <xf numFmtId="0" fontId="0" fillId="11" borderId="0" xfId="0" applyFill="1" applyProtection="1"/>
    <xf numFmtId="0" fontId="0" fillId="12" borderId="0" xfId="0" applyFill="1" applyProtection="1"/>
    <xf numFmtId="0" fontId="0" fillId="0" borderId="0" xfId="0" applyProtection="1"/>
    <xf numFmtId="0" fontId="0" fillId="12" borderId="0" xfId="0" applyNumberFormat="1" applyFill="1" applyProtection="1"/>
    <xf numFmtId="0" fontId="19" fillId="0" borderId="28" xfId="0" applyNumberFormat="1" applyFont="1" applyBorder="1" applyAlignment="1" applyProtection="1">
      <alignment horizontal="center" vertical="center" wrapText="1"/>
      <protection locked="0"/>
    </xf>
    <xf numFmtId="0" fontId="19" fillId="0" borderId="29" xfId="0" applyFont="1" applyBorder="1" applyAlignment="1" applyProtection="1">
      <alignment horizontal="center" vertical="center" wrapText="1"/>
      <protection locked="0"/>
    </xf>
    <xf numFmtId="0" fontId="19" fillId="0" borderId="30" xfId="0" applyFont="1" applyBorder="1" applyAlignment="1" applyProtection="1">
      <alignment horizontal="center" vertical="center" wrapText="1"/>
      <protection locked="0"/>
    </xf>
    <xf numFmtId="0" fontId="19" fillId="0" borderId="27" xfId="0" applyFont="1" applyBorder="1" applyAlignment="1" applyProtection="1">
      <alignment horizontal="center" vertical="center" wrapText="1"/>
      <protection locked="0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8" xfId="0" applyFont="1" applyBorder="1" applyAlignment="1" applyProtection="1">
      <alignment horizontal="center" vertical="center" wrapText="1"/>
      <protection locked="0"/>
    </xf>
    <xf numFmtId="0" fontId="16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33" fillId="8" borderId="0" xfId="0" applyFont="1" applyFill="1" applyBorder="1" applyAlignment="1" applyProtection="1">
      <alignment horizontal="center" vertical="center"/>
      <protection hidden="1"/>
    </xf>
    <xf numFmtId="0" fontId="0" fillId="2" borderId="5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34" fillId="2" borderId="0" xfId="0" applyFont="1" applyFill="1" applyBorder="1" applyAlignment="1" applyProtection="1">
      <alignment horizontal="right" vertical="center" shrinkToFit="1"/>
      <protection hidden="1"/>
    </xf>
    <xf numFmtId="0" fontId="35" fillId="2" borderId="0" xfId="0" applyFont="1" applyFill="1" applyBorder="1" applyProtection="1">
      <protection hidden="1"/>
    </xf>
    <xf numFmtId="0" fontId="34" fillId="2" borderId="0" xfId="0" applyFont="1" applyFill="1" applyBorder="1" applyAlignment="1" applyProtection="1">
      <alignment horizontal="left" vertical="center" shrinkToFit="1"/>
      <protection hidden="1"/>
    </xf>
    <xf numFmtId="0" fontId="14" fillId="10" borderId="12" xfId="0" applyNumberFormat="1" applyFont="1" applyFill="1" applyBorder="1" applyAlignment="1" applyProtection="1">
      <alignment horizontal="center" vertical="center"/>
      <protection hidden="1"/>
    </xf>
    <xf numFmtId="0" fontId="14" fillId="10" borderId="13" xfId="0" applyNumberFormat="1" applyFont="1" applyFill="1" applyBorder="1" applyAlignment="1" applyProtection="1">
      <alignment horizontal="center" vertical="center"/>
      <protection hidden="1"/>
    </xf>
    <xf numFmtId="0" fontId="14" fillId="10" borderId="14" xfId="0" applyNumberFormat="1" applyFont="1" applyFill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16" xfId="0" applyFont="1" applyFill="1" applyBorder="1" applyAlignment="1" applyProtection="1">
      <alignment horizontal="center" vertic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49" fontId="0" fillId="2" borderId="0" xfId="0" applyNumberFormat="1" applyFill="1" applyBorder="1" applyProtection="1">
      <protection hidden="1"/>
    </xf>
    <xf numFmtId="10" fontId="23" fillId="2" borderId="4" xfId="0" applyNumberFormat="1" applyFont="1" applyFill="1" applyBorder="1" applyAlignment="1" applyProtection="1">
      <alignment horizontal="center" vertical="center"/>
      <protection hidden="1"/>
    </xf>
    <xf numFmtId="49" fontId="22" fillId="2" borderId="0" xfId="0" applyNumberFormat="1" applyFont="1" applyFill="1" applyBorder="1" applyAlignment="1" applyProtection="1">
      <alignment horizontal="center" vertical="center"/>
      <protection hidden="1"/>
    </xf>
    <xf numFmtId="2" fontId="32" fillId="9" borderId="5" xfId="0" applyNumberFormat="1" applyFont="1" applyFill="1" applyBorder="1" applyAlignment="1" applyProtection="1">
      <alignment horizontal="center" vertical="center"/>
      <protection hidden="1"/>
    </xf>
    <xf numFmtId="0" fontId="20" fillId="10" borderId="12" xfId="0" applyNumberFormat="1" applyFont="1" applyFill="1" applyBorder="1" applyAlignment="1" applyProtection="1">
      <alignment horizontal="center" vertical="center"/>
      <protection hidden="1"/>
    </xf>
    <xf numFmtId="0" fontId="20" fillId="10" borderId="13" xfId="0" applyNumberFormat="1" applyFont="1" applyFill="1" applyBorder="1" applyAlignment="1" applyProtection="1">
      <alignment horizontal="center" vertical="center"/>
      <protection hidden="1"/>
    </xf>
    <xf numFmtId="0" fontId="20" fillId="10" borderId="14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NumberFormat="1" applyFont="1" applyFill="1" applyBorder="1" applyAlignment="1" applyProtection="1">
      <alignment horizontal="center" vertical="center"/>
      <protection hidden="1"/>
    </xf>
    <xf numFmtId="10" fontId="23" fillId="2" borderId="6" xfId="0" applyNumberFormat="1" applyFont="1" applyFill="1" applyBorder="1" applyAlignment="1" applyProtection="1">
      <alignment horizontal="center" vertical="center"/>
      <protection hidden="1"/>
    </xf>
    <xf numFmtId="0" fontId="22" fillId="2" borderId="7" xfId="0" applyNumberFormat="1" applyFont="1" applyFill="1" applyBorder="1" applyAlignment="1" applyProtection="1">
      <alignment horizontal="center" vertical="center"/>
      <protection hidden="1"/>
    </xf>
    <xf numFmtId="2" fontId="32" fillId="9" borderId="8" xfId="0" applyNumberFormat="1" applyFont="1" applyFill="1" applyBorder="1" applyAlignment="1" applyProtection="1">
      <alignment horizontal="center" vertical="center"/>
      <protection hidden="1"/>
    </xf>
    <xf numFmtId="2" fontId="20" fillId="9" borderId="5" xfId="0" applyNumberFormat="1" applyFont="1" applyFill="1" applyBorder="1" applyAlignment="1" applyProtection="1">
      <alignment horizontal="center" vertical="center"/>
      <protection hidden="1"/>
    </xf>
    <xf numFmtId="10" fontId="31" fillId="2" borderId="4" xfId="0" applyNumberFormat="1" applyFont="1" applyFill="1" applyBorder="1" applyAlignment="1" applyProtection="1">
      <alignment horizontal="center" vertical="center"/>
      <protection hidden="1"/>
    </xf>
    <xf numFmtId="0" fontId="18" fillId="3" borderId="0" xfId="0" applyNumberFormat="1" applyFont="1" applyFill="1" applyBorder="1" applyAlignment="1" applyProtection="1">
      <alignment horizontal="center" vertical="center"/>
      <protection hidden="1"/>
    </xf>
    <xf numFmtId="10" fontId="31" fillId="0" borderId="4" xfId="0" applyNumberFormat="1" applyFont="1" applyBorder="1" applyAlignment="1" applyProtection="1">
      <alignment horizontal="center" vertical="center"/>
      <protection hidden="1"/>
    </xf>
    <xf numFmtId="10" fontId="31" fillId="2" borderId="6" xfId="0" applyNumberFormat="1" applyFont="1" applyFill="1" applyBorder="1" applyAlignment="1" applyProtection="1">
      <alignment horizontal="center" vertical="center"/>
      <protection hidden="1"/>
    </xf>
    <xf numFmtId="2" fontId="20" fillId="9" borderId="8" xfId="0" applyNumberFormat="1" applyFont="1" applyFill="1" applyBorder="1" applyAlignment="1" applyProtection="1">
      <alignment horizontal="center" vertical="center"/>
      <protection hidden="1"/>
    </xf>
    <xf numFmtId="10" fontId="31" fillId="0" borderId="6" xfId="0" applyNumberFormat="1" applyFont="1" applyBorder="1" applyAlignment="1" applyProtection="1">
      <alignment horizontal="center" vertical="center"/>
      <protection hidden="1"/>
    </xf>
    <xf numFmtId="0" fontId="18" fillId="3" borderId="7" xfId="0" applyNumberFormat="1" applyFont="1" applyFill="1" applyBorder="1" applyAlignment="1" applyProtection="1">
      <alignment horizontal="center" vertical="center"/>
      <protection hidden="1"/>
    </xf>
    <xf numFmtId="49" fontId="20" fillId="0" borderId="7" xfId="0" applyNumberFormat="1" applyFont="1" applyFill="1" applyBorder="1" applyAlignment="1" applyProtection="1">
      <alignment horizontal="center" vertical="center"/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7" xfId="0" applyNumberFormat="1" applyFill="1" applyBorder="1" applyProtection="1">
      <protection hidden="1"/>
    </xf>
    <xf numFmtId="0" fontId="0" fillId="2" borderId="8" xfId="0" applyFill="1" applyBorder="1" applyProtection="1">
      <protection hidden="1"/>
    </xf>
  </cellXfs>
  <cellStyles count="3">
    <cellStyle name="Normal" xfId="0" builtinId="0"/>
    <cellStyle name="Normal 2" xfId="1"/>
    <cellStyle name="Normal 3" xfId="2"/>
  </cellStyles>
  <dxfs count="109">
    <dxf>
      <font>
        <color theme="6" tint="0.79998168889431442"/>
      </font>
      <fill>
        <patternFill>
          <bgColor theme="6" tint="0.79998168889431442"/>
        </patternFill>
      </fill>
    </dxf>
    <dxf>
      <font>
        <color theme="6" tint="0.79998168889431442"/>
      </font>
      <fill>
        <patternFill>
          <bgColor theme="6" tint="0.79998168889431442"/>
        </patternFill>
      </fill>
    </dxf>
    <dxf>
      <font>
        <color theme="6" tint="0.79998168889431442"/>
      </font>
      <fill>
        <patternFill>
          <bgColor theme="6" tint="0.79998168889431442"/>
        </patternFill>
      </fill>
    </dxf>
    <dxf>
      <font>
        <color theme="6" tint="0.79998168889431442"/>
      </font>
      <fill>
        <patternFill>
          <bgColor theme="6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fgColor indexed="64"/>
          <bgColor auto="1"/>
        </patternFill>
      </fill>
    </dxf>
    <dxf>
      <font>
        <color theme="0"/>
      </font>
      <fill>
        <patternFill patternType="solid"/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CC00"/>
      <color rgb="FFFFFF66"/>
      <color rgb="FF003300"/>
      <color rgb="FF009900"/>
      <color rgb="FFFF0000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226219</xdr:colOff>
      <xdr:row>48</xdr:row>
      <xdr:rowOff>59532</xdr:rowOff>
    </xdr:from>
    <xdr:to>
      <xdr:col>39</xdr:col>
      <xdr:colOff>407286</xdr:colOff>
      <xdr:row>50</xdr:row>
      <xdr:rowOff>238125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4563" y="5453063"/>
          <a:ext cx="4955473" cy="678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29</xdr:row>
      <xdr:rowOff>24906</xdr:rowOff>
    </xdr:from>
    <xdr:to>
      <xdr:col>8</xdr:col>
      <xdr:colOff>723900</xdr:colOff>
      <xdr:row>30</xdr:row>
      <xdr:rowOff>139255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5035056"/>
          <a:ext cx="2295525" cy="314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C119"/>
  <sheetViews>
    <sheetView tabSelected="1" topLeftCell="I27" zoomScale="80" zoomScaleNormal="80" workbookViewId="0">
      <selection activeCell="Q34" sqref="Q34"/>
    </sheetView>
  </sheetViews>
  <sheetFormatPr baseColWidth="10" defaultColWidth="3.5703125" defaultRowHeight="12.75" x14ac:dyDescent="0.2"/>
  <cols>
    <col min="1" max="1" width="11.85546875" style="1" hidden="1" customWidth="1"/>
    <col min="2" max="3" width="11.85546875" style="2" hidden="1" customWidth="1"/>
    <col min="4" max="4" width="4" style="2" hidden="1" customWidth="1"/>
    <col min="5" max="5" width="13.42578125" style="2" hidden="1" customWidth="1"/>
    <col min="6" max="8" width="11.85546875" style="2" hidden="1" customWidth="1"/>
    <col min="9" max="9" width="3.5703125" style="3" customWidth="1"/>
    <col min="10" max="17" width="5.7109375" style="2" customWidth="1"/>
    <col min="18" max="18" width="3.5703125" style="2"/>
    <col min="19" max="19" width="7.140625" style="2" customWidth="1"/>
    <col min="20" max="21" width="11.42578125" style="2" customWidth="1"/>
    <col min="22" max="22" width="7.140625" style="2" customWidth="1"/>
    <col min="23" max="24" width="11.42578125" style="2" customWidth="1"/>
    <col min="25" max="25" width="7.140625" style="2" customWidth="1"/>
    <col min="26" max="27" width="11.42578125" style="2" customWidth="1"/>
    <col min="28" max="28" width="1.28515625" style="76" customWidth="1"/>
    <col min="29" max="29" width="3.5703125" style="76"/>
    <col min="30" max="30" width="7.140625" style="2" customWidth="1"/>
    <col min="31" max="31" width="3.5703125" style="2"/>
    <col min="32" max="32" width="7.85546875" style="2" customWidth="1"/>
    <col min="33" max="33" width="3.5703125" style="2"/>
    <col min="34" max="34" width="9.42578125" style="2" customWidth="1"/>
    <col min="35" max="35" width="3.5703125" style="2"/>
    <col min="36" max="41" width="8.140625" style="2" customWidth="1"/>
    <col min="42" max="42" width="4.85546875" style="2" customWidth="1"/>
    <col min="43" max="43" width="6.85546875" style="2" customWidth="1"/>
    <col min="44" max="64" width="7.42578125" style="2" customWidth="1"/>
    <col min="65" max="16384" width="3.5703125" style="2"/>
  </cols>
  <sheetData>
    <row r="1" spans="9:56" ht="13.5" hidden="1" thickBot="1" x14ac:dyDescent="0.25">
      <c r="S1" s="4" t="s">
        <v>31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/>
      <c r="AQ1" s="4" t="s">
        <v>35</v>
      </c>
      <c r="AR1" s="5"/>
      <c r="AS1" s="5"/>
      <c r="AT1" s="5"/>
      <c r="AU1" s="6"/>
      <c r="AV1" s="7"/>
      <c r="AX1" s="8" t="s">
        <v>57</v>
      </c>
      <c r="AY1" s="9"/>
      <c r="AZ1" s="9"/>
      <c r="BA1" s="9"/>
      <c r="BB1" s="9"/>
      <c r="BC1" s="10"/>
    </row>
    <row r="2" spans="9:56" hidden="1" x14ac:dyDescent="0.2">
      <c r="S2" s="11" t="s">
        <v>27</v>
      </c>
      <c r="T2" s="12"/>
      <c r="U2" s="12"/>
      <c r="V2" s="12"/>
      <c r="W2" s="12"/>
      <c r="X2" s="12"/>
      <c r="Y2" s="12"/>
      <c r="Z2" s="13"/>
      <c r="AA2" s="14"/>
      <c r="AB2" s="15"/>
      <c r="AC2" s="11" t="s">
        <v>28</v>
      </c>
      <c r="AD2" s="12"/>
      <c r="AE2" s="12"/>
      <c r="AF2" s="12"/>
      <c r="AG2" s="12"/>
      <c r="AH2" s="13"/>
      <c r="AQ2" s="16"/>
      <c r="AR2" s="12" t="s">
        <v>36</v>
      </c>
      <c r="AS2" s="12"/>
      <c r="AT2" s="17" t="s">
        <v>37</v>
      </c>
      <c r="AU2" s="18"/>
      <c r="AV2" s="7"/>
      <c r="AX2" s="19" t="s">
        <v>36</v>
      </c>
      <c r="AY2" s="20"/>
      <c r="AZ2" s="20"/>
      <c r="BA2" s="20"/>
      <c r="BB2" s="20"/>
      <c r="BC2" s="21"/>
    </row>
    <row r="3" spans="9:56" hidden="1" x14ac:dyDescent="0.2">
      <c r="S3" s="16" t="s">
        <v>23</v>
      </c>
      <c r="T3" s="22">
        <f>POISSON(1,AZ15,FALSE)*POISSON(0,BD15,FALSE)</f>
        <v>4.2029994999576964E-2</v>
      </c>
      <c r="U3" s="22"/>
      <c r="V3" s="14" t="s">
        <v>13</v>
      </c>
      <c r="W3" s="22">
        <f>POISSON(0,AZ15,FALSE)*POISSON(0,BD15,FALSE)</f>
        <v>2.4723526470339388E-2</v>
      </c>
      <c r="X3" s="22"/>
      <c r="Y3" s="14" t="s">
        <v>9</v>
      </c>
      <c r="Z3" s="23">
        <f>POISSON(0,AZ15,FALSE)*POISSON(1,BD15,FALSE)</f>
        <v>4.9447052940678762E-2</v>
      </c>
      <c r="AA3" s="22"/>
      <c r="AB3" s="15"/>
      <c r="AC3" s="24" t="s">
        <v>23</v>
      </c>
      <c r="AD3" s="22">
        <f>POISSON(0,AZ16,FALSE)*POISSON(1,BD16,FALSE)</f>
        <v>0.10337710646287053</v>
      </c>
      <c r="AE3" s="14" t="s">
        <v>13</v>
      </c>
      <c r="AF3" s="22">
        <f>POISSON(0,AZ16,FALSE)*POISSON(0,BD16,FALSE)</f>
        <v>6.0810062625217952E-2</v>
      </c>
      <c r="AG3" s="14" t="s">
        <v>9</v>
      </c>
      <c r="AH3" s="23">
        <f>POISSON(1,AZ16,FALSE)*POISSON(0,BD16,FALSE)</f>
        <v>6.6891068887739755E-2</v>
      </c>
      <c r="AQ3" s="25" t="s">
        <v>33</v>
      </c>
      <c r="AR3" s="26">
        <f>AVERAGE(T23,W23)</f>
        <v>0.27223170257649887</v>
      </c>
      <c r="AS3" s="26"/>
      <c r="AT3" s="26">
        <f>AVERAGE(AD23,AF23)</f>
        <v>0.36486850331176807</v>
      </c>
      <c r="AU3" s="27"/>
      <c r="AV3" s="7"/>
      <c r="AX3" s="28" t="s">
        <v>45</v>
      </c>
      <c r="AY3" s="29" t="s">
        <v>46</v>
      </c>
      <c r="AZ3" s="29" t="s">
        <v>47</v>
      </c>
      <c r="BA3" s="29" t="s">
        <v>48</v>
      </c>
      <c r="BB3" s="29" t="s">
        <v>49</v>
      </c>
      <c r="BC3" s="30" t="s">
        <v>50</v>
      </c>
    </row>
    <row r="4" spans="9:56" hidden="1" x14ac:dyDescent="0.2">
      <c r="S4" s="16" t="s">
        <v>22</v>
      </c>
      <c r="T4" s="22">
        <f>POISSON(2,AZ15,FALSE)*POISSON(0,BD15,FALSE)</f>
        <v>3.5725495749640429E-2</v>
      </c>
      <c r="U4" s="22"/>
      <c r="V4" s="14" t="s">
        <v>12</v>
      </c>
      <c r="W4" s="22">
        <f>POISSON(1,AZ15,FALSE)*POISSON(1,BD15,FALSE)</f>
        <v>8.4059989999153914E-2</v>
      </c>
      <c r="X4" s="22"/>
      <c r="Y4" s="14" t="s">
        <v>8</v>
      </c>
      <c r="Z4" s="23">
        <f>POISSON(0,AZ15,FALSE)*POISSON(2,BD15,FALSE)</f>
        <v>4.9447052940678783E-2</v>
      </c>
      <c r="AA4" s="22"/>
      <c r="AB4" s="15"/>
      <c r="AC4" s="24" t="s">
        <v>22</v>
      </c>
      <c r="AD4" s="22">
        <f>POISSON(0,AZ16,FALSE)*POISSON(2,BD16,FALSE)</f>
        <v>8.7870540493439966E-2</v>
      </c>
      <c r="AE4" s="14" t="s">
        <v>12</v>
      </c>
      <c r="AF4" s="22">
        <f>POISSON(1,AZ16,FALSE)*POISSON(1,BD16,FALSE)</f>
        <v>0.11371481710915758</v>
      </c>
      <c r="AG4" s="14" t="s">
        <v>8</v>
      </c>
      <c r="AH4" s="23">
        <f>POISSON(2,AZ16,FALSE)*POISSON(0,BD16,FALSE)</f>
        <v>3.6790087888256856E-2</v>
      </c>
      <c r="AQ4" s="16">
        <v>12</v>
      </c>
      <c r="AR4" s="26">
        <f>AVERAGE(T23,Z23)</f>
        <v>0.38899221094451963</v>
      </c>
      <c r="AS4" s="26"/>
      <c r="AT4" s="26">
        <f>AVERAGE(AD23,AH23)</f>
        <v>0.37881497141131293</v>
      </c>
      <c r="AU4" s="27"/>
      <c r="AV4" s="7"/>
      <c r="AX4" s="31">
        <f t="shared" ref="AX4:BC4" si="0">100%-AX5</f>
        <v>0.97527647352966063</v>
      </c>
      <c r="AY4" s="32">
        <f t="shared" si="0"/>
        <v>0.88379942558940483</v>
      </c>
      <c r="AZ4" s="32">
        <f t="shared" si="0"/>
        <v>0.71456688689993175</v>
      </c>
      <c r="BA4" s="32">
        <f t="shared" si="0"/>
        <v>0.5058467558495815</v>
      </c>
      <c r="BB4" s="32">
        <f t="shared" si="0"/>
        <v>0.26755285750887925</v>
      </c>
      <c r="BC4" s="33">
        <f t="shared" si="0"/>
        <v>0.17942996799309952</v>
      </c>
    </row>
    <row r="5" spans="9:56" ht="13.5" hidden="1" thickBot="1" x14ac:dyDescent="0.25">
      <c r="S5" s="16" t="s">
        <v>21</v>
      </c>
      <c r="T5" s="22">
        <f>POISSON(2,AZ15,FALSE)*POISSON(1,BD15,FALSE)</f>
        <v>7.1450991499280844E-2</v>
      </c>
      <c r="U5" s="22"/>
      <c r="V5" s="14" t="s">
        <v>11</v>
      </c>
      <c r="W5" s="22">
        <f>POISSON(2,AZ15,FALSE)*POISSON(2,BD15,FALSE)</f>
        <v>7.1450991499280872E-2</v>
      </c>
      <c r="X5" s="22"/>
      <c r="Y5" s="14" t="s">
        <v>7</v>
      </c>
      <c r="Z5" s="23">
        <f>POISSON(1,AZ15,FALSE)*POISSON(2,BD15,FALSE)</f>
        <v>8.4059989999153942E-2</v>
      </c>
      <c r="AA5" s="22"/>
      <c r="AB5" s="15"/>
      <c r="AC5" s="24" t="s">
        <v>21</v>
      </c>
      <c r="AD5" s="22">
        <f>POISSON(1,AZ16,FALSE)*POISSON(2,BD16,FALSE)</f>
        <v>9.665759454278397E-2</v>
      </c>
      <c r="AE5" s="14" t="s">
        <v>11</v>
      </c>
      <c r="AF5" s="22">
        <f>POISSON(2,AZ16,FALSE)*POISSON(2,BD16,FALSE)</f>
        <v>5.3161676998531172E-2</v>
      </c>
      <c r="AG5" s="14" t="s">
        <v>7</v>
      </c>
      <c r="AH5" s="23">
        <f>POISSON(2,AZ16,FALSE)*POISSON(1,BD16,FALSE)</f>
        <v>6.2543149410036664E-2</v>
      </c>
      <c r="AQ5" s="34" t="s">
        <v>34</v>
      </c>
      <c r="AR5" s="35">
        <f>AVERAGE(W23,Z23)</f>
        <v>0.3305773007835302</v>
      </c>
      <c r="AS5" s="35"/>
      <c r="AT5" s="35">
        <f>AVERAGE(AF23,AH23)</f>
        <v>0.25407140088990848</v>
      </c>
      <c r="AU5" s="36"/>
      <c r="AX5" s="31">
        <f>W3</f>
        <v>2.4723526470339388E-2</v>
      </c>
      <c r="AY5" s="32">
        <f>SUM(T3,W3,Z3)</f>
        <v>0.11620057441059511</v>
      </c>
      <c r="AZ5" s="32">
        <f>SUM(T3,W3,Z3,Z4,W4,T4)</f>
        <v>0.28543311310006825</v>
      </c>
      <c r="BA5" s="32">
        <f>SUM(W3,T3,Z3,Z4,W4,T4,T5,Z5,Z6,T6)</f>
        <v>0.4941532441504185</v>
      </c>
      <c r="BB5" s="32">
        <f>SUM(T3,W3,Z3,Z4,W4,T4,T5,W5,Z5,Z6,T6,T7,Z7,Z9,T9,T10,Z10)</f>
        <v>0.73244714249112075</v>
      </c>
      <c r="BC5" s="33">
        <f>SUM(T3,W3,Z3,Z4,W4,T4,T5,W5,Z5,Z6,T6,T7,Z7,Z8,T8,T9,Z9,Z10,T10)</f>
        <v>0.82057003200690048</v>
      </c>
    </row>
    <row r="6" spans="9:56" hidden="1" x14ac:dyDescent="0.2">
      <c r="I6" s="37" t="e">
        <f>'90 Minutos'!A30:A48</f>
        <v>#VALUE!</v>
      </c>
      <c r="S6" s="16" t="s">
        <v>20</v>
      </c>
      <c r="T6" s="22">
        <f>POISSON(3,AZ15,FALSE)*POISSON(0,BD15,FALSE)</f>
        <v>2.0244447591462912E-2</v>
      </c>
      <c r="U6" s="22"/>
      <c r="V6" s="14" t="s">
        <v>10</v>
      </c>
      <c r="W6" s="22">
        <f>POISSON(3,AZ15,FALSE)*POISSON(3,BD15,FALSE)</f>
        <v>2.6992596788617224E-2</v>
      </c>
      <c r="X6" s="22"/>
      <c r="Y6" s="14" t="s">
        <v>6</v>
      </c>
      <c r="Z6" s="23">
        <f>POISSON(0,AZ15,FALSE)*POISSON(3,BD15,FALSE)</f>
        <v>3.2964701960452522E-2</v>
      </c>
      <c r="AA6" s="22"/>
      <c r="AB6" s="15"/>
      <c r="AC6" s="24" t="s">
        <v>20</v>
      </c>
      <c r="AD6" s="22">
        <f>POISSON(0,AZ16,FALSE)*POISSON(3,BD16,FALSE)</f>
        <v>4.9793306279615993E-2</v>
      </c>
      <c r="AE6" s="14" t="s">
        <v>10</v>
      </c>
      <c r="AF6" s="22">
        <f>POISSON(3,AZ16,FALSE)*POISSON(3,BD16,FALSE)</f>
        <v>1.1045815109694814E-2</v>
      </c>
      <c r="AG6" s="14" t="s">
        <v>6</v>
      </c>
      <c r="AH6" s="23">
        <f>POISSON(3,AZ16,FALSE)*POISSON(0,BD16,FALSE)</f>
        <v>1.348969889236085E-2</v>
      </c>
      <c r="AX6" s="38" t="s">
        <v>51</v>
      </c>
      <c r="AY6" s="39" t="s">
        <v>52</v>
      </c>
      <c r="AZ6" s="39" t="s">
        <v>53</v>
      </c>
      <c r="BA6" s="39" t="s">
        <v>54</v>
      </c>
      <c r="BB6" s="39" t="s">
        <v>55</v>
      </c>
      <c r="BC6" s="40" t="s">
        <v>56</v>
      </c>
    </row>
    <row r="7" spans="9:56" ht="13.5" hidden="1" thickBot="1" x14ac:dyDescent="0.25">
      <c r="S7" s="16" t="s">
        <v>19</v>
      </c>
      <c r="T7" s="22">
        <f>POISSON(3,AZ15,FALSE)*POISSON(1,BD15,FALSE)</f>
        <v>4.0488895182925817E-2</v>
      </c>
      <c r="U7" s="22"/>
      <c r="V7" s="41" t="s">
        <v>69</v>
      </c>
      <c r="W7" s="22">
        <f>POISSON(4,AZ15,FALSE)*POISSON(4,BD15,FALSE)</f>
        <v>5.7359268175811613E-3</v>
      </c>
      <c r="X7" s="22"/>
      <c r="Y7" s="14" t="s">
        <v>5</v>
      </c>
      <c r="Z7" s="23">
        <f>POISSON(1,AZ15,FALSE)*POISSON(3,BD15,FALSE)</f>
        <v>5.6039993332769295E-2</v>
      </c>
      <c r="AA7" s="22"/>
      <c r="AB7" s="15"/>
      <c r="AC7" s="24" t="s">
        <v>19</v>
      </c>
      <c r="AD7" s="22">
        <f>POISSON(1,AZ16,FALSE)*POISSON(3,BD16,FALSE)</f>
        <v>5.4772636907577596E-2</v>
      </c>
      <c r="AE7" s="41" t="s">
        <v>69</v>
      </c>
      <c r="AF7" s="22">
        <f>POISSON(4,AZ16,FALSE)*POISSON(4,BD16,FALSE)</f>
        <v>1.290979640945582E-3</v>
      </c>
      <c r="AG7" s="14" t="s">
        <v>5</v>
      </c>
      <c r="AH7" s="23">
        <f>POISSON(3,AZ16,FALSE)*POISSON(1,BD16,FALSE)</f>
        <v>2.2932488117013445E-2</v>
      </c>
      <c r="AQ7" s="4" t="s">
        <v>38</v>
      </c>
      <c r="AR7" s="5"/>
      <c r="AS7" s="5"/>
      <c r="AT7" s="5"/>
      <c r="AU7" s="6"/>
      <c r="AX7" s="16"/>
      <c r="AY7" s="42"/>
      <c r="AZ7" s="42"/>
      <c r="BA7" s="42"/>
      <c r="BB7" s="42"/>
      <c r="BC7" s="43"/>
    </row>
    <row r="8" spans="9:56" hidden="1" x14ac:dyDescent="0.2">
      <c r="S8" s="16" t="s">
        <v>18</v>
      </c>
      <c r="T8" s="22">
        <f>POISSON(3,AZ15,FALSE)*POISSON(2,BD15,FALSE)</f>
        <v>4.0488895182925831E-2</v>
      </c>
      <c r="U8" s="22"/>
      <c r="V8" s="41" t="s">
        <v>70</v>
      </c>
      <c r="W8" s="22">
        <f>POISSON(5,AZ15,FALSE)*POISSON(5,BD15,FALSE)</f>
        <v>7.8008604719103812E-4</v>
      </c>
      <c r="X8" s="22"/>
      <c r="Y8" s="14" t="s">
        <v>4</v>
      </c>
      <c r="Z8" s="23">
        <f>POISSON(2,AZ15,FALSE)*POISSON(3,BD15,FALSE)</f>
        <v>4.763399433285391E-2</v>
      </c>
      <c r="AA8" s="22"/>
      <c r="AB8" s="15"/>
      <c r="AC8" s="24" t="s">
        <v>18</v>
      </c>
      <c r="AD8" s="22">
        <f>POISSON(2,AZ16,FALSE)*POISSON(3,BD16,FALSE)</f>
        <v>3.0124950299167671E-2</v>
      </c>
      <c r="AE8" s="41" t="s">
        <v>70</v>
      </c>
      <c r="AF8" s="22">
        <f>POISSON(5,AZ16,FALSE)*POISSON(5,BD16,FALSE)</f>
        <v>9.6565277142729618E-5</v>
      </c>
      <c r="AG8" s="14" t="s">
        <v>4</v>
      </c>
      <c r="AH8" s="23">
        <f>POISSON(3,AZ16,FALSE)*POISSON(2,BD16,FALSE)</f>
        <v>1.9492614899461434E-2</v>
      </c>
      <c r="AQ8" s="16"/>
      <c r="AR8" s="12" t="s">
        <v>36</v>
      </c>
      <c r="AS8" s="12"/>
      <c r="AT8" s="12" t="s">
        <v>37</v>
      </c>
      <c r="AU8" s="13"/>
      <c r="AX8" s="19" t="s">
        <v>37</v>
      </c>
      <c r="AY8" s="20"/>
      <c r="AZ8" s="20"/>
      <c r="BA8" s="20"/>
      <c r="BB8" s="20"/>
      <c r="BC8" s="21"/>
    </row>
    <row r="9" spans="9:56" hidden="1" x14ac:dyDescent="0.2">
      <c r="S9" s="16" t="s">
        <v>17</v>
      </c>
      <c r="T9" s="22">
        <f>POISSON(4,AZ15,FALSE)*POISSON(0,BD15,FALSE)</f>
        <v>8.6038902263717403E-3</v>
      </c>
      <c r="U9" s="22"/>
      <c r="V9" s="41" t="s">
        <v>75</v>
      </c>
      <c r="W9" s="22">
        <f>POISSON(6,AZ15,FALSE)*POISSON(6,BD15,FALSE)</f>
        <v>7.3674793345820204E-5</v>
      </c>
      <c r="X9" s="22"/>
      <c r="Y9" s="14" t="s">
        <v>3</v>
      </c>
      <c r="Z9" s="23">
        <f>POISSON(0,AZ15,FALSE)*POISSON(4,BD15,FALSE)</f>
        <v>1.6482350980226261E-2</v>
      </c>
      <c r="AA9" s="22"/>
      <c r="AB9" s="15"/>
      <c r="AC9" s="24" t="s">
        <v>17</v>
      </c>
      <c r="AD9" s="22">
        <f>POISSON(0,AZ16,FALSE)*POISSON(4,BD16,FALSE)</f>
        <v>2.1162155168836801E-2</v>
      </c>
      <c r="AE9" s="41" t="s">
        <v>75</v>
      </c>
      <c r="AF9" s="22">
        <f>POISSON(6,AZ16,FALSE)*POISSON(6,BD16,FALSE)</f>
        <v>5.0160296738028935E-6</v>
      </c>
      <c r="AG9" s="14" t="s">
        <v>3</v>
      </c>
      <c r="AH9" s="23">
        <f>POISSON(4,AZ16,FALSE)*POISSON(0,BD16,FALSE)</f>
        <v>3.7096671953992339E-3</v>
      </c>
      <c r="AQ9" s="25" t="s">
        <v>39</v>
      </c>
      <c r="AR9" s="26">
        <f>(SUM(W3,T4,W4,Z4,W7,W8,W9,T14,T16,T18,T20,Z14,Z16,Z18,Z20,W5,T7,W6,Z7,Z9,T9,T11,Z11))+(W25/2)</f>
        <v>0.49994600560415825</v>
      </c>
      <c r="AS9" s="26"/>
      <c r="AT9" s="26">
        <f>(SUM(AF3,AD4,AH4,AF4,AF5,AF6,AH7,AD7,AD9,AH9,AH11,AD11,AF7,AF8,AF9,AD14,AD16,AD18,AD20,AH14,AH16,AH18,AH20))+(AF25/2)</f>
        <v>0.50185291284250666</v>
      </c>
      <c r="AU9" s="27"/>
      <c r="AX9" s="28" t="s">
        <v>45</v>
      </c>
      <c r="AY9" s="29" t="s">
        <v>46</v>
      </c>
      <c r="AZ9" s="29" t="s">
        <v>47</v>
      </c>
      <c r="BA9" s="29" t="s">
        <v>48</v>
      </c>
      <c r="BB9" s="29" t="s">
        <v>49</v>
      </c>
      <c r="BC9" s="30" t="s">
        <v>50</v>
      </c>
    </row>
    <row r="10" spans="9:56" ht="13.5" hidden="1" thickBot="1" x14ac:dyDescent="0.25">
      <c r="S10" s="16" t="s">
        <v>16</v>
      </c>
      <c r="T10" s="22">
        <f>POISSON(4,AZ15,FALSE)*POISSON(1,BD15,FALSE)</f>
        <v>1.7207780452743477E-2</v>
      </c>
      <c r="U10" s="22"/>
      <c r="V10" s="41"/>
      <c r="W10" s="44"/>
      <c r="X10" s="44"/>
      <c r="Y10" s="14" t="s">
        <v>2</v>
      </c>
      <c r="Z10" s="23">
        <f>POISSON(1,AZ15,FALSE)*POISSON(4,BD15,FALSE)</f>
        <v>2.8019996666384647E-2</v>
      </c>
      <c r="AA10" s="22"/>
      <c r="AB10" s="15"/>
      <c r="AC10" s="24" t="s">
        <v>16</v>
      </c>
      <c r="AD10" s="22">
        <f>POISSON(1,AZ16,FALSE)*POISSON(4,BD16,FALSE)</f>
        <v>2.3278370685720483E-2</v>
      </c>
      <c r="AE10" s="14"/>
      <c r="AF10" s="44"/>
      <c r="AG10" s="14" t="s">
        <v>2</v>
      </c>
      <c r="AH10" s="23">
        <f>POISSON(4,AZ16,FALSE)*POISSON(1,BD16,FALSE)</f>
        <v>6.3064342321786978E-3</v>
      </c>
      <c r="AQ10" s="34" t="s">
        <v>40</v>
      </c>
      <c r="AR10" s="35">
        <f>(SUM(T3,Z3,Z5,T5,T6,Z6,Z8,T8,T10,Z10,Z12,T12,T13,T15,T17,T19,T21,Z13,Z15,Z17,Z19,Z21))+(W25/2)</f>
        <v>0.50005399439584164</v>
      </c>
      <c r="AS10" s="35"/>
      <c r="AT10" s="35">
        <f>(SUM(AD3,AH3,AH5,AD5,AD6,AH6,AH8,AD8,AD10,AH10,AH12,AD12,AD13,AD15,AD17,AD19,AD21,AH13,AH15,AH17,AH19,AH21))+(AF25/2)</f>
        <v>0.49814708715749328</v>
      </c>
      <c r="AU10" s="36"/>
      <c r="AX10" s="31">
        <f t="shared" ref="AX10:BC10" si="1">100%-AX11</f>
        <v>0.93918993737478207</v>
      </c>
      <c r="AY10" s="32">
        <f t="shared" si="1"/>
        <v>0.76892176202417173</v>
      </c>
      <c r="AZ10" s="32">
        <f t="shared" si="1"/>
        <v>0.53054631653331741</v>
      </c>
      <c r="BA10" s="32">
        <f t="shared" si="1"/>
        <v>0.30806256740851989</v>
      </c>
      <c r="BB10" s="32">
        <f t="shared" si="1"/>
        <v>0.1523239430211617</v>
      </c>
      <c r="BC10" s="33">
        <f t="shared" si="1"/>
        <v>7.3121572904633503E-2</v>
      </c>
    </row>
    <row r="11" spans="9:56" hidden="1" x14ac:dyDescent="0.2">
      <c r="S11" s="16" t="s">
        <v>15</v>
      </c>
      <c r="T11" s="22">
        <f>POISSON(4,AZ15,FALSE)*POISSON(2,BD15,FALSE)</f>
        <v>1.7207780452743484E-2</v>
      </c>
      <c r="U11" s="22"/>
      <c r="V11" s="41"/>
      <c r="W11" s="44"/>
      <c r="X11" s="44"/>
      <c r="Y11" s="14" t="s">
        <v>1</v>
      </c>
      <c r="Z11" s="23">
        <f>POISSON(2,AZ15,FALSE)*POISSON(4,BD15,FALSE)</f>
        <v>2.3816997166426955E-2</v>
      </c>
      <c r="AA11" s="22"/>
      <c r="AB11" s="15"/>
      <c r="AC11" s="24" t="s">
        <v>15</v>
      </c>
      <c r="AD11" s="22">
        <f>POISSON(2,AZ16,FALSE)*POISSON(4,BD16,FALSE)</f>
        <v>1.2803103877146263E-2</v>
      </c>
      <c r="AE11" s="14"/>
      <c r="AF11" s="44"/>
      <c r="AG11" s="14" t="s">
        <v>1</v>
      </c>
      <c r="AH11" s="23">
        <f>POISSON(4,AZ16,FALSE)*POISSON(2,BD16,FALSE)</f>
        <v>5.3604690973518944E-3</v>
      </c>
      <c r="AX11" s="31">
        <f>AF3</f>
        <v>6.0810062625217952E-2</v>
      </c>
      <c r="AY11" s="32">
        <f>SUM(AD3,AF3,AH3)</f>
        <v>0.23107823797582822</v>
      </c>
      <c r="AZ11" s="32">
        <f>SUM(AD3,AF3,AH3,AH4,AF4,AD4)</f>
        <v>0.46945368346668259</v>
      </c>
      <c r="BA11" s="32">
        <f>SUM(AD3,AF3,AH3,AH4,AF4,AD4,AD5,AH5,AH6,AD6)</f>
        <v>0.69193743259148011</v>
      </c>
      <c r="BB11" s="32">
        <f>SUM(AD3,AF3,AH3,AH4,AF4,AD4,AD5,AF5,AH5,AH6,AD6,AD7,AH7,AH9,AD9)</f>
        <v>0.8476760569788383</v>
      </c>
      <c r="BC11" s="33">
        <f>SUM(AD3,AF3,AH3,AH4,AF4,AD4,AD5,AF5,AH5,AH6,AD6,AD7,AH7,AH8,AD8,AD9,AH9,AH10,AD10)</f>
        <v>0.9268784270953665</v>
      </c>
    </row>
    <row r="12" spans="9:56" hidden="1" x14ac:dyDescent="0.2">
      <c r="S12" s="16" t="s">
        <v>14</v>
      </c>
      <c r="T12" s="22">
        <f>POISSON(4,AZ15,FALSE)*POISSON(3,BD15,FALSE)</f>
        <v>1.1471853635162323E-2</v>
      </c>
      <c r="U12" s="22"/>
      <c r="V12" s="14"/>
      <c r="W12" s="44"/>
      <c r="X12" s="44"/>
      <c r="Y12" s="14" t="s">
        <v>0</v>
      </c>
      <c r="Z12" s="23">
        <f>POISSON(3,AZ15,FALSE)*POISSON(4,BD15,FALSE)</f>
        <v>1.3496298394308612E-2</v>
      </c>
      <c r="AA12" s="22"/>
      <c r="AB12" s="15"/>
      <c r="AC12" s="24" t="s">
        <v>14</v>
      </c>
      <c r="AD12" s="22">
        <f>POISSON(3,AZ16,FALSE)*POISSON(4,BD16,FALSE)</f>
        <v>4.6944714216202972E-3</v>
      </c>
      <c r="AE12" s="14"/>
      <c r="AF12" s="44"/>
      <c r="AG12" s="14" t="s">
        <v>0</v>
      </c>
      <c r="AH12" s="23">
        <f>POISSON(4,AZ16,FALSE)*POISSON(3,BD16,FALSE)</f>
        <v>3.0375991551660742E-3</v>
      </c>
      <c r="AQ12" s="11" t="s">
        <v>42</v>
      </c>
      <c r="AR12" s="12"/>
      <c r="AS12" s="12"/>
      <c r="AT12" s="12"/>
      <c r="AU12" s="13"/>
      <c r="AX12" s="38" t="s">
        <v>51</v>
      </c>
      <c r="AY12" s="39" t="s">
        <v>52</v>
      </c>
      <c r="AZ12" s="39" t="s">
        <v>53</v>
      </c>
      <c r="BA12" s="39" t="s">
        <v>54</v>
      </c>
      <c r="BB12" s="39" t="s">
        <v>55</v>
      </c>
      <c r="BC12" s="40" t="s">
        <v>56</v>
      </c>
    </row>
    <row r="13" spans="9:56" hidden="1" x14ac:dyDescent="0.2">
      <c r="S13" s="16" t="s">
        <v>59</v>
      </c>
      <c r="T13" s="22">
        <f>POISSON(5,AZ15,FALSE)*POISSON(0,BD15,FALSE)</f>
        <v>2.9253226769663933E-3</v>
      </c>
      <c r="U13" s="22"/>
      <c r="V13" s="14"/>
      <c r="W13" s="44"/>
      <c r="X13" s="44"/>
      <c r="Y13" s="42" t="s">
        <v>64</v>
      </c>
      <c r="Z13" s="23">
        <f>POISSON(0,AZ15,FALSE)*POISSON(5,BD15,FALSE)</f>
        <v>6.5929403920905027E-3</v>
      </c>
      <c r="AA13" s="22"/>
      <c r="AB13" s="15"/>
      <c r="AC13" s="16" t="s">
        <v>59</v>
      </c>
      <c r="AD13" s="22">
        <f>POISSON(5,AZ16,FALSE)*POISSON(0,BD16,FALSE)</f>
        <v>8.1612678298783182E-4</v>
      </c>
      <c r="AE13" s="14"/>
      <c r="AF13" s="44"/>
      <c r="AG13" s="42" t="s">
        <v>64</v>
      </c>
      <c r="AH13" s="23">
        <f>POISSON(0,AZ16,FALSE)*POISSON(5,BD16,FALSE)</f>
        <v>7.1951327574045166E-3</v>
      </c>
      <c r="AQ13" s="16"/>
      <c r="AR13" s="45" t="s">
        <v>36</v>
      </c>
      <c r="AS13" s="45"/>
      <c r="AT13" s="45" t="s">
        <v>37</v>
      </c>
      <c r="AU13" s="46"/>
    </row>
    <row r="14" spans="9:56" hidden="1" x14ac:dyDescent="0.2">
      <c r="S14" s="47" t="s">
        <v>60</v>
      </c>
      <c r="T14" s="22">
        <f>POISSON(5,AZ15,FALSE)*POISSON(1,BD15,FALSE)</f>
        <v>5.8506453539327848E-3</v>
      </c>
      <c r="U14" s="22"/>
      <c r="V14" s="14"/>
      <c r="W14" s="44"/>
      <c r="X14" s="44"/>
      <c r="Y14" s="41" t="s">
        <v>65</v>
      </c>
      <c r="Z14" s="23">
        <f>POISSON(1,AZ15,FALSE)*POISSON(5,BD15,FALSE)</f>
        <v>1.1207998666553856E-2</v>
      </c>
      <c r="AA14" s="22"/>
      <c r="AB14" s="15"/>
      <c r="AC14" s="47" t="s">
        <v>60</v>
      </c>
      <c r="AD14" s="22">
        <f>POISSON(5,AZ16,FALSE)*POISSON(1,BD16,FALSE)</f>
        <v>1.3874155310793141E-3</v>
      </c>
      <c r="AE14" s="14"/>
      <c r="AF14" s="44"/>
      <c r="AG14" s="41" t="s">
        <v>65</v>
      </c>
      <c r="AH14" s="23">
        <f>POISSON(1,AZ16,FALSE)*POISSON(5,BD16,FALSE)</f>
        <v>7.9146460331449685E-3</v>
      </c>
      <c r="AQ14" s="25" t="s">
        <v>43</v>
      </c>
      <c r="AR14" s="26">
        <f>SUM(T5,T7,T10,T11,T12,W4,W5,W6,Z5,Z7,Z8,Z10,Z11,Z12,T8,W25,W7,W8,W9,T14,T15,T16,T17,T19,T20,T21,Z14,Z15,Z16,Z17,Z19,Z20,Z21)</f>
        <v>0.70778673484901122</v>
      </c>
      <c r="AS14" s="26"/>
      <c r="AT14" s="26">
        <f>SUM(AF4,AF5,AF6,AD5,AH5,AH7,AD7,AD8,AH8,AH10,AD10,AD11,AH11,AH12,AD12,AF25,AF7,AF8,AF9,AD14,AD15,AD16,AD17,AD19,AD20,AD21,AH14,AH15,AH16,AH17,AH19,AH20,AH21)</f>
        <v>0.54590680237439071</v>
      </c>
      <c r="AU14" s="27"/>
      <c r="AX14" s="48" t="s">
        <v>26</v>
      </c>
      <c r="AY14" s="49"/>
      <c r="AZ14" s="49"/>
      <c r="BA14" s="50"/>
      <c r="BB14" s="49" t="s">
        <v>26</v>
      </c>
      <c r="BC14" s="49"/>
      <c r="BD14" s="51"/>
    </row>
    <row r="15" spans="9:56" ht="13.5" hidden="1" thickBot="1" x14ac:dyDescent="0.25">
      <c r="S15" s="47" t="s">
        <v>61</v>
      </c>
      <c r="T15" s="22">
        <f>POISSON(5,AZ15,FALSE)*POISSON(2,BD15,FALSE)</f>
        <v>5.8506453539327874E-3</v>
      </c>
      <c r="U15" s="22"/>
      <c r="V15" s="14"/>
      <c r="W15" s="44"/>
      <c r="X15" s="44"/>
      <c r="Y15" s="41" t="s">
        <v>66</v>
      </c>
      <c r="Z15" s="23">
        <f>POISSON(2,AZ15,FALSE)*POISSON(5,BD15,FALSE)</f>
        <v>9.5267988665707799E-3</v>
      </c>
      <c r="AA15" s="22"/>
      <c r="AB15" s="15"/>
      <c r="AC15" s="47" t="s">
        <v>61</v>
      </c>
      <c r="AD15" s="22">
        <f>POISSON(5,AZ16,FALSE)*POISSON(2,BD16,FALSE)</f>
        <v>1.1793032014174173E-3</v>
      </c>
      <c r="AE15" s="14"/>
      <c r="AF15" s="44"/>
      <c r="AG15" s="41" t="s">
        <v>66</v>
      </c>
      <c r="AH15" s="23">
        <f>POISSON(2,AZ16,FALSE)*POISSON(5,BD16,FALSE)</f>
        <v>4.3530553182297323E-3</v>
      </c>
      <c r="AQ15" s="34" t="s">
        <v>44</v>
      </c>
      <c r="AR15" s="35">
        <f>SUM(T3,W3,Z3,Z4,T4,T6,Z6,Z9,T9,T13,T18,Z13,Z18)</f>
        <v>0.29221326515098867</v>
      </c>
      <c r="AS15" s="35"/>
      <c r="AT15" s="35">
        <f>SUM(AD3,AF3,AH3,AH4,AD4,AD6,AH6,AH9,AD9,AD13,AD18,AH13,AH18)</f>
        <v>0.45409319762560924</v>
      </c>
      <c r="AU15" s="36"/>
      <c r="AX15" s="25" t="s">
        <v>25</v>
      </c>
      <c r="AY15" s="14">
        <f>SUM(K33:K51)</f>
        <v>17</v>
      </c>
      <c r="AZ15" s="52">
        <f>AY15*0.1</f>
        <v>1.7000000000000002</v>
      </c>
      <c r="BA15" s="42"/>
      <c r="BB15" s="53" t="s">
        <v>25</v>
      </c>
      <c r="BC15" s="42">
        <f>SUM(O33:O51)</f>
        <v>20</v>
      </c>
      <c r="BD15" s="43">
        <f>BC15*0.1</f>
        <v>2</v>
      </c>
    </row>
    <row r="16" spans="9:56" ht="13.5" hidden="1" thickBot="1" x14ac:dyDescent="0.25">
      <c r="S16" s="47" t="s">
        <v>62</v>
      </c>
      <c r="T16" s="22">
        <f>POISSON(5,AZ15,FALSE)*POISSON(3,BD15,FALSE)</f>
        <v>3.9004302359551919E-3</v>
      </c>
      <c r="U16" s="22"/>
      <c r="V16" s="14"/>
      <c r="W16" s="44"/>
      <c r="X16" s="44"/>
      <c r="Y16" s="41" t="s">
        <v>67</v>
      </c>
      <c r="Z16" s="23">
        <f>POISSON(3,AZ15,FALSE)*POISSON(5,BD15,FALSE)</f>
        <v>5.3985193577234429E-3</v>
      </c>
      <c r="AA16" s="22"/>
      <c r="AB16" s="15"/>
      <c r="AC16" s="47" t="s">
        <v>62</v>
      </c>
      <c r="AD16" s="22">
        <f>POISSON(5,AZ16,FALSE)*POISSON(3,BD16,FALSE)</f>
        <v>6.6827181413653663E-4</v>
      </c>
      <c r="AE16" s="14"/>
      <c r="AF16" s="44"/>
      <c r="AG16" s="41" t="s">
        <v>67</v>
      </c>
      <c r="AH16" s="23">
        <f>POISSON(3,AZ16,FALSE)*POISSON(5,BD16,FALSE)</f>
        <v>1.5961202833509019E-3</v>
      </c>
      <c r="AX16" s="34" t="s">
        <v>24</v>
      </c>
      <c r="AY16" s="54">
        <f>SUM(L33:L51)</f>
        <v>11</v>
      </c>
      <c r="AZ16" s="55">
        <f>AY16*0.1</f>
        <v>1.1000000000000001</v>
      </c>
      <c r="BA16" s="54"/>
      <c r="BB16" s="56" t="s">
        <v>24</v>
      </c>
      <c r="BC16" s="54">
        <f>SUM(P33:P51)</f>
        <v>17</v>
      </c>
      <c r="BD16" s="57">
        <f>BC16*0.1</f>
        <v>1.7000000000000002</v>
      </c>
    </row>
    <row r="17" spans="1:89" hidden="1" x14ac:dyDescent="0.2">
      <c r="S17" s="47" t="s">
        <v>63</v>
      </c>
      <c r="T17" s="22">
        <f>POISSON(5,AZ15,FALSE)*POISSON(4,BD15,FALSE)</f>
        <v>1.9502151179775959E-3</v>
      </c>
      <c r="U17" s="22"/>
      <c r="V17" s="14"/>
      <c r="W17" s="44"/>
      <c r="X17" s="44"/>
      <c r="Y17" s="41" t="s">
        <v>68</v>
      </c>
      <c r="Z17" s="23">
        <f>POISSON(4,AZ15,FALSE)*POISSON(5,BD15,FALSE)</f>
        <v>2.2943707270324637E-3</v>
      </c>
      <c r="AA17" s="22"/>
      <c r="AB17" s="15"/>
      <c r="AC17" s="47" t="s">
        <v>63</v>
      </c>
      <c r="AD17" s="22">
        <f>POISSON(5,AZ16,FALSE)*POISSON(4,BD16,FALSE)</f>
        <v>2.8401552100802815E-4</v>
      </c>
      <c r="AE17" s="14"/>
      <c r="AF17" s="44"/>
      <c r="AG17" s="41" t="s">
        <v>68</v>
      </c>
      <c r="AH17" s="23">
        <f>POISSON(4,AZ16,FALSE)*POISSON(5,BD16,FALSE)</f>
        <v>4.389330779214981E-4</v>
      </c>
    </row>
    <row r="18" spans="1:89" hidden="1" x14ac:dyDescent="0.2">
      <c r="S18" s="47" t="s">
        <v>71</v>
      </c>
      <c r="T18" s="22">
        <f>POISSON(6,AZ15,FALSE)*POISSON(0,BD15,FALSE)</f>
        <v>8.2884142514047738E-4</v>
      </c>
      <c r="U18" s="22"/>
      <c r="V18" s="14"/>
      <c r="W18" s="44"/>
      <c r="X18" s="44"/>
      <c r="Y18" s="42" t="s">
        <v>76</v>
      </c>
      <c r="Z18" s="23">
        <f>POISSON(0,AZ15,FALSE)*POISSON(6,BD15,FALSE)</f>
        <v>2.1976467973635009E-3</v>
      </c>
      <c r="AA18" s="22"/>
      <c r="AB18" s="15"/>
      <c r="AC18" s="47" t="s">
        <v>71</v>
      </c>
      <c r="AD18" s="22">
        <f>POISSON(6,AZ16,FALSE)*POISSON(0,BD16,FALSE)</f>
        <v>1.496232435477691E-4</v>
      </c>
      <c r="AE18" s="14"/>
      <c r="AF18" s="44"/>
      <c r="AG18" s="42" t="s">
        <v>76</v>
      </c>
      <c r="AH18" s="23">
        <f>POISSON(0,AZ16,FALSE)*POISSON(6,BD16,FALSE)</f>
        <v>2.0386209479312778E-3</v>
      </c>
    </row>
    <row r="19" spans="1:89" hidden="1" x14ac:dyDescent="0.2">
      <c r="S19" s="47" t="s">
        <v>72</v>
      </c>
      <c r="T19" s="22">
        <f>POISSON(6,AZ15,FALSE)*POISSON(1,BD15,FALSE)</f>
        <v>1.6576828502809545E-3</v>
      </c>
      <c r="U19" s="22"/>
      <c r="V19" s="14"/>
      <c r="W19" s="44"/>
      <c r="X19" s="44"/>
      <c r="Y19" s="41" t="s">
        <v>77</v>
      </c>
      <c r="Z19" s="23">
        <f>POISSON(1,AZ15,FALSE)*POISSON(6,BD15,FALSE)</f>
        <v>3.7359995555179518E-3</v>
      </c>
      <c r="AA19" s="22"/>
      <c r="AB19" s="15"/>
      <c r="AC19" s="47" t="s">
        <v>72</v>
      </c>
      <c r="AD19" s="22">
        <f>POISSON(6,AZ16,FALSE)*POISSON(1,BD16,FALSE)</f>
        <v>2.5435951403120747E-4</v>
      </c>
      <c r="AE19" s="14"/>
      <c r="AF19" s="44"/>
      <c r="AG19" s="41" t="s">
        <v>77</v>
      </c>
      <c r="AH19" s="23">
        <f>POISSON(1,AZ16,FALSE)*POISSON(6,BD16,FALSE)</f>
        <v>2.242483042724406E-3</v>
      </c>
    </row>
    <row r="20" spans="1:89" hidden="1" x14ac:dyDescent="0.2">
      <c r="S20" s="47" t="s">
        <v>73</v>
      </c>
      <c r="T20" s="22">
        <f>POISSON(6,AZ15,FALSE)*POISSON(2,BD15,FALSE)</f>
        <v>1.6576828502809552E-3</v>
      </c>
      <c r="U20" s="22"/>
      <c r="V20" s="14"/>
      <c r="W20" s="44"/>
      <c r="X20" s="44"/>
      <c r="Y20" s="41" t="s">
        <v>78</v>
      </c>
      <c r="Z20" s="23">
        <f>POISSON(2,AZ15,FALSE)*POISSON(6,BD15,FALSE)</f>
        <v>3.1755996221902597E-3</v>
      </c>
      <c r="AA20" s="22"/>
      <c r="AB20" s="15"/>
      <c r="AC20" s="47" t="s">
        <v>73</v>
      </c>
      <c r="AD20" s="22">
        <f>POISSON(6,AZ16,FALSE)*POISSON(2,BD16,FALSE)</f>
        <v>2.1620558692652642E-4</v>
      </c>
      <c r="AE20" s="14"/>
      <c r="AF20" s="44"/>
      <c r="AG20" s="41" t="s">
        <v>78</v>
      </c>
      <c r="AH20" s="23">
        <f>POISSON(2,AZ16,FALSE)*POISSON(6,BD16,FALSE)</f>
        <v>1.233365673498423E-3</v>
      </c>
    </row>
    <row r="21" spans="1:89" hidden="1" x14ac:dyDescent="0.2">
      <c r="S21" s="47" t="s">
        <v>74</v>
      </c>
      <c r="T21" s="22">
        <f>POISSON(6,AZ15,FALSE)*POISSON(3,BD15,FALSE)</f>
        <v>1.1051219001873035E-3</v>
      </c>
      <c r="U21" s="22"/>
      <c r="V21" s="14"/>
      <c r="W21" s="44"/>
      <c r="X21" s="44"/>
      <c r="Y21" s="41" t="s">
        <v>79</v>
      </c>
      <c r="Z21" s="23">
        <f>POISSON(3,AZ15,FALSE)*POISSON(6,BD15,FALSE)</f>
        <v>1.7995064525744809E-3</v>
      </c>
      <c r="AA21" s="22"/>
      <c r="AB21" s="15"/>
      <c r="AC21" s="47" t="s">
        <v>74</v>
      </c>
      <c r="AD21" s="22">
        <f>POISSON(6,AZ16,FALSE)*POISSON(3,BD16,FALSE)</f>
        <v>1.2251649925836499E-4</v>
      </c>
      <c r="AE21" s="14"/>
      <c r="AF21" s="44"/>
      <c r="AG21" s="41" t="s">
        <v>79</v>
      </c>
      <c r="AH21" s="23">
        <f>POISSON(3,AZ16,FALSE)*POISSON(6,BD16,FALSE)</f>
        <v>4.522340802827552E-4</v>
      </c>
    </row>
    <row r="22" spans="1:89" hidden="1" x14ac:dyDescent="0.2">
      <c r="S22" s="47"/>
      <c r="T22" s="22"/>
      <c r="U22" s="22"/>
      <c r="V22" s="14"/>
      <c r="W22" s="44"/>
      <c r="X22" s="44"/>
      <c r="Y22" s="41"/>
      <c r="Z22" s="23"/>
      <c r="AA22" s="22"/>
      <c r="AB22" s="15"/>
      <c r="AC22" s="24"/>
      <c r="AD22" s="22"/>
      <c r="AE22" s="14"/>
      <c r="AF22" s="44"/>
      <c r="AG22" s="14"/>
      <c r="AH22" s="23"/>
    </row>
    <row r="23" spans="1:89" hidden="1" x14ac:dyDescent="0.2">
      <c r="S23" s="58">
        <v>1</v>
      </c>
      <c r="T23" s="59">
        <f>SUM(T3:T21)</f>
        <v>0.33064661273748824</v>
      </c>
      <c r="U23" s="59"/>
      <c r="V23" s="60" t="s">
        <v>29</v>
      </c>
      <c r="W23" s="59">
        <f>SUM(W3:W9)</f>
        <v>0.21381679241550944</v>
      </c>
      <c r="X23" s="59"/>
      <c r="Y23" s="60">
        <v>2</v>
      </c>
      <c r="Z23" s="61">
        <f>SUM(Z3:Z21)</f>
        <v>0.44733780915155102</v>
      </c>
      <c r="AA23" s="59"/>
      <c r="AB23" s="15"/>
      <c r="AC23" s="62">
        <v>1</v>
      </c>
      <c r="AD23" s="59">
        <f>SUM(AD3:AD21)</f>
        <v>0.48961207383317251</v>
      </c>
      <c r="AE23" s="60" t="s">
        <v>29</v>
      </c>
      <c r="AF23" s="59">
        <f>SUM(AF3:AF9)</f>
        <v>0.24012493279036362</v>
      </c>
      <c r="AG23" s="60">
        <v>2</v>
      </c>
      <c r="AH23" s="61">
        <f>SUM(AH3:AH21)</f>
        <v>0.26801786898945335</v>
      </c>
    </row>
    <row r="24" spans="1:89" hidden="1" x14ac:dyDescent="0.2">
      <c r="S24" s="58"/>
      <c r="T24" s="63">
        <v>1</v>
      </c>
      <c r="U24" s="63"/>
      <c r="V24" s="60"/>
      <c r="W24" s="60"/>
      <c r="X24" s="60"/>
      <c r="Y24" s="60"/>
      <c r="Z24" s="64"/>
      <c r="AA24" s="60"/>
      <c r="AB24" s="15"/>
      <c r="AC24" s="62"/>
      <c r="AD24" s="63">
        <v>1</v>
      </c>
      <c r="AE24" s="60"/>
      <c r="AF24" s="60"/>
      <c r="AG24" s="60"/>
      <c r="AH24" s="64"/>
    </row>
    <row r="25" spans="1:89" ht="13.5" hidden="1" thickBot="1" x14ac:dyDescent="0.25">
      <c r="S25" s="65"/>
      <c r="T25" s="66">
        <v>1</v>
      </c>
      <c r="U25" s="66"/>
      <c r="V25" s="67" t="s">
        <v>30</v>
      </c>
      <c r="W25" s="68">
        <f>T24-(SUM(T23,W23,Z23))</f>
        <v>8.1987856954512939E-3</v>
      </c>
      <c r="X25" s="68"/>
      <c r="Y25" s="67"/>
      <c r="Z25" s="69"/>
      <c r="AA25" s="67"/>
      <c r="AB25" s="70"/>
      <c r="AC25" s="71"/>
      <c r="AD25" s="67"/>
      <c r="AE25" s="67" t="s">
        <v>30</v>
      </c>
      <c r="AF25" s="68">
        <f>AD24-(SUM(AD23,AF23,AH23))</f>
        <v>2.245124387010522E-3</v>
      </c>
      <c r="AG25" s="67"/>
      <c r="AH25" s="69"/>
    </row>
    <row r="26" spans="1:89" hidden="1" x14ac:dyDescent="0.2">
      <c r="S26" s="60"/>
      <c r="T26" s="63"/>
      <c r="U26" s="63"/>
      <c r="V26" s="60"/>
      <c r="W26" s="59"/>
      <c r="X26" s="59"/>
      <c r="Y26" s="60"/>
      <c r="Z26" s="60"/>
      <c r="AA26" s="60"/>
      <c r="AB26" s="15"/>
      <c r="AC26" s="72"/>
      <c r="AD26" s="60"/>
      <c r="AE26" s="60"/>
      <c r="AF26" s="59"/>
      <c r="AG26" s="60"/>
      <c r="AH26" s="60"/>
    </row>
    <row r="27" spans="1:89" s="74" customFormat="1" ht="11.25" customHeight="1" thickBot="1" x14ac:dyDescent="0.25">
      <c r="A27" s="73"/>
      <c r="I27" s="3"/>
    </row>
    <row r="28" spans="1:89" s="76" customFormat="1" ht="19.5" customHeight="1" x14ac:dyDescent="0.2">
      <c r="A28" s="75"/>
      <c r="I28" s="3"/>
      <c r="J28" s="77" t="s">
        <v>58</v>
      </c>
      <c r="K28" s="78"/>
      <c r="L28" s="78"/>
      <c r="M28" s="78"/>
      <c r="N28" s="78"/>
      <c r="O28" s="78"/>
      <c r="P28" s="78"/>
      <c r="Q28" s="79"/>
      <c r="R28" s="74"/>
      <c r="S28" s="80" t="s">
        <v>32</v>
      </c>
      <c r="T28" s="81"/>
      <c r="U28" s="81"/>
      <c r="V28" s="81"/>
      <c r="W28" s="81"/>
      <c r="X28" s="81"/>
      <c r="Y28" s="81"/>
      <c r="Z28" s="81"/>
      <c r="AA28" s="82"/>
      <c r="AB28" s="74"/>
      <c r="AC28" s="74"/>
      <c r="AD28" s="83" t="s">
        <v>35</v>
      </c>
      <c r="AE28" s="84"/>
      <c r="AF28" s="84"/>
      <c r="AG28" s="84"/>
      <c r="AH28" s="85"/>
      <c r="AI28" s="74"/>
      <c r="AJ28" s="74"/>
      <c r="AK28" s="86" t="s">
        <v>84</v>
      </c>
      <c r="AL28" s="87"/>
      <c r="AM28" s="87"/>
      <c r="AN28" s="88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</row>
    <row r="29" spans="1:89" s="76" customFormat="1" ht="19.5" customHeight="1" thickBot="1" x14ac:dyDescent="0.25">
      <c r="A29" s="75"/>
      <c r="E29" s="89" t="s">
        <v>35</v>
      </c>
      <c r="F29" s="90"/>
      <c r="G29" s="90"/>
      <c r="I29" s="3"/>
      <c r="J29" s="91"/>
      <c r="K29" s="92"/>
      <c r="L29" s="92"/>
      <c r="M29" s="92"/>
      <c r="N29" s="92"/>
      <c r="O29" s="92"/>
      <c r="P29" s="92"/>
      <c r="Q29" s="93"/>
      <c r="R29" s="74"/>
      <c r="S29" s="94" t="s">
        <v>83</v>
      </c>
      <c r="T29" s="95" t="s">
        <v>82</v>
      </c>
      <c r="U29" s="95" t="s">
        <v>81</v>
      </c>
      <c r="V29" s="96" t="s">
        <v>83</v>
      </c>
      <c r="W29" s="95" t="s">
        <v>82</v>
      </c>
      <c r="X29" s="95" t="s">
        <v>81</v>
      </c>
      <c r="Y29" s="96" t="s">
        <v>83</v>
      </c>
      <c r="Z29" s="95" t="s">
        <v>82</v>
      </c>
      <c r="AA29" s="97" t="s">
        <v>81</v>
      </c>
      <c r="AB29" s="74"/>
      <c r="AC29" s="74"/>
      <c r="AD29" s="98" t="s">
        <v>83</v>
      </c>
      <c r="AE29" s="99"/>
      <c r="AF29" s="100" t="s">
        <v>82</v>
      </c>
      <c r="AG29" s="99"/>
      <c r="AH29" s="97" t="s">
        <v>81</v>
      </c>
      <c r="AI29" s="74"/>
      <c r="AJ29" s="74"/>
      <c r="AK29" s="101"/>
      <c r="AL29" s="102"/>
      <c r="AM29" s="102"/>
      <c r="AN29" s="103"/>
      <c r="AO29" s="10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</row>
    <row r="30" spans="1:89" ht="19.5" customHeight="1" thickBot="1" x14ac:dyDescent="0.25">
      <c r="A30" s="105">
        <f t="shared" ref="A30:A48" si="2">AVERAGE(T3,AD3)</f>
        <v>7.2703550731223754E-2</v>
      </c>
      <c r="B30" s="106" t="str">
        <f>S30</f>
        <v>1-0</v>
      </c>
      <c r="C30" s="107">
        <f>U30</f>
        <v>13.754486403241559</v>
      </c>
      <c r="D30" s="108"/>
      <c r="E30" s="109">
        <f>SUM(T50,W50)+(W51/3)</f>
        <v>0.63884085756867726</v>
      </c>
      <c r="F30" s="108" t="s">
        <v>33</v>
      </c>
      <c r="G30" s="107">
        <f>(1/AF30)</f>
        <v>1.5653350723462409</v>
      </c>
      <c r="H30" s="107"/>
      <c r="J30" s="110"/>
      <c r="K30" s="111"/>
      <c r="L30" s="111"/>
      <c r="M30" s="111"/>
      <c r="N30" s="92"/>
      <c r="O30" s="92"/>
      <c r="P30" s="92"/>
      <c r="Q30" s="93"/>
      <c r="R30" s="74"/>
      <c r="S30" s="106" t="s">
        <v>23</v>
      </c>
      <c r="T30" s="105">
        <f t="shared" ref="T30:T48" si="3">AVERAGE(T3,AD3)</f>
        <v>7.2703550731223754E-2</v>
      </c>
      <c r="U30" s="112">
        <f>(1/T30)</f>
        <v>13.754486403241559</v>
      </c>
      <c r="V30" s="113" t="s">
        <v>13</v>
      </c>
      <c r="W30" s="105">
        <f t="shared" ref="W30:W36" si="4">AVERAGE(W3,AF3)</f>
        <v>4.2766794547778667E-2</v>
      </c>
      <c r="X30" s="112">
        <f>(1/W30)</f>
        <v>23.382626885510657</v>
      </c>
      <c r="Y30" s="113" t="s">
        <v>9</v>
      </c>
      <c r="Z30" s="105">
        <f t="shared" ref="Z30:Z48" si="5">AVERAGE(Z3,AH3)</f>
        <v>5.8169060914209259E-2</v>
      </c>
      <c r="AA30" s="112">
        <f>(1/Z30)</f>
        <v>17.191269452928797</v>
      </c>
      <c r="AB30" s="74"/>
      <c r="AC30" s="74"/>
      <c r="AD30" s="114" t="s">
        <v>33</v>
      </c>
      <c r="AE30" s="115"/>
      <c r="AF30" s="116">
        <f>SUM(T50,W50)+(W51/3)</f>
        <v>0.63884085756867726</v>
      </c>
      <c r="AG30" s="117"/>
      <c r="AH30" s="118">
        <f>(1/AF30)</f>
        <v>1.5653350723462409</v>
      </c>
      <c r="AI30" s="74"/>
      <c r="AJ30" s="119" t="s">
        <v>81</v>
      </c>
      <c r="AK30" s="120" t="s">
        <v>83</v>
      </c>
      <c r="AL30" s="121" t="s">
        <v>82</v>
      </c>
      <c r="AM30" s="119" t="s">
        <v>82</v>
      </c>
      <c r="AN30" s="120" t="s">
        <v>83</v>
      </c>
      <c r="AO30" s="122" t="s">
        <v>81</v>
      </c>
      <c r="AP30" s="10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</row>
    <row r="31" spans="1:89" ht="19.5" customHeight="1" thickTop="1" x14ac:dyDescent="0.2">
      <c r="A31" s="105">
        <f t="shared" si="2"/>
        <v>6.1798018121540198E-2</v>
      </c>
      <c r="B31" s="106" t="str">
        <f t="shared" ref="B31:B48" si="6">S31</f>
        <v>2-0</v>
      </c>
      <c r="C31" s="107">
        <f t="shared" ref="C31:C48" si="7">U31</f>
        <v>16.181748709695949</v>
      </c>
      <c r="D31" s="108"/>
      <c r="E31" s="109">
        <f>SUM(T50,Z50)+(W51/3)</f>
        <v>0.76954783403624294</v>
      </c>
      <c r="F31" s="108" t="s">
        <v>85</v>
      </c>
      <c r="G31" s="107">
        <f t="shared" ref="G31:G32" si="8">(1/AF31)</f>
        <v>1.2994643812523596</v>
      </c>
      <c r="H31" s="107"/>
      <c r="J31" s="209" t="s">
        <v>99</v>
      </c>
      <c r="K31" s="210"/>
      <c r="L31" s="210"/>
      <c r="M31" s="211"/>
      <c r="N31" s="209" t="s">
        <v>100</v>
      </c>
      <c r="O31" s="210"/>
      <c r="P31" s="210"/>
      <c r="Q31" s="211"/>
      <c r="R31" s="74"/>
      <c r="S31" s="106" t="s">
        <v>22</v>
      </c>
      <c r="T31" s="105">
        <f t="shared" si="3"/>
        <v>6.1798018121540198E-2</v>
      </c>
      <c r="U31" s="112">
        <f>(1/T31)</f>
        <v>16.181748709695949</v>
      </c>
      <c r="V31" s="113" t="s">
        <v>12</v>
      </c>
      <c r="W31" s="105">
        <f t="shared" si="4"/>
        <v>9.8887403554155748E-2</v>
      </c>
      <c r="X31" s="112">
        <f t="shared" ref="X31:X36" si="9">(1/W31)</f>
        <v>10.11251144289929</v>
      </c>
      <c r="Y31" s="113" t="s">
        <v>8</v>
      </c>
      <c r="Z31" s="105">
        <f t="shared" si="5"/>
        <v>4.3118570414467816E-2</v>
      </c>
      <c r="AA31" s="112">
        <f t="shared" ref="AA31:AA48" si="10">(1/Z31)</f>
        <v>23.191863514669411</v>
      </c>
      <c r="AB31" s="74"/>
      <c r="AC31" s="74"/>
      <c r="AD31" s="123">
        <v>12</v>
      </c>
      <c r="AE31" s="124"/>
      <c r="AF31" s="125">
        <f>SUM(T50,Z50)+(W51/3)</f>
        <v>0.76954783403624294</v>
      </c>
      <c r="AG31" s="126"/>
      <c r="AH31" s="127">
        <f t="shared" ref="AH31:AH32" si="11">(1/AF31)</f>
        <v>1.2994643812523596</v>
      </c>
      <c r="AI31" s="74"/>
      <c r="AJ31" s="128">
        <f>1/AL31</f>
        <v>23.382626885510657</v>
      </c>
      <c r="AK31" s="129">
        <v>-0.5</v>
      </c>
      <c r="AL31" s="130">
        <f>AVERAGE(AX5,AX11)</f>
        <v>4.2766794547778667E-2</v>
      </c>
      <c r="AM31" s="131">
        <f t="shared" ref="AM31:AM36" si="12">100%-AL31</f>
        <v>0.95723320545222135</v>
      </c>
      <c r="AN31" s="132" t="s">
        <v>45</v>
      </c>
      <c r="AO31" s="133">
        <f>(1/AM31)</f>
        <v>1.0446775083691069</v>
      </c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</row>
    <row r="32" spans="1:89" ht="19.5" customHeight="1" thickBot="1" x14ac:dyDescent="0.25">
      <c r="A32" s="105">
        <f t="shared" si="2"/>
        <v>8.40542930210324E-2</v>
      </c>
      <c r="B32" s="106" t="str">
        <f t="shared" si="6"/>
        <v>2-1</v>
      </c>
      <c r="C32" s="107">
        <f t="shared" si="7"/>
        <v>11.897072285763869</v>
      </c>
      <c r="D32" s="108"/>
      <c r="E32" s="109">
        <f>SUM(W50,Z50)+(W51/3)</f>
        <v>0.58638935335384901</v>
      </c>
      <c r="F32" s="108" t="s">
        <v>34</v>
      </c>
      <c r="G32" s="107">
        <f t="shared" si="8"/>
        <v>1.7053515625420352</v>
      </c>
      <c r="H32" s="107"/>
      <c r="J32" s="212"/>
      <c r="K32" s="213"/>
      <c r="L32" s="213"/>
      <c r="M32" s="214"/>
      <c r="N32" s="212"/>
      <c r="O32" s="213"/>
      <c r="P32" s="213"/>
      <c r="Q32" s="214"/>
      <c r="R32" s="74"/>
      <c r="S32" s="106" t="s">
        <v>21</v>
      </c>
      <c r="T32" s="105">
        <f t="shared" si="3"/>
        <v>8.40542930210324E-2</v>
      </c>
      <c r="U32" s="112">
        <f t="shared" ref="U32:U50" si="13">(1/T32)</f>
        <v>11.897072285763869</v>
      </c>
      <c r="V32" s="113" t="s">
        <v>11</v>
      </c>
      <c r="W32" s="105">
        <f t="shared" si="4"/>
        <v>6.2306334248906026E-2</v>
      </c>
      <c r="X32" s="112">
        <f t="shared" si="9"/>
        <v>16.049732536103388</v>
      </c>
      <c r="Y32" s="113" t="s">
        <v>7</v>
      </c>
      <c r="Z32" s="105">
        <f t="shared" si="5"/>
        <v>7.330156970459531E-2</v>
      </c>
      <c r="AA32" s="112">
        <f t="shared" si="10"/>
        <v>13.642272655687885</v>
      </c>
      <c r="AB32" s="74"/>
      <c r="AC32" s="74"/>
      <c r="AD32" s="134" t="s">
        <v>34</v>
      </c>
      <c r="AE32" s="135"/>
      <c r="AF32" s="136">
        <f>SUM(W50,Z50)+(W51/3)</f>
        <v>0.58638935335384901</v>
      </c>
      <c r="AG32" s="137"/>
      <c r="AH32" s="138">
        <f t="shared" si="11"/>
        <v>1.7053515625420352</v>
      </c>
      <c r="AI32" s="74"/>
      <c r="AJ32" s="128">
        <f t="shared" ref="AJ32:AJ36" si="14">1/AL32</f>
        <v>5.7590613900584415</v>
      </c>
      <c r="AK32" s="139">
        <v>-1.5</v>
      </c>
      <c r="AL32" s="130">
        <f>AVERAGE(AY5,AY11)</f>
        <v>0.17363940619321167</v>
      </c>
      <c r="AM32" s="140">
        <f t="shared" si="12"/>
        <v>0.82636059380678839</v>
      </c>
      <c r="AN32" s="141" t="s">
        <v>46</v>
      </c>
      <c r="AO32" s="133">
        <f t="shared" ref="AO32:AO36" si="15">(1/AM32)</f>
        <v>1.210125467616151</v>
      </c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</row>
    <row r="33" spans="1:89" ht="19.5" customHeight="1" thickBot="1" x14ac:dyDescent="0.25">
      <c r="A33" s="105">
        <f t="shared" si="2"/>
        <v>3.5018876935539456E-2</v>
      </c>
      <c r="B33" s="106" t="str">
        <f t="shared" si="6"/>
        <v>3-0</v>
      </c>
      <c r="C33" s="107">
        <f t="shared" si="7"/>
        <v>28.556027134757549</v>
      </c>
      <c r="D33" s="142"/>
      <c r="E33" s="142"/>
      <c r="F33" s="142"/>
      <c r="G33" s="142"/>
      <c r="H33" s="142"/>
      <c r="J33" s="143">
        <v>1</v>
      </c>
      <c r="K33" s="215">
        <v>3</v>
      </c>
      <c r="L33" s="215">
        <v>0</v>
      </c>
      <c r="M33" s="144"/>
      <c r="N33" s="145">
        <v>1</v>
      </c>
      <c r="O33" s="215">
        <v>3</v>
      </c>
      <c r="P33" s="215">
        <v>1</v>
      </c>
      <c r="Q33" s="146"/>
      <c r="R33" s="74"/>
      <c r="S33" s="106" t="s">
        <v>20</v>
      </c>
      <c r="T33" s="105">
        <f t="shared" si="3"/>
        <v>3.5018876935539456E-2</v>
      </c>
      <c r="U33" s="112">
        <f t="shared" si="13"/>
        <v>28.556027134757549</v>
      </c>
      <c r="V33" s="113" t="s">
        <v>10</v>
      </c>
      <c r="W33" s="105">
        <f t="shared" si="4"/>
        <v>1.9019205949156019E-2</v>
      </c>
      <c r="X33" s="112">
        <f t="shared" si="9"/>
        <v>52.578430596592561</v>
      </c>
      <c r="Y33" s="113" t="s">
        <v>6</v>
      </c>
      <c r="Z33" s="105">
        <f t="shared" si="5"/>
        <v>2.3227200426406684E-2</v>
      </c>
      <c r="AA33" s="112">
        <f t="shared" si="10"/>
        <v>43.052971586843235</v>
      </c>
      <c r="AB33" s="74"/>
      <c r="AC33" s="74"/>
      <c r="AD33" s="147"/>
      <c r="AE33" s="147"/>
      <c r="AF33" s="147"/>
      <c r="AG33" s="147"/>
      <c r="AH33" s="147"/>
      <c r="AI33" s="74"/>
      <c r="AJ33" s="128">
        <f t="shared" si="14"/>
        <v>2.6494038696875659</v>
      </c>
      <c r="AK33" s="139">
        <v>-2.5</v>
      </c>
      <c r="AL33" s="130">
        <f>AVERAGE(AZ5,AZ11)</f>
        <v>0.37744339828337542</v>
      </c>
      <c r="AM33" s="140">
        <f t="shared" si="12"/>
        <v>0.62255660171662464</v>
      </c>
      <c r="AN33" s="141" t="s">
        <v>47</v>
      </c>
      <c r="AO33" s="133">
        <f t="shared" si="15"/>
        <v>1.6062796495011389</v>
      </c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</row>
    <row r="34" spans="1:89" ht="19.5" customHeight="1" thickBot="1" x14ac:dyDescent="0.25">
      <c r="A34" s="105">
        <f t="shared" si="2"/>
        <v>4.763076604525171E-2</v>
      </c>
      <c r="B34" s="106" t="str">
        <f t="shared" si="6"/>
        <v>3-1</v>
      </c>
      <c r="C34" s="107">
        <f t="shared" si="7"/>
        <v>20.994833445465645</v>
      </c>
      <c r="D34" s="142"/>
      <c r="E34" s="89" t="s">
        <v>86</v>
      </c>
      <c r="F34" s="90"/>
      <c r="G34" s="90"/>
      <c r="H34" s="142"/>
      <c r="J34" s="143"/>
      <c r="K34" s="148"/>
      <c r="L34" s="148"/>
      <c r="M34" s="144"/>
      <c r="N34" s="145"/>
      <c r="O34" s="148"/>
      <c r="P34" s="148" t="s">
        <v>97</v>
      </c>
      <c r="Q34" s="146"/>
      <c r="R34" s="74"/>
      <c r="S34" s="106" t="s">
        <v>19</v>
      </c>
      <c r="T34" s="105">
        <f t="shared" si="3"/>
        <v>4.763076604525171E-2</v>
      </c>
      <c r="U34" s="112">
        <f t="shared" si="13"/>
        <v>20.994833445465645</v>
      </c>
      <c r="V34" s="113" t="s">
        <v>69</v>
      </c>
      <c r="W34" s="105">
        <f t="shared" si="4"/>
        <v>3.5134532292633719E-3</v>
      </c>
      <c r="X34" s="112">
        <f t="shared" si="9"/>
        <v>284.62026808014724</v>
      </c>
      <c r="Y34" s="113" t="s">
        <v>5</v>
      </c>
      <c r="Z34" s="105">
        <f t="shared" si="5"/>
        <v>3.9486240724891368E-2</v>
      </c>
      <c r="AA34" s="112">
        <f t="shared" si="10"/>
        <v>25.325277404025428</v>
      </c>
      <c r="AB34" s="74"/>
      <c r="AC34" s="74"/>
      <c r="AD34" s="149" t="s">
        <v>38</v>
      </c>
      <c r="AE34" s="150"/>
      <c r="AF34" s="150"/>
      <c r="AG34" s="150"/>
      <c r="AH34" s="151"/>
      <c r="AI34" s="74"/>
      <c r="AJ34" s="128">
        <f t="shared" si="14"/>
        <v>1.6862117199115405</v>
      </c>
      <c r="AK34" s="139">
        <v>-3.5</v>
      </c>
      <c r="AL34" s="130">
        <f>AVERAGE(BA5,BA11)</f>
        <v>0.5930453383709493</v>
      </c>
      <c r="AM34" s="140">
        <f t="shared" si="12"/>
        <v>0.4069546616290507</v>
      </c>
      <c r="AN34" s="141" t="s">
        <v>48</v>
      </c>
      <c r="AO34" s="133">
        <f t="shared" si="15"/>
        <v>2.4572761889419636</v>
      </c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</row>
    <row r="35" spans="1:89" ht="19.5" customHeight="1" x14ac:dyDescent="0.2">
      <c r="A35" s="105">
        <f t="shared" si="2"/>
        <v>3.5306922741046749E-2</v>
      </c>
      <c r="B35" s="106" t="str">
        <f t="shared" si="6"/>
        <v>3-2</v>
      </c>
      <c r="C35" s="107">
        <f t="shared" si="7"/>
        <v>28.32305741665304</v>
      </c>
      <c r="D35" s="142"/>
      <c r="E35" s="109">
        <f>AVERAGE(AR9,AT9)</f>
        <v>0.50089945922333245</v>
      </c>
      <c r="F35" s="142" t="s">
        <v>39</v>
      </c>
      <c r="G35" s="107">
        <f>(1/AF35)</f>
        <v>1.9964086236997456</v>
      </c>
      <c r="H35" s="142"/>
      <c r="J35" s="143">
        <v>2</v>
      </c>
      <c r="K35" s="215">
        <v>3</v>
      </c>
      <c r="L35" s="215">
        <v>4</v>
      </c>
      <c r="M35" s="144"/>
      <c r="N35" s="145">
        <v>2</v>
      </c>
      <c r="O35" s="215">
        <v>1</v>
      </c>
      <c r="P35" s="215">
        <v>1</v>
      </c>
      <c r="Q35" s="146"/>
      <c r="R35" s="74"/>
      <c r="S35" s="106" t="s">
        <v>18</v>
      </c>
      <c r="T35" s="105">
        <f t="shared" si="3"/>
        <v>3.5306922741046749E-2</v>
      </c>
      <c r="U35" s="112">
        <f t="shared" si="13"/>
        <v>28.32305741665304</v>
      </c>
      <c r="V35" s="113" t="s">
        <v>70</v>
      </c>
      <c r="W35" s="105">
        <f t="shared" si="4"/>
        <v>4.3832566216688387E-4</v>
      </c>
      <c r="X35" s="112">
        <f t="shared" si="9"/>
        <v>2281.4087476796412</v>
      </c>
      <c r="Y35" s="113" t="s">
        <v>4</v>
      </c>
      <c r="Z35" s="105">
        <f t="shared" si="5"/>
        <v>3.3563304616157669E-2</v>
      </c>
      <c r="AA35" s="112">
        <f t="shared" si="10"/>
        <v>29.794444004735791</v>
      </c>
      <c r="AB35" s="74"/>
      <c r="AC35" s="74"/>
      <c r="AD35" s="152" t="s">
        <v>41</v>
      </c>
      <c r="AE35" s="153"/>
      <c r="AF35" s="116">
        <f>AVERAGE(AR9,AT9)</f>
        <v>0.50089945922333245</v>
      </c>
      <c r="AG35" s="117"/>
      <c r="AH35" s="154">
        <f t="shared" ref="AH35:AH36" si="16">(1/AF35)</f>
        <v>1.9964086236997456</v>
      </c>
      <c r="AI35" s="74"/>
      <c r="AJ35" s="128">
        <f t="shared" si="14"/>
        <v>1.2657240907993033</v>
      </c>
      <c r="AK35" s="139">
        <v>-4.5</v>
      </c>
      <c r="AL35" s="130">
        <f>AVERAGE(BB5,BB11)</f>
        <v>0.79006159973497958</v>
      </c>
      <c r="AM35" s="140">
        <f t="shared" si="12"/>
        <v>0.20993840026502042</v>
      </c>
      <c r="AN35" s="141" t="s">
        <v>49</v>
      </c>
      <c r="AO35" s="133">
        <f t="shared" si="15"/>
        <v>4.7633019911442007</v>
      </c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</row>
    <row r="36" spans="1:89" ht="19.5" customHeight="1" thickBot="1" x14ac:dyDescent="0.25">
      <c r="A36" s="105">
        <f t="shared" si="2"/>
        <v>1.488302269760427E-2</v>
      </c>
      <c r="B36" s="106" t="str">
        <f t="shared" si="6"/>
        <v>4-0</v>
      </c>
      <c r="C36" s="107">
        <f t="shared" si="7"/>
        <v>67.19065208178246</v>
      </c>
      <c r="D36" s="142"/>
      <c r="E36" s="109">
        <f>AVERAGE(AR10,AT10)</f>
        <v>0.49910054077666743</v>
      </c>
      <c r="F36" s="142" t="s">
        <v>40</v>
      </c>
      <c r="G36" s="107">
        <f>(1/AF36)</f>
        <v>2.0036043207724554</v>
      </c>
      <c r="H36" s="142"/>
      <c r="J36" s="143"/>
      <c r="K36" s="148"/>
      <c r="L36" s="148"/>
      <c r="M36" s="144"/>
      <c r="N36" s="145"/>
      <c r="O36" s="148"/>
      <c r="P36" s="148" t="s">
        <v>97</v>
      </c>
      <c r="Q36" s="146"/>
      <c r="R36" s="74"/>
      <c r="S36" s="106" t="s">
        <v>17</v>
      </c>
      <c r="T36" s="105">
        <f t="shared" si="3"/>
        <v>1.488302269760427E-2</v>
      </c>
      <c r="U36" s="112">
        <f t="shared" si="13"/>
        <v>67.19065208178246</v>
      </c>
      <c r="V36" s="113" t="s">
        <v>75</v>
      </c>
      <c r="W36" s="105">
        <f t="shared" si="4"/>
        <v>3.9345411509811548E-5</v>
      </c>
      <c r="X36" s="112">
        <f t="shared" si="9"/>
        <v>25415.924287655002</v>
      </c>
      <c r="Y36" s="113" t="s">
        <v>3</v>
      </c>
      <c r="Z36" s="105">
        <f t="shared" si="5"/>
        <v>1.0096009087812748E-2</v>
      </c>
      <c r="AA36" s="112">
        <f t="shared" si="10"/>
        <v>99.049039209675001</v>
      </c>
      <c r="AB36" s="74"/>
      <c r="AC36" s="74"/>
      <c r="AD36" s="155" t="s">
        <v>40</v>
      </c>
      <c r="AE36" s="156"/>
      <c r="AF36" s="136">
        <f>AVERAGE(AR10,AT10)</f>
        <v>0.49910054077666743</v>
      </c>
      <c r="AG36" s="137"/>
      <c r="AH36" s="138">
        <f t="shared" si="16"/>
        <v>2.0036043207724554</v>
      </c>
      <c r="AI36" s="74"/>
      <c r="AJ36" s="157">
        <f t="shared" si="14"/>
        <v>1.1445258883500797</v>
      </c>
      <c r="AK36" s="158">
        <v>-5.5</v>
      </c>
      <c r="AL36" s="159">
        <f>AVERAGE(BC5,BC11)</f>
        <v>0.87372422955113349</v>
      </c>
      <c r="AM36" s="160">
        <f t="shared" si="12"/>
        <v>0.12627577044886651</v>
      </c>
      <c r="AN36" s="161" t="s">
        <v>50</v>
      </c>
      <c r="AO36" s="138">
        <f t="shared" si="15"/>
        <v>7.919175598338045</v>
      </c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</row>
    <row r="37" spans="1:89" ht="19.5" customHeight="1" thickBot="1" x14ac:dyDescent="0.25">
      <c r="A37" s="105">
        <f t="shared" si="2"/>
        <v>2.024307556923198E-2</v>
      </c>
      <c r="B37" s="106" t="str">
        <f t="shared" si="6"/>
        <v>4-1</v>
      </c>
      <c r="C37" s="107">
        <f t="shared" si="7"/>
        <v>49.399608106977979</v>
      </c>
      <c r="D37" s="142"/>
      <c r="E37" s="142"/>
      <c r="F37" s="142"/>
      <c r="G37" s="142"/>
      <c r="H37" s="142"/>
      <c r="J37" s="143">
        <v>3</v>
      </c>
      <c r="K37" s="215">
        <v>4</v>
      </c>
      <c r="L37" s="215">
        <v>1</v>
      </c>
      <c r="M37" s="144"/>
      <c r="N37" s="145">
        <v>3</v>
      </c>
      <c r="O37" s="215">
        <v>2</v>
      </c>
      <c r="P37" s="215">
        <v>1</v>
      </c>
      <c r="Q37" s="146"/>
      <c r="R37" s="74"/>
      <c r="S37" s="106" t="s">
        <v>16</v>
      </c>
      <c r="T37" s="105">
        <f t="shared" si="3"/>
        <v>2.024307556923198E-2</v>
      </c>
      <c r="U37" s="112">
        <f t="shared" si="13"/>
        <v>49.399608106977979</v>
      </c>
      <c r="V37" s="162"/>
      <c r="W37" s="163"/>
      <c r="X37" s="163"/>
      <c r="Y37" s="113" t="s">
        <v>2</v>
      </c>
      <c r="Z37" s="105">
        <f t="shared" si="5"/>
        <v>1.7163215449281673E-2</v>
      </c>
      <c r="AA37" s="112">
        <f t="shared" si="10"/>
        <v>58.264140711573525</v>
      </c>
      <c r="AB37" s="74"/>
      <c r="AC37" s="74"/>
      <c r="AD37" s="147"/>
      <c r="AE37" s="147"/>
      <c r="AF37" s="147"/>
      <c r="AG37" s="147"/>
      <c r="AH37" s="147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</row>
    <row r="38" spans="1:89" ht="19.5" customHeight="1" thickBot="1" x14ac:dyDescent="0.25">
      <c r="A38" s="105">
        <f t="shared" si="2"/>
        <v>1.5005442164944875E-2</v>
      </c>
      <c r="B38" s="106" t="str">
        <f t="shared" si="6"/>
        <v>4-2</v>
      </c>
      <c r="C38" s="107">
        <f t="shared" si="7"/>
        <v>66.64248803918359</v>
      </c>
      <c r="D38" s="142"/>
      <c r="E38" s="89" t="s">
        <v>87</v>
      </c>
      <c r="F38" s="90"/>
      <c r="G38" s="90"/>
      <c r="H38" s="142"/>
      <c r="J38" s="143"/>
      <c r="K38" s="148"/>
      <c r="L38" s="148"/>
      <c r="M38" s="144"/>
      <c r="N38" s="145"/>
      <c r="O38" s="148"/>
      <c r="P38" s="148" t="s">
        <v>97</v>
      </c>
      <c r="Q38" s="146"/>
      <c r="R38" s="74"/>
      <c r="S38" s="106" t="s">
        <v>15</v>
      </c>
      <c r="T38" s="105">
        <f t="shared" si="3"/>
        <v>1.5005442164944875E-2</v>
      </c>
      <c r="U38" s="112">
        <f t="shared" si="13"/>
        <v>66.64248803918359</v>
      </c>
      <c r="V38" s="162"/>
      <c r="W38" s="163"/>
      <c r="X38" s="164"/>
      <c r="Y38" s="113" t="s">
        <v>1</v>
      </c>
      <c r="Z38" s="105">
        <f t="shared" si="5"/>
        <v>1.4588733131889424E-2</v>
      </c>
      <c r="AA38" s="112">
        <f t="shared" si="10"/>
        <v>68.54604789596884</v>
      </c>
      <c r="AB38" s="74"/>
      <c r="AC38" s="74"/>
      <c r="AD38" s="165" t="s">
        <v>42</v>
      </c>
      <c r="AE38" s="166"/>
      <c r="AF38" s="166"/>
      <c r="AG38" s="166"/>
      <c r="AH38" s="167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</row>
    <row r="39" spans="1:89" ht="19.5" customHeight="1" x14ac:dyDescent="0.2">
      <c r="A39" s="105">
        <f t="shared" si="2"/>
        <v>8.0831625283913095E-3</v>
      </c>
      <c r="B39" s="106" t="str">
        <f t="shared" si="6"/>
        <v>4-3</v>
      </c>
      <c r="C39" s="107">
        <f t="shared" si="7"/>
        <v>123.71395434492364</v>
      </c>
      <c r="D39" s="142"/>
      <c r="E39" s="109">
        <f>AVERAGE(AR14,AT14)</f>
        <v>0.62684676861170097</v>
      </c>
      <c r="F39" s="142" t="s">
        <v>43</v>
      </c>
      <c r="G39" s="107">
        <f>(1/AF39)</f>
        <v>1.5952862008282092</v>
      </c>
      <c r="H39" s="142"/>
      <c r="J39" s="143">
        <v>4</v>
      </c>
      <c r="K39" s="215">
        <v>1</v>
      </c>
      <c r="L39" s="215">
        <v>1</v>
      </c>
      <c r="M39" s="144"/>
      <c r="N39" s="145">
        <v>4</v>
      </c>
      <c r="O39" s="215">
        <v>2</v>
      </c>
      <c r="P39" s="215">
        <v>0</v>
      </c>
      <c r="Q39" s="146"/>
      <c r="R39" s="74"/>
      <c r="S39" s="106" t="s">
        <v>14</v>
      </c>
      <c r="T39" s="105">
        <f t="shared" si="3"/>
        <v>8.0831625283913095E-3</v>
      </c>
      <c r="U39" s="112">
        <f t="shared" si="13"/>
        <v>123.71395434492364</v>
      </c>
      <c r="V39" s="162"/>
      <c r="W39" s="163"/>
      <c r="X39" s="164"/>
      <c r="Y39" s="113" t="s">
        <v>0</v>
      </c>
      <c r="Z39" s="105">
        <f t="shared" si="5"/>
        <v>8.2669487747373434E-3</v>
      </c>
      <c r="AA39" s="112">
        <f t="shared" si="10"/>
        <v>120.96361393406262</v>
      </c>
      <c r="AB39" s="74"/>
      <c r="AC39" s="74"/>
      <c r="AD39" s="168" t="s">
        <v>43</v>
      </c>
      <c r="AE39" s="169"/>
      <c r="AF39" s="116">
        <f>AVERAGE(AR14,AT14)</f>
        <v>0.62684676861170097</v>
      </c>
      <c r="AG39" s="117"/>
      <c r="AH39" s="154">
        <f t="shared" ref="AH39:AH40" si="17">(1/AF39)</f>
        <v>1.5952862008282092</v>
      </c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</row>
    <row r="40" spans="1:89" ht="19.5" customHeight="1" thickBot="1" x14ac:dyDescent="0.25">
      <c r="A40" s="105">
        <f t="shared" si="2"/>
        <v>1.8707247299771124E-3</v>
      </c>
      <c r="B40" s="106" t="str">
        <f t="shared" si="6"/>
        <v>5-0</v>
      </c>
      <c r="C40" s="107">
        <f t="shared" si="7"/>
        <v>534.55218930699368</v>
      </c>
      <c r="D40" s="142"/>
      <c r="E40" s="109">
        <f>AVERAGE(AR15,AT15)</f>
        <v>0.37315323138829892</v>
      </c>
      <c r="F40" s="142" t="s">
        <v>44</v>
      </c>
      <c r="G40" s="107">
        <f>(1/AF40)</f>
        <v>2.6798642377544137</v>
      </c>
      <c r="H40" s="142"/>
      <c r="J40" s="143"/>
      <c r="K40" s="148"/>
      <c r="L40" s="148"/>
      <c r="M40" s="144"/>
      <c r="N40" s="145"/>
      <c r="O40" s="148" t="s">
        <v>97</v>
      </c>
      <c r="P40" s="148" t="s">
        <v>98</v>
      </c>
      <c r="Q40" s="146"/>
      <c r="R40" s="74"/>
      <c r="S40" s="106" t="s">
        <v>59</v>
      </c>
      <c r="T40" s="105">
        <f t="shared" si="3"/>
        <v>1.8707247299771124E-3</v>
      </c>
      <c r="U40" s="112">
        <f t="shared" si="13"/>
        <v>534.55218930699368</v>
      </c>
      <c r="V40" s="162"/>
      <c r="W40" s="163"/>
      <c r="X40" s="164"/>
      <c r="Y40" s="113" t="s">
        <v>64</v>
      </c>
      <c r="Z40" s="105">
        <f t="shared" si="5"/>
        <v>6.8940365747475092E-3</v>
      </c>
      <c r="AA40" s="112">
        <f t="shared" si="10"/>
        <v>145.05290030849952</v>
      </c>
      <c r="AB40" s="74"/>
      <c r="AC40" s="74"/>
      <c r="AD40" s="170" t="s">
        <v>44</v>
      </c>
      <c r="AE40" s="171"/>
      <c r="AF40" s="136">
        <f>AVERAGE(AR15,AT15)</f>
        <v>0.37315323138829892</v>
      </c>
      <c r="AG40" s="137"/>
      <c r="AH40" s="138">
        <f t="shared" si="17"/>
        <v>2.6798642377544137</v>
      </c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</row>
    <row r="41" spans="1:89" ht="19.5" customHeight="1" x14ac:dyDescent="0.2">
      <c r="A41" s="105">
        <f t="shared" si="2"/>
        <v>3.6190304425060497E-3</v>
      </c>
      <c r="B41" s="106" t="str">
        <f t="shared" si="6"/>
        <v>5-1</v>
      </c>
      <c r="C41" s="107">
        <f t="shared" si="7"/>
        <v>276.31710091599439</v>
      </c>
      <c r="D41" s="142"/>
      <c r="E41" s="142"/>
      <c r="F41" s="142"/>
      <c r="G41" s="142"/>
      <c r="H41" s="142"/>
      <c r="J41" s="143">
        <v>5</v>
      </c>
      <c r="K41" s="215">
        <v>1</v>
      </c>
      <c r="L41" s="215">
        <v>2</v>
      </c>
      <c r="M41" s="144"/>
      <c r="N41" s="145">
        <v>5</v>
      </c>
      <c r="O41" s="215">
        <v>4</v>
      </c>
      <c r="P41" s="215">
        <v>3</v>
      </c>
      <c r="Q41" s="146"/>
      <c r="R41" s="74"/>
      <c r="S41" s="106" t="s">
        <v>60</v>
      </c>
      <c r="T41" s="105">
        <f t="shared" si="3"/>
        <v>3.6190304425060497E-3</v>
      </c>
      <c r="U41" s="112">
        <f t="shared" si="13"/>
        <v>276.31710091599439</v>
      </c>
      <c r="V41" s="162"/>
      <c r="W41" s="163"/>
      <c r="X41" s="164"/>
      <c r="Y41" s="113" t="s">
        <v>65</v>
      </c>
      <c r="Z41" s="105">
        <f t="shared" si="5"/>
        <v>9.5613223498494122E-3</v>
      </c>
      <c r="AA41" s="112">
        <f t="shared" si="10"/>
        <v>104.58804372553654</v>
      </c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</row>
    <row r="42" spans="1:89" ht="19.5" customHeight="1" x14ac:dyDescent="0.2">
      <c r="A42" s="105">
        <f t="shared" si="2"/>
        <v>3.5149742776751022E-3</v>
      </c>
      <c r="B42" s="106" t="str">
        <f t="shared" si="6"/>
        <v>5-2</v>
      </c>
      <c r="C42" s="107">
        <f t="shared" si="7"/>
        <v>284.49710325090251</v>
      </c>
      <c r="D42" s="142"/>
      <c r="E42" s="89" t="s">
        <v>88</v>
      </c>
      <c r="F42" s="90"/>
      <c r="G42" s="90"/>
      <c r="H42" s="142"/>
      <c r="J42" s="143"/>
      <c r="K42" s="148"/>
      <c r="L42" s="148"/>
      <c r="M42" s="144"/>
      <c r="N42" s="145"/>
      <c r="O42" s="148" t="s">
        <v>97</v>
      </c>
      <c r="P42" s="148" t="s">
        <v>97</v>
      </c>
      <c r="Q42" s="146"/>
      <c r="R42" s="74"/>
      <c r="S42" s="106" t="s">
        <v>61</v>
      </c>
      <c r="T42" s="105">
        <f t="shared" si="3"/>
        <v>3.5149742776751022E-3</v>
      </c>
      <c r="U42" s="112">
        <f t="shared" si="13"/>
        <v>284.49710325090251</v>
      </c>
      <c r="V42" s="162"/>
      <c r="W42" s="163"/>
      <c r="X42" s="164"/>
      <c r="Y42" s="113" t="s">
        <v>66</v>
      </c>
      <c r="Z42" s="105">
        <f t="shared" si="5"/>
        <v>6.9399270924002561E-3</v>
      </c>
      <c r="AA42" s="112">
        <f t="shared" si="10"/>
        <v>144.09373278504259</v>
      </c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</row>
    <row r="43" spans="1:89" ht="19.5" customHeight="1" x14ac:dyDescent="0.2">
      <c r="A43" s="105">
        <f t="shared" si="2"/>
        <v>2.2843510250458643E-3</v>
      </c>
      <c r="B43" s="106" t="str">
        <f t="shared" si="6"/>
        <v>5-3</v>
      </c>
      <c r="C43" s="107">
        <f t="shared" si="7"/>
        <v>437.76109233471351</v>
      </c>
      <c r="D43" s="142"/>
      <c r="E43" s="109">
        <f>AVERAGE(AX5,AX11)</f>
        <v>4.2766794547778667E-2</v>
      </c>
      <c r="F43" s="139">
        <v>-0.5</v>
      </c>
      <c r="G43" s="107">
        <f>1/AL31</f>
        <v>23.382626885510657</v>
      </c>
      <c r="H43" s="142"/>
      <c r="J43" s="143">
        <v>6</v>
      </c>
      <c r="K43" s="215">
        <v>1</v>
      </c>
      <c r="L43" s="215">
        <v>1</v>
      </c>
      <c r="M43" s="144"/>
      <c r="N43" s="145">
        <v>6</v>
      </c>
      <c r="O43" s="215">
        <v>3</v>
      </c>
      <c r="P43" s="215">
        <v>4</v>
      </c>
      <c r="Q43" s="146"/>
      <c r="R43" s="74"/>
      <c r="S43" s="106" t="s">
        <v>62</v>
      </c>
      <c r="T43" s="105">
        <f t="shared" si="3"/>
        <v>2.2843510250458643E-3</v>
      </c>
      <c r="U43" s="112">
        <f t="shared" si="13"/>
        <v>437.76109233471351</v>
      </c>
      <c r="V43" s="162"/>
      <c r="W43" s="163"/>
      <c r="X43" s="164"/>
      <c r="Y43" s="113" t="s">
        <v>67</v>
      </c>
      <c r="Z43" s="105">
        <f t="shared" si="5"/>
        <v>3.4973198205371725E-3</v>
      </c>
      <c r="AA43" s="112">
        <f t="shared" si="10"/>
        <v>285.93324354488249</v>
      </c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</row>
    <row r="44" spans="1:89" ht="19.5" customHeight="1" x14ac:dyDescent="0.2">
      <c r="A44" s="105">
        <f t="shared" si="2"/>
        <v>1.1171153194928121E-3</v>
      </c>
      <c r="B44" s="106" t="str">
        <f t="shared" si="6"/>
        <v>5-4</v>
      </c>
      <c r="C44" s="107">
        <f t="shared" si="7"/>
        <v>895.16273078594577</v>
      </c>
      <c r="D44" s="142"/>
      <c r="E44" s="109">
        <f>AVERAGE(AY5,AY11)</f>
        <v>0.17363940619321167</v>
      </c>
      <c r="F44" s="139">
        <v>-1.5</v>
      </c>
      <c r="G44" s="107">
        <f t="shared" ref="G44:G48" si="18">1/AL32</f>
        <v>5.7590613900584415</v>
      </c>
      <c r="H44" s="142"/>
      <c r="J44" s="143"/>
      <c r="K44" s="148"/>
      <c r="L44" s="148"/>
      <c r="M44" s="144"/>
      <c r="N44" s="145"/>
      <c r="O44" s="148" t="s">
        <v>97</v>
      </c>
      <c r="P44" s="148" t="s">
        <v>97</v>
      </c>
      <c r="Q44" s="146"/>
      <c r="R44" s="74"/>
      <c r="S44" s="106" t="s">
        <v>63</v>
      </c>
      <c r="T44" s="105">
        <f t="shared" si="3"/>
        <v>1.1171153194928121E-3</v>
      </c>
      <c r="U44" s="112">
        <f t="shared" si="13"/>
        <v>895.16273078594577</v>
      </c>
      <c r="V44" s="162"/>
      <c r="W44" s="163"/>
      <c r="X44" s="164"/>
      <c r="Y44" s="113" t="s">
        <v>68</v>
      </c>
      <c r="Z44" s="105">
        <f t="shared" si="5"/>
        <v>1.3666519024769809E-3</v>
      </c>
      <c r="AA44" s="112">
        <f t="shared" si="10"/>
        <v>731.71522184073012</v>
      </c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</row>
    <row r="45" spans="1:89" ht="19.5" customHeight="1" x14ac:dyDescent="0.2">
      <c r="A45" s="105">
        <f t="shared" si="2"/>
        <v>4.8923233434412328E-4</v>
      </c>
      <c r="B45" s="106" t="str">
        <f t="shared" si="6"/>
        <v>6-0</v>
      </c>
      <c r="C45" s="107">
        <f t="shared" si="7"/>
        <v>2044.0186181492363</v>
      </c>
      <c r="D45" s="142"/>
      <c r="E45" s="109">
        <f>AVERAGE(AZ5,AZ11)</f>
        <v>0.37744339828337542</v>
      </c>
      <c r="F45" s="139">
        <v>-2.5</v>
      </c>
      <c r="G45" s="107">
        <f t="shared" si="18"/>
        <v>2.6494038696875659</v>
      </c>
      <c r="H45" s="142"/>
      <c r="J45" s="143">
        <v>7</v>
      </c>
      <c r="K45" s="215">
        <v>2</v>
      </c>
      <c r="L45" s="215">
        <v>0</v>
      </c>
      <c r="M45" s="144"/>
      <c r="N45" s="145">
        <v>7</v>
      </c>
      <c r="O45" s="215">
        <v>1</v>
      </c>
      <c r="P45" s="215">
        <v>2</v>
      </c>
      <c r="Q45" s="172"/>
      <c r="R45" s="74"/>
      <c r="S45" s="106" t="s">
        <v>71</v>
      </c>
      <c r="T45" s="105">
        <f t="shared" si="3"/>
        <v>4.8923233434412328E-4</v>
      </c>
      <c r="U45" s="112">
        <f t="shared" si="13"/>
        <v>2044.0186181492363</v>
      </c>
      <c r="V45" s="162"/>
      <c r="W45" s="163"/>
      <c r="X45" s="164"/>
      <c r="Y45" s="113" t="s">
        <v>76</v>
      </c>
      <c r="Z45" s="105">
        <f t="shared" si="5"/>
        <v>2.1181338726473896E-3</v>
      </c>
      <c r="AA45" s="112">
        <f t="shared" si="10"/>
        <v>472.11369069422</v>
      </c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</row>
    <row r="46" spans="1:89" ht="19.5" customHeight="1" x14ac:dyDescent="0.2">
      <c r="A46" s="105">
        <f t="shared" si="2"/>
        <v>9.5602118215608106E-4</v>
      </c>
      <c r="B46" s="106" t="str">
        <f t="shared" si="6"/>
        <v>6-1</v>
      </c>
      <c r="C46" s="107">
        <f t="shared" si="7"/>
        <v>1046.0019282676719</v>
      </c>
      <c r="D46" s="142"/>
      <c r="E46" s="109">
        <f>AVERAGE(BA5,BA11)</f>
        <v>0.5930453383709493</v>
      </c>
      <c r="F46" s="139">
        <v>-3.5</v>
      </c>
      <c r="G46" s="107">
        <f t="shared" si="18"/>
        <v>1.6862117199115405</v>
      </c>
      <c r="H46" s="142"/>
      <c r="J46" s="143"/>
      <c r="K46" s="148"/>
      <c r="L46" s="148"/>
      <c r="M46" s="144"/>
      <c r="N46" s="145"/>
      <c r="O46" s="148" t="s">
        <v>97</v>
      </c>
      <c r="P46" s="148" t="s">
        <v>98</v>
      </c>
      <c r="Q46" s="172"/>
      <c r="R46" s="74"/>
      <c r="S46" s="106" t="s">
        <v>72</v>
      </c>
      <c r="T46" s="105">
        <f t="shared" si="3"/>
        <v>9.5602118215608106E-4</v>
      </c>
      <c r="U46" s="112">
        <f t="shared" si="13"/>
        <v>1046.0019282676719</v>
      </c>
      <c r="V46" s="162"/>
      <c r="W46" s="163"/>
      <c r="X46" s="164"/>
      <c r="Y46" s="113" t="s">
        <v>77</v>
      </c>
      <c r="Z46" s="105">
        <f t="shared" si="5"/>
        <v>2.9892412991211789E-3</v>
      </c>
      <c r="AA46" s="112">
        <f t="shared" si="10"/>
        <v>334.53304699556867</v>
      </c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</row>
    <row r="47" spans="1:89" ht="19.5" customHeight="1" x14ac:dyDescent="0.2">
      <c r="A47" s="105">
        <f t="shared" si="2"/>
        <v>9.3694421860374079E-4</v>
      </c>
      <c r="B47" s="106" t="str">
        <f>S47</f>
        <v>6-2</v>
      </c>
      <c r="C47" s="107">
        <f t="shared" si="7"/>
        <v>1067.299397492656</v>
      </c>
      <c r="D47" s="142"/>
      <c r="E47" s="109">
        <f>AVERAGE(BB5,BB11)</f>
        <v>0.79006159973497958</v>
      </c>
      <c r="F47" s="139">
        <v>-4.5</v>
      </c>
      <c r="G47" s="107">
        <f t="shared" si="18"/>
        <v>1.2657240907993033</v>
      </c>
      <c r="H47" s="142"/>
      <c r="J47" s="143">
        <v>8</v>
      </c>
      <c r="K47" s="215">
        <v>1</v>
      </c>
      <c r="L47" s="215">
        <v>0</v>
      </c>
      <c r="M47" s="173"/>
      <c r="N47" s="148">
        <v>8</v>
      </c>
      <c r="O47" s="215">
        <v>1</v>
      </c>
      <c r="P47" s="215">
        <v>2</v>
      </c>
      <c r="Q47" s="172"/>
      <c r="R47" s="74"/>
      <c r="S47" s="106" t="s">
        <v>73</v>
      </c>
      <c r="T47" s="105">
        <f t="shared" si="3"/>
        <v>9.3694421860374079E-4</v>
      </c>
      <c r="U47" s="112">
        <f t="shared" si="13"/>
        <v>1067.299397492656</v>
      </c>
      <c r="V47" s="162"/>
      <c r="W47" s="163"/>
      <c r="X47" s="164"/>
      <c r="Y47" s="113" t="s">
        <v>78</v>
      </c>
      <c r="Z47" s="105">
        <f t="shared" si="5"/>
        <v>2.2044826478443413E-3</v>
      </c>
      <c r="AA47" s="112">
        <f t="shared" si="10"/>
        <v>453.62117092545611</v>
      </c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</row>
    <row r="48" spans="1:89" ht="19.5" customHeight="1" x14ac:dyDescent="0.2">
      <c r="A48" s="105">
        <f t="shared" si="2"/>
        <v>6.1381919972283423E-4</v>
      </c>
      <c r="B48" s="106" t="str">
        <f t="shared" si="6"/>
        <v>6-3</v>
      </c>
      <c r="C48" s="107">
        <f t="shared" si="7"/>
        <v>1629.1442177949843</v>
      </c>
      <c r="D48" s="142"/>
      <c r="E48" s="109">
        <f>AVERAGE(BC5,BC11)</f>
        <v>0.87372422955113349</v>
      </c>
      <c r="F48" s="139">
        <v>-5.5</v>
      </c>
      <c r="G48" s="107">
        <f t="shared" si="18"/>
        <v>1.1445258883500797</v>
      </c>
      <c r="H48" s="142"/>
      <c r="J48" s="143"/>
      <c r="K48" s="148"/>
      <c r="L48" s="148"/>
      <c r="M48" s="173"/>
      <c r="N48" s="148"/>
      <c r="O48" s="148" t="s">
        <v>97</v>
      </c>
      <c r="P48" s="148" t="s">
        <v>97</v>
      </c>
      <c r="Q48" s="172"/>
      <c r="R48" s="74"/>
      <c r="S48" s="106" t="s">
        <v>74</v>
      </c>
      <c r="T48" s="105">
        <f t="shared" si="3"/>
        <v>6.1381919972283423E-4</v>
      </c>
      <c r="U48" s="112">
        <f t="shared" si="13"/>
        <v>1629.1442177949843</v>
      </c>
      <c r="V48" s="162"/>
      <c r="W48" s="163"/>
      <c r="X48" s="164"/>
      <c r="Y48" s="113" t="s">
        <v>79</v>
      </c>
      <c r="Z48" s="105">
        <f t="shared" si="5"/>
        <v>1.1258702664286181E-3</v>
      </c>
      <c r="AA48" s="112">
        <f t="shared" si="10"/>
        <v>888.20180247952362</v>
      </c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</row>
    <row r="49" spans="1:89" ht="19.5" customHeight="1" x14ac:dyDescent="0.2">
      <c r="A49" s="105">
        <f>AVERAGE(W3,AF3)</f>
        <v>4.2766794547778667E-2</v>
      </c>
      <c r="B49" s="113" t="str">
        <f>V30</f>
        <v>0-0</v>
      </c>
      <c r="C49" s="174">
        <f>X30</f>
        <v>23.382626885510657</v>
      </c>
      <c r="D49" s="175"/>
      <c r="E49" s="175"/>
      <c r="F49" s="175"/>
      <c r="G49" s="175"/>
      <c r="H49" s="175"/>
      <c r="J49" s="143">
        <v>9</v>
      </c>
      <c r="K49" s="215">
        <v>1</v>
      </c>
      <c r="L49" s="215">
        <v>1</v>
      </c>
      <c r="M49" s="144"/>
      <c r="N49" s="145">
        <v>9</v>
      </c>
      <c r="O49" s="215">
        <v>1</v>
      </c>
      <c r="P49" s="215">
        <v>3</v>
      </c>
      <c r="Q49" s="172"/>
      <c r="R49" s="74"/>
      <c r="S49" s="176"/>
      <c r="T49" s="177"/>
      <c r="U49" s="177"/>
      <c r="V49" s="178"/>
      <c r="W49" s="179"/>
      <c r="X49" s="164"/>
      <c r="Y49" s="180"/>
      <c r="Z49" s="177"/>
      <c r="AA49" s="177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</row>
    <row r="50" spans="1:89" ht="19.5" customHeight="1" x14ac:dyDescent="0.2">
      <c r="A50" s="105">
        <f t="shared" ref="A50:A55" si="19">AVERAGE(W4,AF4)</f>
        <v>9.8887403554155748E-2</v>
      </c>
      <c r="B50" s="113" t="str">
        <f>V31</f>
        <v>1-1</v>
      </c>
      <c r="C50" s="174">
        <f t="shared" ref="C50:C55" si="20">X31</f>
        <v>10.11251144289929</v>
      </c>
      <c r="D50" s="175"/>
      <c r="E50" s="89" t="s">
        <v>89</v>
      </c>
      <c r="F50" s="90"/>
      <c r="G50" s="90"/>
      <c r="H50" s="175"/>
      <c r="J50" s="143"/>
      <c r="K50" s="148"/>
      <c r="L50" s="148"/>
      <c r="M50" s="144"/>
      <c r="N50" s="145"/>
      <c r="O50" s="148" t="s">
        <v>97</v>
      </c>
      <c r="P50" s="148" t="s">
        <v>97</v>
      </c>
      <c r="Q50" s="172"/>
      <c r="R50" s="74"/>
      <c r="S50" s="181">
        <v>1</v>
      </c>
      <c r="T50" s="182">
        <f>SUM(T30:T48)</f>
        <v>0.41012934328533046</v>
      </c>
      <c r="U50" s="183">
        <f t="shared" si="13"/>
        <v>2.4382551903980483</v>
      </c>
      <c r="V50" s="184" t="s">
        <v>29</v>
      </c>
      <c r="W50" s="182">
        <f>SUM(W30:W36)</f>
        <v>0.22697086260293656</v>
      </c>
      <c r="X50" s="185">
        <f t="shared" ref="X50" si="21">(1/W50)</f>
        <v>4.4058518724907998</v>
      </c>
      <c r="Y50" s="184">
        <v>2</v>
      </c>
      <c r="Z50" s="182">
        <f>SUM(Z30:Z48)</f>
        <v>0.35767783907050221</v>
      </c>
      <c r="AA50" s="183">
        <f t="shared" ref="AA50" si="22">(1/Z50)</f>
        <v>2.7958120150767547</v>
      </c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</row>
    <row r="51" spans="1:89" ht="19.5" customHeight="1" thickBot="1" x14ac:dyDescent="0.25">
      <c r="A51" s="105">
        <f t="shared" si="19"/>
        <v>6.2306334248906026E-2</v>
      </c>
      <c r="B51" s="113" t="str">
        <f t="shared" ref="B51:B55" si="23">V32</f>
        <v>2-2</v>
      </c>
      <c r="C51" s="174">
        <f t="shared" si="20"/>
        <v>16.049732536103388</v>
      </c>
      <c r="D51" s="175"/>
      <c r="E51" s="109">
        <f>100%-AL31</f>
        <v>0.95723320545222135</v>
      </c>
      <c r="F51" s="141" t="s">
        <v>45</v>
      </c>
      <c r="G51" s="174">
        <f>(1/AM31)</f>
        <v>1.0446775083691069</v>
      </c>
      <c r="H51" s="175"/>
      <c r="J51" s="143">
        <v>10</v>
      </c>
      <c r="K51" s="215">
        <v>0</v>
      </c>
      <c r="L51" s="215">
        <v>1</v>
      </c>
      <c r="M51" s="186"/>
      <c r="N51" s="145">
        <v>10</v>
      </c>
      <c r="O51" s="215">
        <v>2</v>
      </c>
      <c r="P51" s="215">
        <v>0</v>
      </c>
      <c r="Q51" s="172"/>
      <c r="R51" s="74"/>
      <c r="S51" s="187"/>
      <c r="T51" s="188" t="s">
        <v>80</v>
      </c>
      <c r="U51" s="188"/>
      <c r="V51" s="189"/>
      <c r="W51" s="190">
        <f>T25-(SUM(T50,W50,Z50))</f>
        <v>5.2219550412307969E-3</v>
      </c>
      <c r="X51" s="190"/>
      <c r="Y51" s="191"/>
      <c r="Z51" s="191"/>
      <c r="AA51" s="192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76"/>
      <c r="CJ51" s="76"/>
      <c r="CK51" s="76"/>
    </row>
    <row r="52" spans="1:89" ht="19.5" customHeight="1" thickBot="1" x14ac:dyDescent="0.25">
      <c r="A52" s="105">
        <f t="shared" si="19"/>
        <v>1.9019205949156019E-2</v>
      </c>
      <c r="B52" s="113" t="str">
        <f t="shared" si="23"/>
        <v>3-3</v>
      </c>
      <c r="C52" s="174">
        <f t="shared" si="20"/>
        <v>52.578430596592561</v>
      </c>
      <c r="D52" s="175"/>
      <c r="E52" s="109">
        <f t="shared" ref="E52:E56" si="24">100%-AL32</f>
        <v>0.82636059380678839</v>
      </c>
      <c r="F52" s="141" t="s">
        <v>46</v>
      </c>
      <c r="G52" s="174">
        <f t="shared" ref="G52:G56" si="25">(1/AM32)</f>
        <v>1.210125467616151</v>
      </c>
      <c r="H52" s="175"/>
      <c r="J52" s="193"/>
      <c r="K52" s="194"/>
      <c r="L52" s="194"/>
      <c r="M52" s="195"/>
      <c r="N52" s="196"/>
      <c r="O52" s="194" t="s">
        <v>97</v>
      </c>
      <c r="P52" s="194" t="s">
        <v>98</v>
      </c>
      <c r="Q52" s="197"/>
      <c r="R52" s="74"/>
      <c r="S52" s="198"/>
      <c r="T52" s="198"/>
      <c r="U52" s="198"/>
      <c r="V52" s="199"/>
      <c r="W52" s="200"/>
      <c r="X52" s="200"/>
      <c r="Y52" s="198"/>
      <c r="Z52" s="198"/>
      <c r="AA52" s="198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  <c r="CG52" s="76"/>
      <c r="CH52" s="76"/>
      <c r="CI52" s="76"/>
      <c r="CJ52" s="76"/>
      <c r="CK52" s="76"/>
    </row>
    <row r="53" spans="1:89" s="74" customFormat="1" ht="19.5" customHeight="1" x14ac:dyDescent="0.2">
      <c r="A53" s="105">
        <f t="shared" si="19"/>
        <v>3.5134532292633719E-3</v>
      </c>
      <c r="B53" s="113" t="str">
        <f t="shared" si="23"/>
        <v>4-4</v>
      </c>
      <c r="C53" s="174">
        <f t="shared" si="20"/>
        <v>284.62026808014724</v>
      </c>
      <c r="D53" s="175"/>
      <c r="E53" s="109">
        <f t="shared" si="24"/>
        <v>0.62255660171662464</v>
      </c>
      <c r="F53" s="141" t="s">
        <v>47</v>
      </c>
      <c r="G53" s="174">
        <f t="shared" si="25"/>
        <v>1.6062796495011389</v>
      </c>
      <c r="H53" s="175"/>
      <c r="I53" s="3"/>
      <c r="O53" s="201" t="s">
        <v>97</v>
      </c>
      <c r="P53" s="201" t="s">
        <v>97</v>
      </c>
    </row>
    <row r="54" spans="1:89" s="74" customFormat="1" ht="19.5" customHeight="1" x14ac:dyDescent="0.2">
      <c r="A54" s="105">
        <f t="shared" si="19"/>
        <v>4.3832566216688387E-4</v>
      </c>
      <c r="B54" s="113" t="str">
        <f t="shared" si="23"/>
        <v>5-5</v>
      </c>
      <c r="C54" s="174">
        <f t="shared" si="20"/>
        <v>2281.4087476796412</v>
      </c>
      <c r="D54" s="175"/>
      <c r="E54" s="109">
        <f t="shared" si="24"/>
        <v>0.4069546616290507</v>
      </c>
      <c r="F54" s="141" t="s">
        <v>48</v>
      </c>
      <c r="G54" s="174">
        <f t="shared" si="25"/>
        <v>2.4572761889419636</v>
      </c>
      <c r="H54" s="175"/>
      <c r="I54" s="3"/>
      <c r="O54" s="201" t="s">
        <v>97</v>
      </c>
      <c r="P54" s="201" t="s">
        <v>97</v>
      </c>
    </row>
    <row r="55" spans="1:89" s="74" customFormat="1" ht="19.5" customHeight="1" x14ac:dyDescent="0.2">
      <c r="A55" s="105">
        <f t="shared" si="19"/>
        <v>3.9345411509811548E-5</v>
      </c>
      <c r="B55" s="113" t="str">
        <f t="shared" si="23"/>
        <v>6-6</v>
      </c>
      <c r="C55" s="174">
        <f t="shared" si="20"/>
        <v>25415.924287655002</v>
      </c>
      <c r="D55" s="175"/>
      <c r="E55" s="109">
        <f t="shared" si="24"/>
        <v>0.20993840026502042</v>
      </c>
      <c r="F55" s="141" t="s">
        <v>49</v>
      </c>
      <c r="G55" s="174">
        <f t="shared" si="25"/>
        <v>4.7633019911442007</v>
      </c>
      <c r="H55" s="175"/>
      <c r="I55" s="3"/>
      <c r="P55" s="201" t="s">
        <v>97</v>
      </c>
    </row>
    <row r="56" spans="1:89" s="74" customFormat="1" ht="19.5" customHeight="1" x14ac:dyDescent="0.2">
      <c r="A56" s="105">
        <f t="shared" ref="A56:A74" si="26">AVERAGE(Z3,AH3)</f>
        <v>5.8169060914209259E-2</v>
      </c>
      <c r="B56" s="113" t="str">
        <f>Y30</f>
        <v>0-1</v>
      </c>
      <c r="C56" s="174">
        <f>AA30</f>
        <v>17.191269452928797</v>
      </c>
      <c r="D56" s="175"/>
      <c r="E56" s="109">
        <f t="shared" si="24"/>
        <v>0.12627577044886651</v>
      </c>
      <c r="F56" s="141" t="s">
        <v>50</v>
      </c>
      <c r="G56" s="174">
        <f t="shared" si="25"/>
        <v>7.919175598338045</v>
      </c>
      <c r="H56" s="175"/>
      <c r="I56" s="3"/>
      <c r="P56" s="201" t="s">
        <v>98</v>
      </c>
    </row>
    <row r="57" spans="1:89" s="74" customFormat="1" ht="19.5" customHeight="1" x14ac:dyDescent="0.2">
      <c r="A57" s="105">
        <f t="shared" si="26"/>
        <v>4.3118570414467816E-2</v>
      </c>
      <c r="B57" s="113" t="str">
        <f t="shared" ref="B57:B74" si="27">Y31</f>
        <v>0-2</v>
      </c>
      <c r="C57" s="174">
        <f t="shared" ref="C57:C74" si="28">AA31</f>
        <v>23.191863514669411</v>
      </c>
      <c r="D57" s="175"/>
      <c r="E57" s="175"/>
      <c r="F57" s="175"/>
      <c r="G57" s="175"/>
      <c r="H57" s="175"/>
      <c r="I57" s="3"/>
      <c r="P57" s="201" t="s">
        <v>97</v>
      </c>
    </row>
    <row r="58" spans="1:89" s="74" customFormat="1" ht="19.5" customHeight="1" x14ac:dyDescent="0.2">
      <c r="A58" s="105">
        <f t="shared" si="26"/>
        <v>7.330156970459531E-2</v>
      </c>
      <c r="B58" s="113" t="str">
        <f t="shared" si="27"/>
        <v>1-2</v>
      </c>
      <c r="C58" s="174">
        <f t="shared" si="28"/>
        <v>13.642272655687885</v>
      </c>
      <c r="D58" s="175"/>
      <c r="E58" s="175"/>
      <c r="F58" s="175" t="s">
        <v>93</v>
      </c>
      <c r="G58" s="175"/>
      <c r="H58" s="175"/>
      <c r="I58" s="3"/>
    </row>
    <row r="59" spans="1:89" s="74" customFormat="1" ht="19.5" customHeight="1" x14ac:dyDescent="0.2">
      <c r="A59" s="105">
        <f t="shared" si="26"/>
        <v>2.3227200426406684E-2</v>
      </c>
      <c r="B59" s="113" t="str">
        <f t="shared" si="27"/>
        <v>0-3</v>
      </c>
      <c r="C59" s="174">
        <f t="shared" si="28"/>
        <v>43.052971586843235</v>
      </c>
      <c r="D59" s="175"/>
      <c r="E59" s="202">
        <f>SUM(T30:T48)</f>
        <v>0.41012934328533046</v>
      </c>
      <c r="F59" s="175">
        <v>1</v>
      </c>
      <c r="G59" s="174">
        <f>(1/T50)</f>
        <v>2.4382551903980483</v>
      </c>
      <c r="H59" s="175"/>
      <c r="I59" s="3"/>
    </row>
    <row r="60" spans="1:89" s="74" customFormat="1" ht="19.5" customHeight="1" x14ac:dyDescent="0.2">
      <c r="A60" s="105">
        <f t="shared" si="26"/>
        <v>3.9486240724891368E-2</v>
      </c>
      <c r="B60" s="113" t="str">
        <f t="shared" si="27"/>
        <v>1-3</v>
      </c>
      <c r="C60" s="174">
        <f t="shared" si="28"/>
        <v>25.325277404025428</v>
      </c>
      <c r="D60" s="203"/>
      <c r="E60" s="202">
        <f>SUM(W30:W36)</f>
        <v>0.22697086260293656</v>
      </c>
      <c r="F60" s="203" t="s">
        <v>29</v>
      </c>
      <c r="G60" s="174">
        <f>(1/W50)</f>
        <v>4.4058518724907998</v>
      </c>
      <c r="H60" s="203"/>
      <c r="I60" s="3"/>
    </row>
    <row r="61" spans="1:89" s="74" customFormat="1" ht="20.25" x14ac:dyDescent="0.2">
      <c r="A61" s="105">
        <f t="shared" si="26"/>
        <v>3.3563304616157669E-2</v>
      </c>
      <c r="B61" s="113" t="str">
        <f t="shared" si="27"/>
        <v>2-3</v>
      </c>
      <c r="C61" s="174">
        <f t="shared" si="28"/>
        <v>29.794444004735791</v>
      </c>
      <c r="D61" s="203"/>
      <c r="E61" s="202">
        <f>SUM(Z30:Z48)</f>
        <v>0.35767783907050221</v>
      </c>
      <c r="F61" s="203" t="s">
        <v>94</v>
      </c>
      <c r="G61" s="174">
        <f>(1/Z50)</f>
        <v>2.7958120150767547</v>
      </c>
      <c r="H61" s="203"/>
      <c r="I61" s="3"/>
    </row>
    <row r="62" spans="1:89" s="74" customFormat="1" ht="20.25" x14ac:dyDescent="0.2">
      <c r="A62" s="105">
        <f t="shared" si="26"/>
        <v>1.0096009087812748E-2</v>
      </c>
      <c r="B62" s="113" t="str">
        <f t="shared" si="27"/>
        <v>0-4</v>
      </c>
      <c r="C62" s="174">
        <f t="shared" si="28"/>
        <v>99.049039209675001</v>
      </c>
      <c r="D62" s="203"/>
      <c r="E62" s="203"/>
      <c r="F62" s="203"/>
      <c r="G62" s="203"/>
      <c r="H62" s="203"/>
      <c r="I62" s="3"/>
    </row>
    <row r="63" spans="1:89" s="74" customFormat="1" ht="20.25" x14ac:dyDescent="0.2">
      <c r="A63" s="105">
        <f t="shared" si="26"/>
        <v>1.7163215449281673E-2</v>
      </c>
      <c r="B63" s="113" t="str">
        <f t="shared" si="27"/>
        <v>1-4</v>
      </c>
      <c r="C63" s="174">
        <f t="shared" si="28"/>
        <v>58.264140711573525</v>
      </c>
      <c r="D63" s="203"/>
      <c r="E63" s="203"/>
      <c r="F63" s="203"/>
      <c r="G63" s="203"/>
      <c r="H63" s="203"/>
      <c r="I63" s="3"/>
    </row>
    <row r="64" spans="1:89" s="74" customFormat="1" ht="20.25" x14ac:dyDescent="0.2">
      <c r="A64" s="105">
        <f t="shared" si="26"/>
        <v>1.4588733131889424E-2</v>
      </c>
      <c r="B64" s="113" t="str">
        <f t="shared" si="27"/>
        <v>2-4</v>
      </c>
      <c r="C64" s="174">
        <f t="shared" si="28"/>
        <v>68.54604789596884</v>
      </c>
      <c r="D64" s="203"/>
      <c r="E64" s="203"/>
      <c r="F64" s="203"/>
      <c r="G64" s="203"/>
      <c r="H64" s="203"/>
      <c r="I64" s="3"/>
    </row>
    <row r="65" spans="1:107" ht="20.25" x14ac:dyDescent="0.2">
      <c r="A65" s="105">
        <f t="shared" si="26"/>
        <v>8.2669487747373434E-3</v>
      </c>
      <c r="B65" s="113" t="str">
        <f t="shared" si="27"/>
        <v>3-4</v>
      </c>
      <c r="C65" s="174">
        <f t="shared" si="28"/>
        <v>120.96361393406262</v>
      </c>
      <c r="D65" s="203"/>
      <c r="E65" s="203"/>
      <c r="F65" s="203"/>
      <c r="G65" s="203"/>
      <c r="H65" s="203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76"/>
      <c r="CJ65" s="76"/>
      <c r="CK65" s="76"/>
      <c r="CL65" s="76"/>
      <c r="CM65" s="76"/>
      <c r="CN65" s="76"/>
      <c r="CO65" s="76"/>
      <c r="CP65" s="76"/>
      <c r="CQ65" s="76"/>
      <c r="CR65" s="76"/>
      <c r="CS65" s="76"/>
      <c r="CT65" s="76"/>
      <c r="CU65" s="76"/>
      <c r="CV65" s="76"/>
      <c r="CW65" s="76"/>
      <c r="CX65" s="76"/>
      <c r="CY65" s="76"/>
      <c r="CZ65" s="76"/>
      <c r="DA65" s="76"/>
      <c r="DB65" s="76"/>
      <c r="DC65" s="76"/>
    </row>
    <row r="66" spans="1:107" ht="20.25" x14ac:dyDescent="0.2">
      <c r="A66" s="105">
        <f t="shared" si="26"/>
        <v>6.8940365747475092E-3</v>
      </c>
      <c r="B66" s="113" t="str">
        <f t="shared" si="27"/>
        <v>0-5</v>
      </c>
      <c r="C66" s="174">
        <f t="shared" si="28"/>
        <v>145.05290030849952</v>
      </c>
      <c r="D66" s="203"/>
      <c r="E66" s="203"/>
      <c r="F66" s="203"/>
      <c r="G66" s="203"/>
      <c r="H66" s="203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76"/>
      <c r="CJ66" s="76"/>
      <c r="CK66" s="76"/>
      <c r="CL66" s="76"/>
      <c r="CM66" s="76"/>
      <c r="CN66" s="76"/>
      <c r="CO66" s="76"/>
      <c r="CP66" s="76"/>
      <c r="CQ66" s="76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76"/>
      <c r="DC66" s="76"/>
    </row>
    <row r="67" spans="1:107" ht="20.25" x14ac:dyDescent="0.2">
      <c r="A67" s="105">
        <f t="shared" si="26"/>
        <v>9.5613223498494122E-3</v>
      </c>
      <c r="B67" s="113" t="str">
        <f t="shared" si="27"/>
        <v>1-5</v>
      </c>
      <c r="C67" s="174">
        <f t="shared" si="28"/>
        <v>104.58804372553654</v>
      </c>
      <c r="D67" s="203"/>
      <c r="E67" s="203"/>
      <c r="F67" s="203"/>
      <c r="G67" s="203"/>
      <c r="H67" s="203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  <c r="CE67" s="76"/>
      <c r="CF67" s="76"/>
      <c r="CG67" s="76"/>
      <c r="CH67" s="76"/>
      <c r="CI67" s="76"/>
      <c r="CJ67" s="76"/>
      <c r="CK67" s="76"/>
      <c r="CL67" s="76"/>
      <c r="CM67" s="76"/>
      <c r="CN67" s="76"/>
      <c r="CO67" s="76"/>
      <c r="CP67" s="76"/>
      <c r="CQ67" s="76"/>
      <c r="CR67" s="76"/>
      <c r="CS67" s="76"/>
      <c r="CT67" s="76"/>
      <c r="CU67" s="76"/>
      <c r="CV67" s="76"/>
      <c r="CW67" s="76"/>
      <c r="CX67" s="76"/>
      <c r="CY67" s="76"/>
      <c r="CZ67" s="76"/>
      <c r="DA67" s="76"/>
      <c r="DB67" s="76"/>
      <c r="DC67" s="76"/>
    </row>
    <row r="68" spans="1:107" ht="20.25" x14ac:dyDescent="0.2">
      <c r="A68" s="105">
        <f t="shared" si="26"/>
        <v>6.9399270924002561E-3</v>
      </c>
      <c r="B68" s="113" t="str">
        <f t="shared" si="27"/>
        <v>2-5</v>
      </c>
      <c r="C68" s="174">
        <f t="shared" si="28"/>
        <v>144.09373278504259</v>
      </c>
      <c r="D68" s="203"/>
      <c r="E68" s="203"/>
      <c r="F68" s="203"/>
      <c r="G68" s="203"/>
      <c r="H68" s="203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6"/>
      <c r="DA68" s="76"/>
      <c r="DB68" s="76"/>
      <c r="DC68" s="76"/>
    </row>
    <row r="69" spans="1:107" ht="20.25" x14ac:dyDescent="0.2">
      <c r="A69" s="105">
        <f t="shared" si="26"/>
        <v>3.4973198205371725E-3</v>
      </c>
      <c r="B69" s="113" t="str">
        <f t="shared" si="27"/>
        <v>3-5</v>
      </c>
      <c r="C69" s="174">
        <f t="shared" si="28"/>
        <v>285.93324354488249</v>
      </c>
      <c r="D69" s="203"/>
      <c r="E69" s="203"/>
      <c r="F69" s="203"/>
      <c r="G69" s="203"/>
      <c r="H69" s="203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</row>
    <row r="70" spans="1:107" ht="20.25" x14ac:dyDescent="0.2">
      <c r="A70" s="105">
        <f t="shared" si="26"/>
        <v>1.3666519024769809E-3</v>
      </c>
      <c r="B70" s="113" t="str">
        <f t="shared" si="27"/>
        <v>4-5</v>
      </c>
      <c r="C70" s="174">
        <f t="shared" si="28"/>
        <v>731.71522184073012</v>
      </c>
      <c r="D70" s="203"/>
      <c r="E70" s="203"/>
      <c r="F70" s="203"/>
      <c r="G70" s="203"/>
      <c r="H70" s="203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  <c r="CT70" s="76"/>
      <c r="CU70" s="76"/>
      <c r="CV70" s="76"/>
      <c r="CW70" s="76"/>
      <c r="CX70" s="76"/>
      <c r="CY70" s="76"/>
      <c r="CZ70" s="76"/>
      <c r="DA70" s="76"/>
      <c r="DB70" s="76"/>
      <c r="DC70" s="76"/>
    </row>
    <row r="71" spans="1:107" ht="20.25" x14ac:dyDescent="0.2">
      <c r="A71" s="105">
        <f t="shared" si="26"/>
        <v>2.1181338726473896E-3</v>
      </c>
      <c r="B71" s="113" t="str">
        <f t="shared" si="27"/>
        <v>0-6</v>
      </c>
      <c r="C71" s="174">
        <f t="shared" si="28"/>
        <v>472.11369069422</v>
      </c>
      <c r="D71" s="203"/>
      <c r="E71" s="203"/>
      <c r="F71" s="203"/>
      <c r="G71" s="203"/>
      <c r="H71" s="203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76"/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76"/>
      <c r="CX71" s="76"/>
      <c r="CY71" s="76"/>
      <c r="CZ71" s="76"/>
      <c r="DA71" s="76"/>
      <c r="DB71" s="76"/>
      <c r="DC71" s="76"/>
    </row>
    <row r="72" spans="1:107" ht="20.25" x14ac:dyDescent="0.2">
      <c r="A72" s="105">
        <f t="shared" si="26"/>
        <v>2.9892412991211789E-3</v>
      </c>
      <c r="B72" s="113" t="str">
        <f t="shared" si="27"/>
        <v>1-6</v>
      </c>
      <c r="C72" s="174">
        <f t="shared" si="28"/>
        <v>334.53304699556867</v>
      </c>
      <c r="D72" s="203"/>
      <c r="E72" s="203"/>
      <c r="F72" s="203"/>
      <c r="G72" s="203"/>
      <c r="H72" s="203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</row>
    <row r="73" spans="1:107" ht="20.25" x14ac:dyDescent="0.2">
      <c r="A73" s="105">
        <f t="shared" si="26"/>
        <v>2.2044826478443413E-3</v>
      </c>
      <c r="B73" s="113" t="str">
        <f t="shared" si="27"/>
        <v>2-6</v>
      </c>
      <c r="C73" s="174">
        <f t="shared" si="28"/>
        <v>453.62117092545611</v>
      </c>
      <c r="D73" s="203"/>
      <c r="E73" s="203"/>
      <c r="F73" s="203"/>
      <c r="G73" s="203"/>
      <c r="H73" s="203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</row>
    <row r="74" spans="1:107" ht="20.25" x14ac:dyDescent="0.2">
      <c r="A74" s="105">
        <f t="shared" si="26"/>
        <v>1.1258702664286181E-3</v>
      </c>
      <c r="B74" s="113" t="str">
        <f t="shared" si="27"/>
        <v>3-6</v>
      </c>
      <c r="C74" s="174">
        <f t="shared" si="28"/>
        <v>888.20180247952362</v>
      </c>
      <c r="D74" s="203"/>
      <c r="E74" s="203"/>
      <c r="F74" s="203"/>
      <c r="G74" s="203"/>
      <c r="H74" s="203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</row>
    <row r="75" spans="1:107" x14ac:dyDescent="0.2">
      <c r="A75" s="204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</row>
    <row r="76" spans="1:107" x14ac:dyDescent="0.2">
      <c r="A76" s="204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</row>
    <row r="77" spans="1:107" x14ac:dyDescent="0.2">
      <c r="A77" s="204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</row>
    <row r="78" spans="1:107" x14ac:dyDescent="0.2">
      <c r="A78" s="204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76"/>
      <c r="CF78" s="76"/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  <c r="CZ78" s="76"/>
      <c r="DA78" s="76"/>
      <c r="DB78" s="76"/>
      <c r="DC78" s="76"/>
    </row>
    <row r="79" spans="1:107" x14ac:dyDescent="0.2">
      <c r="A79" s="204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  <c r="CE79" s="76"/>
      <c r="CF79" s="76"/>
      <c r="CG79" s="76"/>
      <c r="CH79" s="76"/>
      <c r="CI79" s="76"/>
      <c r="CJ79" s="76"/>
      <c r="CK79" s="76"/>
      <c r="CL79" s="76"/>
      <c r="CM79" s="76"/>
      <c r="CN79" s="76"/>
      <c r="CO79" s="76"/>
      <c r="CP79" s="76"/>
      <c r="CQ79" s="76"/>
      <c r="CR79" s="76"/>
      <c r="CS79" s="76"/>
      <c r="CT79" s="76"/>
      <c r="CU79" s="76"/>
      <c r="CV79" s="76"/>
      <c r="CW79" s="76"/>
      <c r="CX79" s="76"/>
      <c r="CY79" s="76"/>
      <c r="CZ79" s="76"/>
      <c r="DA79" s="76"/>
      <c r="DB79" s="76"/>
      <c r="DC79" s="76"/>
    </row>
    <row r="80" spans="1:107" x14ac:dyDescent="0.2">
      <c r="A80" s="204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</row>
    <row r="81" spans="10:107" x14ac:dyDescent="0.2"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</row>
    <row r="82" spans="10:107" x14ac:dyDescent="0.2"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</row>
    <row r="83" spans="10:107" x14ac:dyDescent="0.2"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</row>
    <row r="84" spans="10:107" x14ac:dyDescent="0.2">
      <c r="J84" s="76"/>
      <c r="K84" s="76"/>
      <c r="L84" s="76"/>
      <c r="M84" s="76"/>
      <c r="N84" s="76"/>
      <c r="O84" s="76"/>
      <c r="P84" s="76"/>
      <c r="Q84" s="76"/>
      <c r="R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</row>
    <row r="85" spans="10:107" x14ac:dyDescent="0.2">
      <c r="J85" s="76"/>
      <c r="K85" s="76"/>
      <c r="L85" s="76"/>
      <c r="M85" s="76"/>
      <c r="N85" s="76"/>
      <c r="O85" s="76"/>
      <c r="P85" s="76"/>
      <c r="Q85" s="76"/>
      <c r="R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</row>
    <row r="86" spans="10:107" x14ac:dyDescent="0.2">
      <c r="J86" s="76"/>
      <c r="K86" s="76"/>
      <c r="L86" s="76"/>
      <c r="M86" s="76"/>
      <c r="N86" s="76"/>
      <c r="O86" s="76"/>
      <c r="P86" s="76"/>
      <c r="Q86" s="76"/>
      <c r="R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76"/>
      <c r="CJ86" s="76"/>
      <c r="CK86" s="76"/>
      <c r="CL86" s="76"/>
      <c r="CM86" s="76"/>
      <c r="CN86" s="76"/>
      <c r="CO86" s="76"/>
      <c r="CP86" s="76"/>
      <c r="CQ86" s="76"/>
      <c r="CR86" s="76"/>
      <c r="CS86" s="76"/>
      <c r="CT86" s="76"/>
      <c r="CU86" s="76"/>
      <c r="CV86" s="76"/>
      <c r="CW86" s="76"/>
      <c r="CX86" s="76"/>
      <c r="CY86" s="76"/>
      <c r="CZ86" s="76"/>
      <c r="DA86" s="76"/>
      <c r="DB86" s="76"/>
      <c r="DC86" s="76"/>
    </row>
    <row r="87" spans="10:107" x14ac:dyDescent="0.2">
      <c r="J87" s="76"/>
      <c r="K87" s="76"/>
      <c r="L87" s="76"/>
      <c r="M87" s="76"/>
      <c r="N87" s="76"/>
      <c r="O87" s="76"/>
      <c r="P87" s="76"/>
      <c r="Q87" s="76"/>
      <c r="R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</row>
    <row r="88" spans="10:107" x14ac:dyDescent="0.2">
      <c r="J88" s="76"/>
      <c r="K88" s="76"/>
      <c r="L88" s="76"/>
      <c r="M88" s="76"/>
      <c r="N88" s="76"/>
      <c r="O88" s="76"/>
      <c r="P88" s="76"/>
      <c r="Q88" s="76"/>
      <c r="R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  <c r="CE88" s="76"/>
      <c r="CF88" s="76"/>
      <c r="CG88" s="76"/>
      <c r="CH88" s="76"/>
      <c r="CI88" s="76"/>
      <c r="CJ88" s="76"/>
      <c r="CK88" s="76"/>
      <c r="CL88" s="76"/>
      <c r="CM88" s="76"/>
      <c r="CN88" s="76"/>
      <c r="CO88" s="76"/>
      <c r="CP88" s="76"/>
      <c r="CQ88" s="76"/>
      <c r="CR88" s="76"/>
      <c r="CS88" s="76"/>
      <c r="CT88" s="76"/>
      <c r="CU88" s="76"/>
      <c r="CV88" s="76"/>
      <c r="CW88" s="76"/>
      <c r="CX88" s="76"/>
      <c r="CY88" s="76"/>
      <c r="CZ88" s="76"/>
      <c r="DA88" s="76"/>
      <c r="DB88" s="76"/>
      <c r="DC88" s="76"/>
    </row>
    <row r="89" spans="10:107" x14ac:dyDescent="0.2">
      <c r="J89" s="76"/>
      <c r="K89" s="76"/>
      <c r="L89" s="76"/>
      <c r="M89" s="76"/>
      <c r="N89" s="76"/>
      <c r="O89" s="76"/>
      <c r="P89" s="76"/>
      <c r="Q89" s="76"/>
      <c r="R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  <c r="CE89" s="76"/>
      <c r="CF89" s="76"/>
      <c r="CG89" s="76"/>
      <c r="CH89" s="76"/>
      <c r="CI89" s="76"/>
      <c r="CJ89" s="76"/>
      <c r="CK89" s="76"/>
      <c r="CL89" s="76"/>
      <c r="CM89" s="76"/>
      <c r="CN89" s="76"/>
      <c r="CO89" s="76"/>
      <c r="CP89" s="76"/>
      <c r="CQ89" s="76"/>
      <c r="CR89" s="76"/>
      <c r="CS89" s="76"/>
      <c r="CT89" s="76"/>
      <c r="CU89" s="76"/>
      <c r="CV89" s="76"/>
      <c r="CW89" s="76"/>
      <c r="CX89" s="76"/>
      <c r="CY89" s="76"/>
      <c r="CZ89" s="76"/>
      <c r="DA89" s="76"/>
      <c r="DB89" s="76"/>
      <c r="DC89" s="76"/>
    </row>
    <row r="90" spans="10:107" x14ac:dyDescent="0.2">
      <c r="J90" s="76"/>
      <c r="K90" s="76"/>
      <c r="L90" s="76"/>
      <c r="M90" s="76"/>
      <c r="N90" s="76"/>
      <c r="O90" s="76"/>
      <c r="P90" s="76"/>
      <c r="Q90" s="76"/>
      <c r="R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</row>
    <row r="91" spans="10:107" x14ac:dyDescent="0.2">
      <c r="J91" s="76"/>
      <c r="K91" s="76"/>
      <c r="L91" s="76"/>
      <c r="M91" s="76"/>
      <c r="N91" s="76"/>
      <c r="O91" s="76"/>
      <c r="P91" s="76"/>
      <c r="Q91" s="76"/>
      <c r="R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76"/>
      <c r="CJ91" s="76"/>
      <c r="CK91" s="76"/>
      <c r="CL91" s="76"/>
      <c r="CM91" s="76"/>
      <c r="CN91" s="76"/>
      <c r="CO91" s="76"/>
      <c r="CP91" s="76"/>
      <c r="CQ91" s="76"/>
      <c r="CR91" s="76"/>
      <c r="CS91" s="76"/>
      <c r="CT91" s="76"/>
      <c r="CU91" s="76"/>
      <c r="CV91" s="76"/>
      <c r="CW91" s="76"/>
      <c r="CX91" s="76"/>
      <c r="CY91" s="76"/>
      <c r="CZ91" s="76"/>
      <c r="DA91" s="76"/>
      <c r="DB91" s="76"/>
      <c r="DC91" s="76"/>
    </row>
    <row r="92" spans="10:107" x14ac:dyDescent="0.2">
      <c r="J92" s="76"/>
      <c r="K92" s="76"/>
      <c r="L92" s="76"/>
      <c r="M92" s="76"/>
      <c r="N92" s="76"/>
      <c r="O92" s="76"/>
      <c r="P92" s="76"/>
      <c r="Q92" s="76"/>
      <c r="R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  <c r="CE92" s="76"/>
      <c r="CF92" s="76"/>
      <c r="CG92" s="76"/>
      <c r="CH92" s="76"/>
      <c r="CI92" s="76"/>
      <c r="CJ92" s="76"/>
      <c r="CK92" s="76"/>
      <c r="CL92" s="76"/>
      <c r="CM92" s="76"/>
      <c r="CN92" s="76"/>
      <c r="CO92" s="76"/>
      <c r="CP92" s="76"/>
      <c r="CQ92" s="76"/>
      <c r="CR92" s="76"/>
      <c r="CS92" s="76"/>
      <c r="CT92" s="76"/>
      <c r="CU92" s="76"/>
      <c r="CV92" s="76"/>
      <c r="CW92" s="76"/>
      <c r="CX92" s="76"/>
      <c r="CY92" s="76"/>
      <c r="CZ92" s="76"/>
      <c r="DA92" s="76"/>
      <c r="DB92" s="76"/>
      <c r="DC92" s="76"/>
    </row>
    <row r="93" spans="10:107" x14ac:dyDescent="0.2">
      <c r="J93" s="76"/>
      <c r="K93" s="76"/>
      <c r="L93" s="76"/>
      <c r="M93" s="76"/>
      <c r="N93" s="76"/>
      <c r="O93" s="76"/>
      <c r="P93" s="76"/>
      <c r="Q93" s="76"/>
      <c r="R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  <c r="CE93" s="76"/>
      <c r="CF93" s="76"/>
      <c r="CG93" s="76"/>
      <c r="CH93" s="76"/>
      <c r="CI93" s="76"/>
      <c r="CJ93" s="76"/>
      <c r="CK93" s="76"/>
      <c r="CL93" s="76"/>
      <c r="CM93" s="76"/>
      <c r="CN93" s="76"/>
      <c r="CO93" s="76"/>
      <c r="CP93" s="76"/>
      <c r="CQ93" s="76"/>
      <c r="CR93" s="76"/>
      <c r="CS93" s="76"/>
      <c r="CT93" s="76"/>
      <c r="CU93" s="76"/>
      <c r="CV93" s="76"/>
      <c r="CW93" s="76"/>
      <c r="CX93" s="76"/>
      <c r="CY93" s="76"/>
      <c r="CZ93" s="76"/>
      <c r="DA93" s="76"/>
      <c r="DB93" s="76"/>
      <c r="DC93" s="76"/>
    </row>
    <row r="94" spans="10:107" x14ac:dyDescent="0.2">
      <c r="J94" s="76"/>
      <c r="K94" s="76"/>
      <c r="L94" s="76"/>
      <c r="M94" s="76"/>
      <c r="N94" s="76"/>
      <c r="O94" s="76"/>
      <c r="P94" s="76"/>
      <c r="Q94" s="76"/>
      <c r="R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</row>
    <row r="95" spans="10:107" x14ac:dyDescent="0.2">
      <c r="J95" s="76"/>
      <c r="K95" s="76"/>
      <c r="L95" s="76"/>
      <c r="M95" s="76"/>
      <c r="N95" s="76"/>
      <c r="O95" s="76"/>
      <c r="P95" s="76"/>
      <c r="Q95" s="76"/>
      <c r="R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76"/>
      <c r="CV95" s="76"/>
      <c r="CW95" s="76"/>
      <c r="CX95" s="76"/>
      <c r="CY95" s="76"/>
      <c r="CZ95" s="76"/>
      <c r="DA95" s="76"/>
      <c r="DB95" s="76"/>
      <c r="DC95" s="76"/>
    </row>
    <row r="96" spans="10:107" x14ac:dyDescent="0.2">
      <c r="J96" s="76"/>
      <c r="K96" s="76"/>
      <c r="L96" s="76"/>
      <c r="M96" s="76"/>
      <c r="N96" s="76"/>
      <c r="O96" s="76"/>
      <c r="P96" s="76"/>
      <c r="Q96" s="76"/>
      <c r="R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</row>
    <row r="97" spans="10:107" x14ac:dyDescent="0.2">
      <c r="J97" s="76"/>
      <c r="K97" s="76"/>
      <c r="L97" s="76"/>
      <c r="M97" s="76"/>
      <c r="N97" s="76"/>
      <c r="O97" s="76"/>
      <c r="P97" s="76"/>
      <c r="Q97" s="76"/>
      <c r="R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</row>
    <row r="98" spans="10:107" x14ac:dyDescent="0.2">
      <c r="J98" s="76"/>
      <c r="K98" s="76"/>
      <c r="L98" s="76"/>
      <c r="M98" s="76"/>
      <c r="N98" s="76"/>
      <c r="O98" s="76"/>
      <c r="P98" s="76"/>
      <c r="Q98" s="76"/>
      <c r="R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  <c r="CC98" s="76"/>
      <c r="CD98" s="76"/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</row>
    <row r="99" spans="10:107" x14ac:dyDescent="0.2">
      <c r="J99" s="76"/>
      <c r="K99" s="76"/>
      <c r="L99" s="76"/>
      <c r="M99" s="76"/>
      <c r="N99" s="76"/>
      <c r="O99" s="76"/>
      <c r="P99" s="76"/>
      <c r="Q99" s="76"/>
      <c r="R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</row>
    <row r="100" spans="10:107" x14ac:dyDescent="0.2">
      <c r="J100" s="76"/>
      <c r="K100" s="76"/>
      <c r="L100" s="76"/>
      <c r="M100" s="76"/>
      <c r="N100" s="76"/>
      <c r="O100" s="76"/>
      <c r="P100" s="76"/>
      <c r="Q100" s="76"/>
      <c r="R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</row>
    <row r="101" spans="10:107" x14ac:dyDescent="0.2">
      <c r="J101" s="76"/>
      <c r="K101" s="76"/>
      <c r="L101" s="76"/>
      <c r="M101" s="76"/>
      <c r="N101" s="76"/>
      <c r="O101" s="76"/>
      <c r="P101" s="76"/>
      <c r="Q101" s="76"/>
      <c r="R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</row>
    <row r="102" spans="10:107" x14ac:dyDescent="0.2">
      <c r="J102" s="76"/>
      <c r="K102" s="76"/>
      <c r="L102" s="76"/>
      <c r="M102" s="76"/>
      <c r="N102" s="76"/>
      <c r="O102" s="76"/>
      <c r="P102" s="76"/>
      <c r="Q102" s="76"/>
      <c r="R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  <c r="CC102" s="76"/>
      <c r="CD102" s="76"/>
      <c r="CE102" s="76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6"/>
      <c r="CQ102" s="76"/>
      <c r="CR102" s="76"/>
      <c r="CS102" s="76"/>
      <c r="CT102" s="76"/>
      <c r="CU102" s="76"/>
      <c r="CV102" s="76"/>
      <c r="CW102" s="76"/>
      <c r="CX102" s="76"/>
      <c r="CY102" s="76"/>
      <c r="CZ102" s="76"/>
      <c r="DA102" s="76"/>
      <c r="DB102" s="76"/>
      <c r="DC102" s="76"/>
    </row>
    <row r="103" spans="10:107" x14ac:dyDescent="0.2">
      <c r="J103" s="76"/>
      <c r="K103" s="76"/>
      <c r="L103" s="76"/>
      <c r="M103" s="76"/>
      <c r="N103" s="76"/>
      <c r="O103" s="76"/>
      <c r="P103" s="76"/>
      <c r="Q103" s="76"/>
      <c r="R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  <c r="CC103" s="76"/>
      <c r="CD103" s="76"/>
      <c r="CE103" s="76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6"/>
      <c r="CQ103" s="76"/>
      <c r="CR103" s="76"/>
      <c r="CS103" s="76"/>
      <c r="CT103" s="76"/>
      <c r="CU103" s="76"/>
      <c r="CV103" s="76"/>
      <c r="CW103" s="76"/>
      <c r="CX103" s="76"/>
      <c r="CY103" s="76"/>
      <c r="CZ103" s="76"/>
      <c r="DA103" s="76"/>
      <c r="DB103" s="76"/>
      <c r="DC103" s="76"/>
    </row>
    <row r="104" spans="10:107" x14ac:dyDescent="0.2">
      <c r="J104" s="76"/>
      <c r="K104" s="76"/>
      <c r="L104" s="76"/>
      <c r="M104" s="76"/>
      <c r="N104" s="76"/>
      <c r="O104" s="76"/>
      <c r="P104" s="76"/>
      <c r="Q104" s="76"/>
      <c r="R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</row>
    <row r="105" spans="10:107" x14ac:dyDescent="0.2">
      <c r="J105" s="76"/>
      <c r="K105" s="76"/>
      <c r="L105" s="76"/>
      <c r="M105" s="76"/>
      <c r="N105" s="76"/>
      <c r="O105" s="76"/>
      <c r="P105" s="76"/>
      <c r="Q105" s="76"/>
      <c r="R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  <c r="CT105" s="76"/>
      <c r="CU105" s="76"/>
      <c r="CV105" s="76"/>
      <c r="CW105" s="76"/>
      <c r="CX105" s="76"/>
      <c r="CY105" s="76"/>
      <c r="CZ105" s="76"/>
      <c r="DA105" s="76"/>
      <c r="DB105" s="76"/>
      <c r="DC105" s="76"/>
    </row>
    <row r="106" spans="10:107" x14ac:dyDescent="0.2">
      <c r="J106" s="76"/>
      <c r="K106" s="76"/>
      <c r="L106" s="76"/>
      <c r="M106" s="76"/>
      <c r="N106" s="76"/>
      <c r="O106" s="76"/>
      <c r="P106" s="76"/>
      <c r="Q106" s="76"/>
      <c r="R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76"/>
      <c r="CJ106" s="76"/>
      <c r="CK106" s="76"/>
      <c r="CL106" s="76"/>
      <c r="CM106" s="76"/>
      <c r="CN106" s="76"/>
      <c r="CO106" s="76"/>
      <c r="CP106" s="76"/>
      <c r="CQ106" s="76"/>
      <c r="CR106" s="76"/>
      <c r="CS106" s="76"/>
      <c r="CT106" s="76"/>
      <c r="CU106" s="76"/>
      <c r="CV106" s="76"/>
      <c r="CW106" s="76"/>
      <c r="CX106" s="76"/>
      <c r="CY106" s="76"/>
      <c r="CZ106" s="76"/>
      <c r="DA106" s="76"/>
      <c r="DB106" s="76"/>
      <c r="DC106" s="76"/>
    </row>
    <row r="107" spans="10:107" x14ac:dyDescent="0.2"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  <c r="CC107" s="76"/>
      <c r="CD107" s="76"/>
      <c r="CE107" s="76"/>
      <c r="CF107" s="76"/>
      <c r="CG107" s="76"/>
      <c r="CH107" s="76"/>
      <c r="CI107" s="76"/>
      <c r="CJ107" s="76"/>
      <c r="CK107" s="76"/>
      <c r="CL107" s="76"/>
      <c r="CM107" s="76"/>
      <c r="CN107" s="76"/>
      <c r="CO107" s="76"/>
      <c r="CP107" s="76"/>
      <c r="CQ107" s="76"/>
      <c r="CR107" s="76"/>
      <c r="CS107" s="76"/>
      <c r="CT107" s="76"/>
      <c r="CU107" s="76"/>
      <c r="CV107" s="76"/>
      <c r="CW107" s="76"/>
      <c r="CX107" s="76"/>
      <c r="CY107" s="76"/>
      <c r="CZ107" s="76"/>
      <c r="DA107" s="76"/>
      <c r="DB107" s="76"/>
      <c r="DC107" s="76"/>
    </row>
    <row r="108" spans="10:107" x14ac:dyDescent="0.2"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  <c r="CC108" s="76"/>
      <c r="CD108" s="76"/>
      <c r="CE108" s="76"/>
      <c r="CF108" s="76"/>
      <c r="CG108" s="76"/>
      <c r="CH108" s="76"/>
      <c r="CI108" s="76"/>
      <c r="CJ108" s="76"/>
      <c r="CK108" s="76"/>
      <c r="CL108" s="76"/>
      <c r="CM108" s="76"/>
      <c r="CN108" s="76"/>
      <c r="CO108" s="76"/>
      <c r="CP108" s="76"/>
      <c r="CQ108" s="76"/>
      <c r="CR108" s="76"/>
      <c r="CS108" s="76"/>
      <c r="CT108" s="76"/>
      <c r="CU108" s="76"/>
      <c r="CV108" s="76"/>
      <c r="CW108" s="76"/>
      <c r="CX108" s="76"/>
      <c r="CY108" s="76"/>
      <c r="CZ108" s="76"/>
      <c r="DA108" s="76"/>
      <c r="DB108" s="76"/>
      <c r="DC108" s="76"/>
    </row>
    <row r="109" spans="10:107" x14ac:dyDescent="0.2"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  <c r="CC109" s="76"/>
      <c r="CD109" s="76"/>
      <c r="CE109" s="76"/>
      <c r="CF109" s="76"/>
      <c r="CG109" s="76"/>
      <c r="CH109" s="76"/>
      <c r="CI109" s="76"/>
      <c r="CJ109" s="76"/>
      <c r="CK109" s="76"/>
      <c r="CL109" s="76"/>
      <c r="CM109" s="76"/>
      <c r="CN109" s="76"/>
      <c r="CO109" s="76"/>
      <c r="CP109" s="76"/>
      <c r="CQ109" s="76"/>
      <c r="CR109" s="76"/>
      <c r="CS109" s="76"/>
      <c r="CT109" s="76"/>
      <c r="CU109" s="76"/>
      <c r="CV109" s="76"/>
      <c r="CW109" s="76"/>
      <c r="CX109" s="76"/>
      <c r="CY109" s="76"/>
      <c r="CZ109" s="76"/>
      <c r="DA109" s="76"/>
      <c r="DB109" s="76"/>
      <c r="DC109" s="76"/>
    </row>
    <row r="110" spans="10:107" x14ac:dyDescent="0.2"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76"/>
      <c r="CJ110" s="76"/>
      <c r="CK110" s="76"/>
      <c r="CL110" s="76"/>
      <c r="CM110" s="76"/>
      <c r="CN110" s="76"/>
      <c r="CO110" s="76"/>
      <c r="CP110" s="76"/>
      <c r="CQ110" s="76"/>
      <c r="CR110" s="76"/>
      <c r="CS110" s="76"/>
      <c r="CT110" s="76"/>
      <c r="CU110" s="76"/>
      <c r="CV110" s="76"/>
      <c r="CW110" s="76"/>
      <c r="CX110" s="76"/>
      <c r="CY110" s="76"/>
      <c r="CZ110" s="76"/>
      <c r="DA110" s="76"/>
      <c r="DB110" s="76"/>
      <c r="DC110" s="76"/>
    </row>
    <row r="111" spans="10:107" x14ac:dyDescent="0.2"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</row>
    <row r="112" spans="10:107" x14ac:dyDescent="0.2"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  <c r="CC112" s="76"/>
      <c r="CD112" s="76"/>
      <c r="CE112" s="76"/>
      <c r="CF112" s="76"/>
      <c r="CG112" s="76"/>
      <c r="CH112" s="76"/>
      <c r="CI112" s="76"/>
      <c r="CJ112" s="76"/>
      <c r="CK112" s="76"/>
      <c r="CL112" s="76"/>
      <c r="CM112" s="76"/>
      <c r="CN112" s="76"/>
      <c r="CO112" s="76"/>
      <c r="CP112" s="76"/>
      <c r="CQ112" s="76"/>
      <c r="CR112" s="76"/>
      <c r="CS112" s="76"/>
      <c r="CT112" s="76"/>
      <c r="CU112" s="76"/>
      <c r="CV112" s="76"/>
      <c r="CW112" s="76"/>
      <c r="CX112" s="76"/>
      <c r="CY112" s="76"/>
      <c r="CZ112" s="76"/>
      <c r="DA112" s="76"/>
      <c r="DB112" s="76"/>
      <c r="DC112" s="76"/>
    </row>
    <row r="113" spans="10:107" x14ac:dyDescent="0.2"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/>
      <c r="CD113" s="76"/>
      <c r="CE113" s="76"/>
      <c r="CF113" s="76"/>
      <c r="CG113" s="76"/>
      <c r="CH113" s="76"/>
      <c r="CI113" s="76"/>
      <c r="CJ113" s="76"/>
      <c r="CK113" s="76"/>
      <c r="CL113" s="76"/>
      <c r="CM113" s="76"/>
      <c r="CN113" s="76"/>
      <c r="CO113" s="76"/>
      <c r="CP113" s="76"/>
      <c r="CQ113" s="76"/>
      <c r="CR113" s="76"/>
      <c r="CS113" s="76"/>
      <c r="CT113" s="76"/>
      <c r="CU113" s="76"/>
      <c r="CV113" s="76"/>
      <c r="CW113" s="76"/>
      <c r="CX113" s="76"/>
      <c r="CY113" s="76"/>
      <c r="CZ113" s="76"/>
      <c r="DA113" s="76"/>
      <c r="DB113" s="76"/>
      <c r="DC113" s="76"/>
    </row>
    <row r="114" spans="10:107" x14ac:dyDescent="0.2"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  <c r="CC114" s="76"/>
      <c r="CD114" s="76"/>
      <c r="CE114" s="76"/>
      <c r="CF114" s="76"/>
      <c r="CG114" s="76"/>
      <c r="CH114" s="76"/>
      <c r="CI114" s="76"/>
      <c r="CJ114" s="76"/>
      <c r="CK114" s="76"/>
      <c r="CL114" s="76"/>
      <c r="CM114" s="76"/>
      <c r="CN114" s="76"/>
      <c r="CO114" s="76"/>
      <c r="CP114" s="76"/>
      <c r="CQ114" s="76"/>
      <c r="CR114" s="76"/>
      <c r="CS114" s="76"/>
      <c r="CT114" s="76"/>
      <c r="CU114" s="76"/>
      <c r="CV114" s="76"/>
      <c r="CW114" s="76"/>
      <c r="CX114" s="76"/>
      <c r="CY114" s="76"/>
      <c r="CZ114" s="76"/>
      <c r="DA114" s="76"/>
      <c r="DB114" s="76"/>
      <c r="DC114" s="76"/>
    </row>
    <row r="115" spans="10:107" x14ac:dyDescent="0.2">
      <c r="J115" s="76"/>
      <c r="K115" s="76"/>
      <c r="L115" s="76"/>
      <c r="M115" s="76"/>
      <c r="N115" s="76"/>
      <c r="O115" s="76"/>
      <c r="P115" s="76"/>
      <c r="Q115" s="76"/>
      <c r="R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6"/>
      <c r="CQ115" s="76"/>
      <c r="CR115" s="76"/>
      <c r="CS115" s="76"/>
      <c r="CT115" s="76"/>
      <c r="CU115" s="76"/>
      <c r="CV115" s="76"/>
      <c r="CW115" s="76"/>
      <c r="CX115" s="76"/>
      <c r="CY115" s="76"/>
      <c r="CZ115" s="76"/>
      <c r="DA115" s="76"/>
      <c r="DB115" s="76"/>
      <c r="DC115" s="76"/>
    </row>
    <row r="116" spans="10:107" x14ac:dyDescent="0.2">
      <c r="J116" s="76"/>
      <c r="K116" s="76"/>
      <c r="L116" s="76"/>
      <c r="M116" s="76"/>
      <c r="N116" s="76"/>
      <c r="O116" s="76"/>
      <c r="P116" s="76"/>
      <c r="Q116" s="76"/>
      <c r="R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</row>
    <row r="117" spans="10:107" x14ac:dyDescent="0.2">
      <c r="J117" s="76"/>
      <c r="K117" s="76"/>
      <c r="L117" s="76"/>
      <c r="M117" s="76"/>
      <c r="N117" s="76"/>
      <c r="O117" s="76"/>
      <c r="P117" s="76"/>
      <c r="Q117" s="76"/>
      <c r="R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  <c r="CC117" s="76"/>
      <c r="CD117" s="76"/>
      <c r="CE117" s="76"/>
      <c r="CF117" s="76"/>
      <c r="CG117" s="76"/>
      <c r="CH117" s="76"/>
      <c r="CI117" s="76"/>
      <c r="CJ117" s="76"/>
      <c r="CK117" s="76"/>
      <c r="CL117" s="76"/>
      <c r="CM117" s="76"/>
      <c r="CN117" s="76"/>
      <c r="CO117" s="76"/>
      <c r="CP117" s="76"/>
      <c r="CQ117" s="76"/>
      <c r="CR117" s="76"/>
      <c r="CS117" s="76"/>
      <c r="CT117" s="76"/>
      <c r="CU117" s="76"/>
      <c r="CV117" s="76"/>
      <c r="CW117" s="76"/>
      <c r="CX117" s="76"/>
      <c r="CY117" s="76"/>
      <c r="CZ117" s="76"/>
      <c r="DA117" s="76"/>
      <c r="DB117" s="76"/>
      <c r="DC117" s="76"/>
    </row>
    <row r="118" spans="10:107" x14ac:dyDescent="0.2">
      <c r="J118" s="76"/>
      <c r="K118" s="76"/>
      <c r="L118" s="76"/>
      <c r="M118" s="76"/>
      <c r="N118" s="76"/>
      <c r="O118" s="76"/>
      <c r="P118" s="76"/>
      <c r="Q118" s="76"/>
      <c r="R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</row>
    <row r="119" spans="10:107" x14ac:dyDescent="0.2">
      <c r="J119" s="76"/>
      <c r="K119" s="76"/>
      <c r="L119" s="76"/>
      <c r="M119" s="76"/>
      <c r="N119" s="76"/>
      <c r="O119" s="76"/>
      <c r="P119" s="76"/>
      <c r="Q119" s="76"/>
      <c r="R119" s="76"/>
    </row>
  </sheetData>
  <sheetProtection algorithmName="SHA-512" hashValue="DY0XzWQj1kdKARTlMyTsUqHtgRRsiy+E7+riWAUX+ZkVSlVhgw28U/IowHHNhIGEef6EikDX1v7gojNgV9C5DA==" saltValue="F6i2bfc9aPKpVqsbh39DIA==" spinCount="100000" sheet="1" objects="1" scenarios="1"/>
  <mergeCells count="61">
    <mergeCell ref="E50:G50"/>
    <mergeCell ref="E29:G29"/>
    <mergeCell ref="E34:G34"/>
    <mergeCell ref="E38:G38"/>
    <mergeCell ref="E42:G42"/>
    <mergeCell ref="T51:V51"/>
    <mergeCell ref="AX14:AZ14"/>
    <mergeCell ref="BB14:BD14"/>
    <mergeCell ref="AD28:AH28"/>
    <mergeCell ref="AD38:AH38"/>
    <mergeCell ref="AD39:AE39"/>
    <mergeCell ref="AD40:AE40"/>
    <mergeCell ref="AF40:AG40"/>
    <mergeCell ref="AF39:AG39"/>
    <mergeCell ref="S28:AA28"/>
    <mergeCell ref="AK28:AN29"/>
    <mergeCell ref="AD29:AE29"/>
    <mergeCell ref="AF29:AG29"/>
    <mergeCell ref="AF30:AG30"/>
    <mergeCell ref="S1:AH1"/>
    <mergeCell ref="AR2:AS2"/>
    <mergeCell ref="AT2:AU2"/>
    <mergeCell ref="AQ1:AU1"/>
    <mergeCell ref="S2:Z2"/>
    <mergeCell ref="AC2:AH2"/>
    <mergeCell ref="AR10:AS10"/>
    <mergeCell ref="AT9:AU9"/>
    <mergeCell ref="AT10:AU10"/>
    <mergeCell ref="AR3:AS3"/>
    <mergeCell ref="AR4:AS4"/>
    <mergeCell ref="AR5:AS5"/>
    <mergeCell ref="AT3:AU3"/>
    <mergeCell ref="AT4:AU4"/>
    <mergeCell ref="AT5:AU5"/>
    <mergeCell ref="AX1:BC1"/>
    <mergeCell ref="AX2:BC2"/>
    <mergeCell ref="AX8:BC8"/>
    <mergeCell ref="J28:Q30"/>
    <mergeCell ref="AD30:AE30"/>
    <mergeCell ref="AQ12:AU12"/>
    <mergeCell ref="AR13:AS13"/>
    <mergeCell ref="AT13:AU13"/>
    <mergeCell ref="AR14:AS14"/>
    <mergeCell ref="AR15:AS15"/>
    <mergeCell ref="AT14:AU14"/>
    <mergeCell ref="AT15:AU15"/>
    <mergeCell ref="AQ7:AU7"/>
    <mergeCell ref="AR8:AS8"/>
    <mergeCell ref="AT8:AU8"/>
    <mergeCell ref="AR9:AS9"/>
    <mergeCell ref="J31:M32"/>
    <mergeCell ref="N31:Q32"/>
    <mergeCell ref="AD34:AH34"/>
    <mergeCell ref="AD35:AE35"/>
    <mergeCell ref="AD36:AE36"/>
    <mergeCell ref="AD31:AE31"/>
    <mergeCell ref="AD32:AE32"/>
    <mergeCell ref="AF31:AG31"/>
    <mergeCell ref="AF32:AG32"/>
    <mergeCell ref="AF35:AG35"/>
    <mergeCell ref="AF36:AG36"/>
  </mergeCells>
  <conditionalFormatting sqref="J33">
    <cfRule type="expression" dxfId="108" priority="178">
      <formula>"SI($B$19&gt;$C$19)"</formula>
    </cfRule>
  </conditionalFormatting>
  <conditionalFormatting sqref="T50 Z50 W51:X52 W50">
    <cfRule type="top10" dxfId="107" priority="176" rank="1"/>
  </conditionalFormatting>
  <conditionalFormatting sqref="AR44:AT44">
    <cfRule type="top10" dxfId="106" priority="173" rank="1"/>
  </conditionalFormatting>
  <conditionalFormatting sqref="W30:W36 Z30:Z49 T30:T49">
    <cfRule type="colorScale" priority="179">
      <colorScale>
        <cfvo type="percent" val="0"/>
        <cfvo type="percent" val="50"/>
        <cfvo type="max"/>
        <color rgb="FFF8696B"/>
        <color rgb="FFFFEB84"/>
        <color rgb="FF63BE7B"/>
      </colorScale>
    </cfRule>
  </conditionalFormatting>
  <conditionalFormatting sqref="AL33:AM34">
    <cfRule type="cellIs" dxfId="105" priority="171" operator="greaterThan">
      <formula>0.6</formula>
    </cfRule>
  </conditionalFormatting>
  <conditionalFormatting sqref="X45:X49">
    <cfRule type="colorScale" priority="162">
      <colorScale>
        <cfvo type="percent" val="0"/>
        <cfvo type="percent" val="50"/>
        <cfvo type="max"/>
        <color rgb="FFF8696B"/>
        <color rgb="FFFFEB84"/>
        <color rgb="FF63BE7B"/>
      </colorScale>
    </cfRule>
  </conditionalFormatting>
  <conditionalFormatting sqref="U30">
    <cfRule type="cellIs" dxfId="104" priority="158" operator="greaterThan">
      <formula>51</formula>
    </cfRule>
  </conditionalFormatting>
  <conditionalFormatting sqref="X35">
    <cfRule type="cellIs" dxfId="103" priority="77" operator="greaterThan">
      <formula>100</formula>
    </cfRule>
  </conditionalFormatting>
  <conditionalFormatting sqref="X36">
    <cfRule type="cellIs" dxfId="102" priority="76" operator="greaterThan">
      <formula>100</formula>
    </cfRule>
  </conditionalFormatting>
  <conditionalFormatting sqref="U46">
    <cfRule type="cellIs" dxfId="101" priority="139" operator="greaterThan">
      <formula>100</formula>
    </cfRule>
  </conditionalFormatting>
  <conditionalFormatting sqref="U47">
    <cfRule type="cellIs" dxfId="100" priority="138" operator="greaterThan">
      <formula>100</formula>
    </cfRule>
  </conditionalFormatting>
  <conditionalFormatting sqref="U48">
    <cfRule type="cellIs" dxfId="99" priority="137" operator="greaterThan">
      <formula>100</formula>
    </cfRule>
  </conditionalFormatting>
  <conditionalFormatting sqref="U49">
    <cfRule type="colorScale" priority="135">
      <colorScale>
        <cfvo type="percent" val="0"/>
        <cfvo type="percent" val="50"/>
        <cfvo type="max"/>
        <color rgb="FFF8696B"/>
        <color rgb="FFFFEB84"/>
        <color rgb="FF63BE7B"/>
      </colorScale>
    </cfRule>
  </conditionalFormatting>
  <conditionalFormatting sqref="U50">
    <cfRule type="cellIs" dxfId="98" priority="134" operator="greaterThan">
      <formula>100</formula>
    </cfRule>
  </conditionalFormatting>
  <conditionalFormatting sqref="X31">
    <cfRule type="cellIs" dxfId="97" priority="85" operator="greaterThan">
      <formula>100</formula>
    </cfRule>
  </conditionalFormatting>
  <conditionalFormatting sqref="X32">
    <cfRule type="cellIs" dxfId="96" priority="84" operator="greaterThan">
      <formula>100</formula>
    </cfRule>
  </conditionalFormatting>
  <conditionalFormatting sqref="X33">
    <cfRule type="cellIs" dxfId="95" priority="83" operator="greaterThan">
      <formula>100</formula>
    </cfRule>
  </conditionalFormatting>
  <conditionalFormatting sqref="AA46">
    <cfRule type="cellIs" dxfId="94" priority="110" operator="greaterThan">
      <formula>100</formula>
    </cfRule>
  </conditionalFormatting>
  <conditionalFormatting sqref="AA47">
    <cfRule type="cellIs" dxfId="93" priority="109" operator="greaterThan">
      <formula>100</formula>
    </cfRule>
  </conditionalFormatting>
  <conditionalFormatting sqref="AA48">
    <cfRule type="cellIs" dxfId="92" priority="108" operator="greaterThan">
      <formula>100</formula>
    </cfRule>
  </conditionalFormatting>
  <conditionalFormatting sqref="AA50">
    <cfRule type="cellIs" dxfId="91" priority="106" operator="greaterThan">
      <formula>100</formula>
    </cfRule>
  </conditionalFormatting>
  <conditionalFormatting sqref="AA49">
    <cfRule type="colorScale" priority="105">
      <colorScale>
        <cfvo type="percent" val="0"/>
        <cfvo type="percent" val="50"/>
        <cfvo type="max"/>
        <color rgb="FFF8696B"/>
        <color rgb="FFFFEB84"/>
        <color rgb="FF63BE7B"/>
      </colorScale>
    </cfRule>
  </conditionalFormatting>
  <conditionalFormatting sqref="U31">
    <cfRule type="cellIs" dxfId="90" priority="104" operator="greaterThan">
      <formula>51</formula>
    </cfRule>
  </conditionalFormatting>
  <conditionalFormatting sqref="U32">
    <cfRule type="cellIs" dxfId="89" priority="103" operator="greaterThan">
      <formula>51</formula>
    </cfRule>
  </conditionalFormatting>
  <conditionalFormatting sqref="U33">
    <cfRule type="cellIs" dxfId="88" priority="102" operator="greaterThan">
      <formula>51</formula>
    </cfRule>
  </conditionalFormatting>
  <conditionalFormatting sqref="U34">
    <cfRule type="cellIs" dxfId="87" priority="101" operator="greaterThan">
      <formula>51</formula>
    </cfRule>
  </conditionalFormatting>
  <conditionalFormatting sqref="U35">
    <cfRule type="cellIs" dxfId="86" priority="100" operator="greaterThan">
      <formula>51</formula>
    </cfRule>
  </conditionalFormatting>
  <conditionalFormatting sqref="U36">
    <cfRule type="cellIs" dxfId="85" priority="99" operator="greaterThan">
      <formula>51</formula>
    </cfRule>
  </conditionalFormatting>
  <conditionalFormatting sqref="U37">
    <cfRule type="cellIs" dxfId="84" priority="98" operator="greaterThan">
      <formula>51</formula>
    </cfRule>
  </conditionalFormatting>
  <conditionalFormatting sqref="U38">
    <cfRule type="cellIs" dxfId="83" priority="97" operator="greaterThan">
      <formula>51</formula>
    </cfRule>
  </conditionalFormatting>
  <conditionalFormatting sqref="U39">
    <cfRule type="cellIs" dxfId="82" priority="96" operator="greaterThan">
      <formula>51</formula>
    </cfRule>
  </conditionalFormatting>
  <conditionalFormatting sqref="U40">
    <cfRule type="cellIs" dxfId="81" priority="95" operator="greaterThan">
      <formula>51</formula>
    </cfRule>
  </conditionalFormatting>
  <conditionalFormatting sqref="U41">
    <cfRule type="cellIs" dxfId="80" priority="94" operator="greaterThan">
      <formula>51</formula>
    </cfRule>
  </conditionalFormatting>
  <conditionalFormatting sqref="U42">
    <cfRule type="cellIs" dxfId="79" priority="93" operator="greaterThan">
      <formula>51</formula>
    </cfRule>
  </conditionalFormatting>
  <conditionalFormatting sqref="U43">
    <cfRule type="cellIs" dxfId="78" priority="92" operator="greaterThan">
      <formula>51</formula>
    </cfRule>
  </conditionalFormatting>
  <conditionalFormatting sqref="U44">
    <cfRule type="cellIs" dxfId="77" priority="91" operator="greaterThan">
      <formula>51</formula>
    </cfRule>
  </conditionalFormatting>
  <conditionalFormatting sqref="U45">
    <cfRule type="cellIs" dxfId="76" priority="90" operator="greaterThan">
      <formula>51</formula>
    </cfRule>
  </conditionalFormatting>
  <conditionalFormatting sqref="U45">
    <cfRule type="cellIs" dxfId="75" priority="89" operator="greaterThan">
      <formula>51</formula>
    </cfRule>
  </conditionalFormatting>
  <conditionalFormatting sqref="U46">
    <cfRule type="cellIs" dxfId="74" priority="88" operator="greaterThan">
      <formula>51</formula>
    </cfRule>
  </conditionalFormatting>
  <conditionalFormatting sqref="U47">
    <cfRule type="cellIs" dxfId="73" priority="87" operator="greaterThan">
      <formula>51</formula>
    </cfRule>
  </conditionalFormatting>
  <conditionalFormatting sqref="U48">
    <cfRule type="cellIs" dxfId="72" priority="86" operator="greaterThan">
      <formula>51</formula>
    </cfRule>
  </conditionalFormatting>
  <conditionalFormatting sqref="X30">
    <cfRule type="cellIs" dxfId="71" priority="82" operator="greaterThan">
      <formula>51</formula>
    </cfRule>
  </conditionalFormatting>
  <conditionalFormatting sqref="X30">
    <cfRule type="cellIs" dxfId="70" priority="81" operator="greaterThan">
      <formula>51</formula>
    </cfRule>
  </conditionalFormatting>
  <conditionalFormatting sqref="X31">
    <cfRule type="cellIs" dxfId="69" priority="80" operator="greaterThan">
      <formula>51</formula>
    </cfRule>
  </conditionalFormatting>
  <conditionalFormatting sqref="X32">
    <cfRule type="cellIs" dxfId="68" priority="79" operator="greaterThan">
      <formula>51</formula>
    </cfRule>
  </conditionalFormatting>
  <conditionalFormatting sqref="X33">
    <cfRule type="cellIs" dxfId="67" priority="78" operator="greaterThan">
      <formula>51</formula>
    </cfRule>
  </conditionalFormatting>
  <conditionalFormatting sqref="X34">
    <cfRule type="cellIs" dxfId="66" priority="74" operator="greaterThan">
      <formula>51</formula>
    </cfRule>
  </conditionalFormatting>
  <conditionalFormatting sqref="X34">
    <cfRule type="cellIs" dxfId="65" priority="73" operator="greaterThan">
      <formula>51</formula>
    </cfRule>
  </conditionalFormatting>
  <conditionalFormatting sqref="X35">
    <cfRule type="cellIs" dxfId="64" priority="72" operator="greaterThan">
      <formula>51</formula>
    </cfRule>
  </conditionalFormatting>
  <conditionalFormatting sqref="X36">
    <cfRule type="cellIs" dxfId="63" priority="71" operator="greaterThan">
      <formula>51</formula>
    </cfRule>
  </conditionalFormatting>
  <conditionalFormatting sqref="AA31">
    <cfRule type="cellIs" dxfId="62" priority="69" operator="greaterThan">
      <formula>100</formula>
    </cfRule>
  </conditionalFormatting>
  <conditionalFormatting sqref="AA32">
    <cfRule type="cellIs" dxfId="61" priority="68" operator="greaterThan">
      <formula>100</formula>
    </cfRule>
  </conditionalFormatting>
  <conditionalFormatting sqref="AA33">
    <cfRule type="cellIs" dxfId="60" priority="67" operator="greaterThan">
      <formula>100</formula>
    </cfRule>
  </conditionalFormatting>
  <conditionalFormatting sqref="AA30">
    <cfRule type="cellIs" dxfId="59" priority="66" operator="greaterThan">
      <formula>51</formula>
    </cfRule>
  </conditionalFormatting>
  <conditionalFormatting sqref="AA30">
    <cfRule type="cellIs" dxfId="58" priority="65" operator="greaterThan">
      <formula>51</formula>
    </cfRule>
  </conditionalFormatting>
  <conditionalFormatting sqref="AA31">
    <cfRule type="cellIs" dxfId="57" priority="64" operator="greaterThan">
      <formula>51</formula>
    </cfRule>
  </conditionalFormatting>
  <conditionalFormatting sqref="AA32">
    <cfRule type="cellIs" dxfId="56" priority="63" operator="greaterThan">
      <formula>51</formula>
    </cfRule>
  </conditionalFormatting>
  <conditionalFormatting sqref="AA33">
    <cfRule type="cellIs" dxfId="55" priority="62" operator="greaterThan">
      <formula>51</formula>
    </cfRule>
  </conditionalFormatting>
  <conditionalFormatting sqref="AA35">
    <cfRule type="cellIs" dxfId="54" priority="61" operator="greaterThan">
      <formula>100</formula>
    </cfRule>
  </conditionalFormatting>
  <conditionalFormatting sqref="AA36">
    <cfRule type="cellIs" dxfId="53" priority="60" operator="greaterThan">
      <formula>100</formula>
    </cfRule>
  </conditionalFormatting>
  <conditionalFormatting sqref="AA37">
    <cfRule type="cellIs" dxfId="52" priority="59" operator="greaterThan">
      <formula>100</formula>
    </cfRule>
  </conditionalFormatting>
  <conditionalFormatting sqref="AA34">
    <cfRule type="cellIs" dxfId="51" priority="58" operator="greaterThan">
      <formula>51</formula>
    </cfRule>
  </conditionalFormatting>
  <conditionalFormatting sqref="AA34">
    <cfRule type="cellIs" dxfId="50" priority="57" operator="greaterThan">
      <formula>51</formula>
    </cfRule>
  </conditionalFormatting>
  <conditionalFormatting sqref="AA35">
    <cfRule type="cellIs" dxfId="49" priority="56" operator="greaterThan">
      <formula>51</formula>
    </cfRule>
  </conditionalFormatting>
  <conditionalFormatting sqref="AA36">
    <cfRule type="cellIs" dxfId="48" priority="55" operator="greaterThan">
      <formula>51</formula>
    </cfRule>
  </conditionalFormatting>
  <conditionalFormatting sqref="AA37">
    <cfRule type="cellIs" dxfId="47" priority="54" operator="greaterThan">
      <formula>51</formula>
    </cfRule>
  </conditionalFormatting>
  <conditionalFormatting sqref="AA39">
    <cfRule type="cellIs" dxfId="46" priority="53" operator="greaterThan">
      <formula>100</formula>
    </cfRule>
  </conditionalFormatting>
  <conditionalFormatting sqref="AA40">
    <cfRule type="cellIs" dxfId="45" priority="52" operator="greaterThan">
      <formula>100</formula>
    </cfRule>
  </conditionalFormatting>
  <conditionalFormatting sqref="AA41">
    <cfRule type="cellIs" dxfId="44" priority="51" operator="greaterThan">
      <formula>100</formula>
    </cfRule>
  </conditionalFormatting>
  <conditionalFormatting sqref="AA38">
    <cfRule type="cellIs" dxfId="43" priority="50" operator="greaterThan">
      <formula>51</formula>
    </cfRule>
  </conditionalFormatting>
  <conditionalFormatting sqref="AA38">
    <cfRule type="cellIs" dxfId="42" priority="49" operator="greaterThan">
      <formula>51</formula>
    </cfRule>
  </conditionalFormatting>
  <conditionalFormatting sqref="AA39">
    <cfRule type="cellIs" dxfId="41" priority="48" operator="greaterThan">
      <formula>51</formula>
    </cfRule>
  </conditionalFormatting>
  <conditionalFormatting sqref="AA40">
    <cfRule type="cellIs" dxfId="40" priority="47" operator="greaterThan">
      <formula>51</formula>
    </cfRule>
  </conditionalFormatting>
  <conditionalFormatting sqref="AA41">
    <cfRule type="cellIs" dxfId="39" priority="46" operator="greaterThan">
      <formula>51</formula>
    </cfRule>
  </conditionalFormatting>
  <conditionalFormatting sqref="AA43">
    <cfRule type="cellIs" dxfId="38" priority="45" operator="greaterThan">
      <formula>100</formula>
    </cfRule>
  </conditionalFormatting>
  <conditionalFormatting sqref="AA44">
    <cfRule type="cellIs" dxfId="37" priority="44" operator="greaterThan">
      <formula>100</formula>
    </cfRule>
  </conditionalFormatting>
  <conditionalFormatting sqref="AA45">
    <cfRule type="cellIs" dxfId="36" priority="43" operator="greaterThan">
      <formula>100</formula>
    </cfRule>
  </conditionalFormatting>
  <conditionalFormatting sqref="AA42">
    <cfRule type="cellIs" dxfId="35" priority="42" operator="greaterThan">
      <formula>51</formula>
    </cfRule>
  </conditionalFormatting>
  <conditionalFormatting sqref="AA42">
    <cfRule type="cellIs" dxfId="34" priority="41" operator="greaterThan">
      <formula>51</formula>
    </cfRule>
  </conditionalFormatting>
  <conditionalFormatting sqref="AA43">
    <cfRule type="cellIs" dxfId="33" priority="40" operator="greaterThan">
      <formula>51</formula>
    </cfRule>
  </conditionalFormatting>
  <conditionalFormatting sqref="AA44">
    <cfRule type="cellIs" dxfId="32" priority="39" operator="greaterThan">
      <formula>51</formula>
    </cfRule>
  </conditionalFormatting>
  <conditionalFormatting sqref="AA45">
    <cfRule type="cellIs" dxfId="31" priority="38" operator="greaterThan">
      <formula>51</formula>
    </cfRule>
  </conditionalFormatting>
  <conditionalFormatting sqref="AA46">
    <cfRule type="cellIs" dxfId="30" priority="37" operator="greaterThan">
      <formula>100</formula>
    </cfRule>
  </conditionalFormatting>
  <conditionalFormatting sqref="AA47">
    <cfRule type="cellIs" dxfId="29" priority="36" operator="greaterThan">
      <formula>100</formula>
    </cfRule>
  </conditionalFormatting>
  <conditionalFormatting sqref="AA48">
    <cfRule type="cellIs" dxfId="28" priority="35" operator="greaterThan">
      <formula>100</formula>
    </cfRule>
  </conditionalFormatting>
  <conditionalFormatting sqref="AA45">
    <cfRule type="cellIs" dxfId="27" priority="34" operator="greaterThan">
      <formula>51</formula>
    </cfRule>
  </conditionalFormatting>
  <conditionalFormatting sqref="AA45">
    <cfRule type="cellIs" dxfId="26" priority="33" operator="greaterThan">
      <formula>51</formula>
    </cfRule>
  </conditionalFormatting>
  <conditionalFormatting sqref="AA46">
    <cfRule type="cellIs" dxfId="25" priority="32" operator="greaterThan">
      <formula>51</formula>
    </cfRule>
  </conditionalFormatting>
  <conditionalFormatting sqref="AA47">
    <cfRule type="cellIs" dxfId="24" priority="31" operator="greaterThan">
      <formula>51</formula>
    </cfRule>
  </conditionalFormatting>
  <conditionalFormatting sqref="AA48">
    <cfRule type="cellIs" dxfId="23" priority="30" operator="greaterThan">
      <formula>51</formula>
    </cfRule>
  </conditionalFormatting>
  <conditionalFormatting sqref="AF30:AG32">
    <cfRule type="top10" dxfId="22" priority="29" rank="1"/>
  </conditionalFormatting>
  <conditionalFormatting sqref="AH30:AH32">
    <cfRule type="cellIs" dxfId="21" priority="25" operator="greaterThan">
      <formula>51</formula>
    </cfRule>
  </conditionalFormatting>
  <conditionalFormatting sqref="AH30:AH32">
    <cfRule type="cellIs" dxfId="20" priority="24" operator="greaterThan">
      <formula>51</formula>
    </cfRule>
  </conditionalFormatting>
  <conditionalFormatting sqref="AH35:AH36">
    <cfRule type="cellIs" dxfId="19" priority="23" operator="greaterThan">
      <formula>51</formula>
    </cfRule>
  </conditionalFormatting>
  <conditionalFormatting sqref="AH35:AH36">
    <cfRule type="cellIs" dxfId="18" priority="22" operator="greaterThan">
      <formula>51</formula>
    </cfRule>
  </conditionalFormatting>
  <conditionalFormatting sqref="AF35:AG36">
    <cfRule type="top10" dxfId="17" priority="21" rank="1"/>
  </conditionalFormatting>
  <conditionalFormatting sqref="AF39:AG40">
    <cfRule type="top10" dxfId="16" priority="19" rank="1"/>
  </conditionalFormatting>
  <conditionalFormatting sqref="AH39">
    <cfRule type="cellIs" dxfId="15" priority="17" operator="greaterThan">
      <formula>51</formula>
    </cfRule>
  </conditionalFormatting>
  <conditionalFormatting sqref="AH39">
    <cfRule type="cellIs" dxfId="14" priority="16" operator="greaterThan">
      <formula>51</formula>
    </cfRule>
  </conditionalFormatting>
  <conditionalFormatting sqref="AH40">
    <cfRule type="cellIs" dxfId="13" priority="15" operator="greaterThan">
      <formula>51</formula>
    </cfRule>
  </conditionalFormatting>
  <conditionalFormatting sqref="AH40">
    <cfRule type="cellIs" dxfId="12" priority="14" operator="greaterThan">
      <formula>51</formula>
    </cfRule>
  </conditionalFormatting>
  <conditionalFormatting sqref="AO31:AO36">
    <cfRule type="cellIs" dxfId="11" priority="9" operator="greaterThan">
      <formula>51</formula>
    </cfRule>
  </conditionalFormatting>
  <conditionalFormatting sqref="AO31:AO36">
    <cfRule type="cellIs" dxfId="10" priority="8" operator="greaterThan">
      <formula>51</formula>
    </cfRule>
  </conditionalFormatting>
  <conditionalFormatting sqref="AJ31:AJ36">
    <cfRule type="cellIs" dxfId="9" priority="7" operator="greaterThan">
      <formula>51</formula>
    </cfRule>
  </conditionalFormatting>
  <conditionalFormatting sqref="AJ31:AJ36">
    <cfRule type="cellIs" dxfId="8" priority="6" operator="greaterThan">
      <formula>51</formula>
    </cfRule>
  </conditionalFormatting>
  <conditionalFormatting sqref="A30:A48">
    <cfRule type="colorScale" priority="5">
      <colorScale>
        <cfvo type="percent" val="0"/>
        <cfvo type="percent" val="50"/>
        <cfvo type="max"/>
        <color rgb="FFF8696B"/>
        <color rgb="FFFFEB84"/>
        <color rgb="FF63BE7B"/>
      </colorScale>
    </cfRule>
  </conditionalFormatting>
  <conditionalFormatting sqref="A49:A55">
    <cfRule type="colorScale" priority="4">
      <colorScale>
        <cfvo type="percent" val="0"/>
        <cfvo type="percent" val="50"/>
        <cfvo type="max"/>
        <color rgb="FFF8696B"/>
        <color rgb="FFFFEB84"/>
        <color rgb="FF63BE7B"/>
      </colorScale>
    </cfRule>
  </conditionalFormatting>
  <conditionalFormatting sqref="A56:A74">
    <cfRule type="colorScale" priority="3">
      <colorScale>
        <cfvo type="percent" val="0"/>
        <cfvo type="percent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N33:AN36 AN31:AN3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1"/>
  <sheetViews>
    <sheetView zoomScaleNormal="100" workbookViewId="0">
      <selection activeCell="G17" sqref="G17"/>
    </sheetView>
  </sheetViews>
  <sheetFormatPr baseColWidth="10" defaultRowHeight="12.75" x14ac:dyDescent="0.2"/>
  <cols>
    <col min="1" max="1" width="1" style="206" customWidth="1"/>
    <col min="2" max="2" width="1.42578125" style="207" customWidth="1"/>
    <col min="3" max="5" width="11.140625" style="207" customWidth="1"/>
    <col min="6" max="6" width="1.7109375" style="207" customWidth="1"/>
    <col min="7" max="7" width="11.140625" style="207" customWidth="1"/>
    <col min="8" max="8" width="12.5703125" style="207" customWidth="1"/>
    <col min="9" max="9" width="11.140625" style="207" customWidth="1"/>
    <col min="10" max="10" width="1.42578125" style="207" customWidth="1"/>
    <col min="11" max="11" width="1.42578125" style="206" customWidth="1"/>
    <col min="12" max="14" width="11.140625" style="207" customWidth="1"/>
    <col min="15" max="15" width="2" style="207" customWidth="1"/>
    <col min="16" max="18" width="11.140625" style="207" customWidth="1"/>
    <col min="19" max="19" width="1.7109375" style="207" customWidth="1"/>
    <col min="20" max="20" width="1.7109375" style="206" customWidth="1"/>
    <col min="21" max="21" width="1.7109375" style="207" customWidth="1"/>
    <col min="22" max="24" width="11.140625" style="207" customWidth="1"/>
    <col min="25" max="25" width="1.42578125" style="207" customWidth="1"/>
    <col min="26" max="28" width="11.140625" style="207" customWidth="1"/>
    <col min="29" max="29" width="1.7109375" style="207" customWidth="1"/>
    <col min="30" max="33" width="11.42578125" style="206"/>
    <col min="34" max="16384" width="11.42578125" style="207"/>
  </cols>
  <sheetData>
    <row r="1" spans="2:33" s="205" customFormat="1" ht="3" customHeight="1" thickBot="1" x14ac:dyDescent="0.25"/>
    <row r="2" spans="2:33" s="206" customFormat="1" ht="7.5" customHeight="1" x14ac:dyDescent="0.2">
      <c r="B2" s="216"/>
      <c r="C2" s="217"/>
      <c r="D2" s="217"/>
      <c r="E2" s="217"/>
      <c r="F2" s="217"/>
      <c r="G2" s="217"/>
      <c r="H2" s="217"/>
      <c r="I2" s="217"/>
      <c r="J2" s="218"/>
    </row>
    <row r="3" spans="2:33" ht="9.75" customHeight="1" x14ac:dyDescent="0.2">
      <c r="B3" s="219"/>
      <c r="C3" s="220" t="s">
        <v>95</v>
      </c>
      <c r="D3" s="220"/>
      <c r="E3" s="220"/>
      <c r="F3" s="220"/>
      <c r="G3" s="220"/>
      <c r="H3" s="220"/>
      <c r="I3" s="220"/>
      <c r="J3" s="221"/>
      <c r="L3" s="206"/>
      <c r="M3" s="206"/>
      <c r="N3" s="206"/>
      <c r="T3" s="207"/>
      <c r="AD3" s="207"/>
      <c r="AE3" s="207"/>
      <c r="AF3" s="207"/>
      <c r="AG3" s="207"/>
    </row>
    <row r="4" spans="2:33" ht="9.75" customHeight="1" x14ac:dyDescent="0.2">
      <c r="B4" s="219"/>
      <c r="C4" s="220"/>
      <c r="D4" s="220"/>
      <c r="E4" s="220"/>
      <c r="F4" s="220"/>
      <c r="G4" s="220"/>
      <c r="H4" s="220"/>
      <c r="I4" s="220"/>
      <c r="J4" s="221"/>
      <c r="L4" s="206"/>
      <c r="M4" s="206"/>
      <c r="N4" s="206"/>
      <c r="T4" s="207"/>
      <c r="AD4" s="207"/>
      <c r="AE4" s="207"/>
      <c r="AF4" s="207"/>
      <c r="AG4" s="207"/>
    </row>
    <row r="5" spans="2:33" ht="9.75" customHeight="1" x14ac:dyDescent="0.2">
      <c r="B5" s="219"/>
      <c r="C5" s="220"/>
      <c r="D5" s="220"/>
      <c r="E5" s="220"/>
      <c r="F5" s="220"/>
      <c r="G5" s="220"/>
      <c r="H5" s="220"/>
      <c r="I5" s="220"/>
      <c r="J5" s="221"/>
      <c r="L5" s="206"/>
      <c r="M5" s="206"/>
      <c r="N5" s="206"/>
      <c r="T5" s="207"/>
      <c r="AD5" s="207"/>
      <c r="AE5" s="207"/>
      <c r="AF5" s="207"/>
      <c r="AG5" s="207"/>
    </row>
    <row r="6" spans="2:33" ht="9.75" customHeight="1" x14ac:dyDescent="0.2">
      <c r="B6" s="219"/>
      <c r="C6" s="220"/>
      <c r="D6" s="220"/>
      <c r="E6" s="220"/>
      <c r="F6" s="220"/>
      <c r="G6" s="220"/>
      <c r="H6" s="220"/>
      <c r="I6" s="220"/>
      <c r="J6" s="221"/>
      <c r="L6" s="206"/>
      <c r="M6" s="206"/>
      <c r="N6" s="206"/>
      <c r="T6" s="207"/>
      <c r="AD6" s="207"/>
      <c r="AE6" s="207"/>
      <c r="AF6" s="207"/>
      <c r="AG6" s="207"/>
    </row>
    <row r="7" spans="2:33" ht="9.75" customHeight="1" x14ac:dyDescent="0.2">
      <c r="B7" s="219"/>
      <c r="C7" s="222"/>
      <c r="D7" s="222"/>
      <c r="E7" s="222"/>
      <c r="F7" s="222"/>
      <c r="G7" s="222"/>
      <c r="H7" s="222"/>
      <c r="I7" s="222"/>
      <c r="J7" s="221"/>
      <c r="L7" s="206"/>
      <c r="M7" s="206"/>
      <c r="N7" s="206"/>
      <c r="T7" s="207"/>
      <c r="AD7" s="207"/>
      <c r="AE7" s="207"/>
      <c r="AF7" s="207"/>
      <c r="AG7" s="207"/>
    </row>
    <row r="8" spans="2:33" ht="29.25" customHeight="1" x14ac:dyDescent="0.4">
      <c r="B8" s="219"/>
      <c r="C8" s="223" t="str">
        <f>'90 Minutos'!J31</f>
        <v>Celta</v>
      </c>
      <c r="D8" s="223"/>
      <c r="E8" s="223"/>
      <c r="F8" s="224" t="s">
        <v>96</v>
      </c>
      <c r="G8" s="225" t="str">
        <f>'90 Minutos'!N31</f>
        <v>Sevilla</v>
      </c>
      <c r="H8" s="225"/>
      <c r="I8" s="225"/>
      <c r="J8" s="221"/>
      <c r="L8" s="206"/>
      <c r="M8" s="206"/>
      <c r="N8" s="206"/>
      <c r="T8" s="207"/>
      <c r="AD8" s="207"/>
      <c r="AE8" s="207"/>
      <c r="AF8" s="207"/>
      <c r="AG8" s="207"/>
    </row>
    <row r="9" spans="2:33" ht="4.5" customHeight="1" thickBot="1" x14ac:dyDescent="0.25">
      <c r="B9" s="219"/>
      <c r="C9" s="222"/>
      <c r="D9" s="222"/>
      <c r="E9" s="222"/>
      <c r="F9" s="222"/>
      <c r="G9" s="222"/>
      <c r="H9" s="222"/>
      <c r="I9" s="222"/>
      <c r="J9" s="221"/>
      <c r="L9" s="206"/>
      <c r="M9" s="206"/>
      <c r="N9" s="206"/>
      <c r="T9" s="207"/>
      <c r="AD9" s="207"/>
      <c r="AE9" s="207"/>
      <c r="AF9" s="207"/>
      <c r="AG9" s="207"/>
    </row>
    <row r="10" spans="2:33" ht="15" customHeight="1" x14ac:dyDescent="0.2">
      <c r="B10" s="219"/>
      <c r="C10" s="226" t="s">
        <v>32</v>
      </c>
      <c r="D10" s="227"/>
      <c r="E10" s="228"/>
      <c r="F10" s="222"/>
      <c r="G10" s="222"/>
      <c r="H10" s="222"/>
      <c r="I10" s="222"/>
      <c r="J10" s="221"/>
      <c r="L10" s="206"/>
      <c r="M10" s="206"/>
      <c r="N10" s="206"/>
      <c r="T10" s="207"/>
      <c r="AD10" s="207"/>
      <c r="AE10" s="207"/>
      <c r="AF10" s="207"/>
      <c r="AG10" s="207"/>
    </row>
    <row r="11" spans="2:33" ht="15" customHeight="1" thickBot="1" x14ac:dyDescent="0.25">
      <c r="B11" s="219"/>
      <c r="C11" s="229" t="s">
        <v>82</v>
      </c>
      <c r="D11" s="230" t="s">
        <v>90</v>
      </c>
      <c r="E11" s="231" t="s">
        <v>81</v>
      </c>
      <c r="F11" s="232"/>
      <c r="G11" s="222"/>
      <c r="H11" s="222"/>
      <c r="I11" s="222"/>
      <c r="J11" s="221"/>
      <c r="L11" s="206"/>
      <c r="M11" s="206"/>
      <c r="N11" s="206"/>
      <c r="T11" s="207"/>
      <c r="AD11" s="207"/>
      <c r="AE11" s="207"/>
      <c r="AF11" s="207"/>
      <c r="AG11" s="207"/>
    </row>
    <row r="12" spans="2:33" ht="15" customHeight="1" x14ac:dyDescent="0.2">
      <c r="B12" s="219"/>
      <c r="C12" s="233">
        <f>LARGE('90 Minutos'!$A$30:$A$74,1)</f>
        <v>9.8887403554155748E-2</v>
      </c>
      <c r="D12" s="234" t="str">
        <f>VLOOKUP(C12,'90 Minutos'!$A$30:$C$74,2,0)</f>
        <v>1-1</v>
      </c>
      <c r="E12" s="235">
        <f>VLOOKUP(C12,'90 Minutos'!$A$30:$C$74,3,0)</f>
        <v>10.11251144289929</v>
      </c>
      <c r="F12" s="232"/>
      <c r="G12" s="236" t="s">
        <v>35</v>
      </c>
      <c r="H12" s="237"/>
      <c r="I12" s="238"/>
      <c r="J12" s="221"/>
      <c r="L12" s="206"/>
      <c r="M12" s="206"/>
      <c r="N12" s="206"/>
      <c r="T12" s="207"/>
      <c r="AD12" s="207"/>
      <c r="AE12" s="207"/>
      <c r="AF12" s="207"/>
      <c r="AG12" s="207"/>
    </row>
    <row r="13" spans="2:33" ht="15" customHeight="1" x14ac:dyDescent="0.2">
      <c r="B13" s="219"/>
      <c r="C13" s="233">
        <f>LARGE('90 Minutos'!$A$30:$A$74,2)</f>
        <v>8.40542930210324E-2</v>
      </c>
      <c r="D13" s="239" t="str">
        <f>VLOOKUP(C13,'90 Minutos'!$A$30:$C$74,2,0)</f>
        <v>2-1</v>
      </c>
      <c r="E13" s="235">
        <f>VLOOKUP(C13,'90 Minutos'!$A$30:$C$74,3,0)</f>
        <v>11.897072285763869</v>
      </c>
      <c r="F13" s="232"/>
      <c r="G13" s="229" t="s">
        <v>82</v>
      </c>
      <c r="H13" s="230" t="s">
        <v>90</v>
      </c>
      <c r="I13" s="231" t="s">
        <v>81</v>
      </c>
      <c r="J13" s="221"/>
      <c r="L13" s="206"/>
      <c r="M13" s="206"/>
      <c r="N13" s="206"/>
      <c r="T13" s="207"/>
      <c r="AD13" s="207"/>
      <c r="AE13" s="207"/>
      <c r="AF13" s="207"/>
      <c r="AG13" s="207"/>
    </row>
    <row r="14" spans="2:33" ht="15" customHeight="1" x14ac:dyDescent="0.2">
      <c r="B14" s="219"/>
      <c r="C14" s="233">
        <f>LARGE('90 Minutos'!$A$30:$A$74,3)</f>
        <v>7.330156970459531E-2</v>
      </c>
      <c r="D14" s="239" t="str">
        <f>VLOOKUP(C14,'90 Minutos'!$A$30:$C$74,2,0)</f>
        <v>1-2</v>
      </c>
      <c r="E14" s="235">
        <f>VLOOKUP(C14,'90 Minutos'!$A$30:$C$74,3,0)</f>
        <v>13.642272655687885</v>
      </c>
      <c r="F14" s="222"/>
      <c r="G14" s="233">
        <f>LARGE('90 Minutos'!$E$30:$E$32,1)</f>
        <v>0.76954783403624294</v>
      </c>
      <c r="H14" s="239" t="str">
        <f>VLOOKUP(G14,'90 Minutos'!$E$30:$G$32,2,0)</f>
        <v>12</v>
      </c>
      <c r="I14" s="235">
        <f>VLOOKUP(G14,'90 Minutos'!$E$30:$G$32,3,0)</f>
        <v>1.2994643812523596</v>
      </c>
      <c r="J14" s="221"/>
      <c r="L14" s="206"/>
      <c r="M14" s="206"/>
      <c r="N14" s="206"/>
      <c r="T14" s="207"/>
      <c r="AD14" s="207"/>
      <c r="AE14" s="207"/>
      <c r="AF14" s="207"/>
      <c r="AG14" s="207"/>
    </row>
    <row r="15" spans="2:33" ht="15" customHeight="1" x14ac:dyDescent="0.2">
      <c r="B15" s="219"/>
      <c r="C15" s="233">
        <f>LARGE('90 Minutos'!$A$30:$A$74,4)</f>
        <v>7.2703550731223754E-2</v>
      </c>
      <c r="D15" s="239" t="str">
        <f>VLOOKUP(C15,'90 Minutos'!$A$30:$C$74,2,0)</f>
        <v>1-0</v>
      </c>
      <c r="E15" s="235">
        <f>VLOOKUP(C15,'90 Minutos'!$A$30:$C$74,3,0)</f>
        <v>13.754486403241559</v>
      </c>
      <c r="F15" s="222"/>
      <c r="G15" s="233">
        <f>LARGE('90 Minutos'!$E$30:$E$32,2)</f>
        <v>0.63884085756867726</v>
      </c>
      <c r="H15" s="239" t="str">
        <f>VLOOKUP(G15,'90 Minutos'!$E$30:$G$32,2,0)</f>
        <v>1X</v>
      </c>
      <c r="I15" s="235">
        <f>VLOOKUP(G15,'90 Minutos'!$E$30:$G$32,3,0)</f>
        <v>1.5653350723462409</v>
      </c>
      <c r="J15" s="221"/>
      <c r="L15" s="206"/>
      <c r="M15" s="206"/>
      <c r="N15" s="206"/>
      <c r="T15" s="207"/>
      <c r="AD15" s="207"/>
      <c r="AE15" s="207"/>
      <c r="AF15" s="207"/>
      <c r="AG15" s="207"/>
    </row>
    <row r="16" spans="2:33" ht="15" customHeight="1" thickBot="1" x14ac:dyDescent="0.25">
      <c r="B16" s="219"/>
      <c r="C16" s="240">
        <f>LARGE('90 Minutos'!$A$30:$A$74,5)</f>
        <v>6.2306334248906026E-2</v>
      </c>
      <c r="D16" s="241" t="str">
        <f>VLOOKUP(C16,'90 Minutos'!$A$30:$C$74,2,0)</f>
        <v>2-2</v>
      </c>
      <c r="E16" s="242">
        <f>VLOOKUP(C16,'90 Minutos'!$A$30:$C$74,3,0)</f>
        <v>16.049732536103388</v>
      </c>
      <c r="F16" s="222"/>
      <c r="G16" s="240">
        <f>LARGE('90 Minutos'!$E$30:$E$32,3)</f>
        <v>0.58638935335384901</v>
      </c>
      <c r="H16" s="241" t="str">
        <f>VLOOKUP(G16,'90 Minutos'!$E$30:$G$32,2,0)</f>
        <v>X2</v>
      </c>
      <c r="I16" s="242">
        <f>VLOOKUP(G16,'90 Minutos'!$E$30:$G$32,3,0)</f>
        <v>1.7053515625420352</v>
      </c>
      <c r="J16" s="221"/>
      <c r="L16" s="206"/>
      <c r="M16" s="206"/>
      <c r="N16" s="206"/>
      <c r="T16" s="207"/>
      <c r="AD16" s="207"/>
      <c r="AE16" s="207"/>
      <c r="AF16" s="207"/>
      <c r="AG16" s="207"/>
    </row>
    <row r="17" spans="2:33" ht="15" customHeight="1" thickBot="1" x14ac:dyDescent="0.25">
      <c r="B17" s="219"/>
      <c r="C17" s="222"/>
      <c r="D17" s="232"/>
      <c r="E17" s="232"/>
      <c r="F17" s="222"/>
      <c r="G17" s="222"/>
      <c r="H17" s="222"/>
      <c r="I17" s="222"/>
      <c r="J17" s="221"/>
      <c r="L17" s="206"/>
      <c r="M17" s="206"/>
      <c r="N17" s="206"/>
      <c r="T17" s="207"/>
      <c r="AD17" s="207"/>
      <c r="AE17" s="207"/>
      <c r="AF17" s="207"/>
      <c r="AG17" s="207"/>
    </row>
    <row r="18" spans="2:33" ht="15" customHeight="1" x14ac:dyDescent="0.2">
      <c r="B18" s="219"/>
      <c r="C18" s="236" t="s">
        <v>88</v>
      </c>
      <c r="D18" s="237"/>
      <c r="E18" s="238"/>
      <c r="F18" s="222"/>
      <c r="G18" s="236" t="s">
        <v>89</v>
      </c>
      <c r="H18" s="237"/>
      <c r="I18" s="238"/>
      <c r="J18" s="221"/>
      <c r="L18" s="206"/>
      <c r="M18" s="206"/>
      <c r="N18" s="206"/>
      <c r="T18" s="207"/>
      <c r="AD18" s="207"/>
      <c r="AE18" s="207"/>
      <c r="AF18" s="207"/>
      <c r="AG18" s="207"/>
    </row>
    <row r="19" spans="2:33" ht="15" customHeight="1" x14ac:dyDescent="0.2">
      <c r="B19" s="219"/>
      <c r="C19" s="233">
        <f>'90 Minutos'!E43</f>
        <v>4.2766794547778667E-2</v>
      </c>
      <c r="D19" s="139">
        <v>-0.5</v>
      </c>
      <c r="E19" s="243">
        <f>'90 Minutos'!G43</f>
        <v>23.382626885510657</v>
      </c>
      <c r="F19" s="222"/>
      <c r="G19" s="244">
        <f>'90 Minutos'!E51</f>
        <v>0.95723320545222135</v>
      </c>
      <c r="H19" s="245" t="s">
        <v>45</v>
      </c>
      <c r="I19" s="243">
        <f>'90 Minutos'!G51</f>
        <v>1.0446775083691069</v>
      </c>
      <c r="J19" s="221"/>
      <c r="L19" s="206"/>
      <c r="M19" s="206"/>
      <c r="N19" s="206"/>
      <c r="T19" s="207"/>
      <c r="AD19" s="207"/>
      <c r="AE19" s="207"/>
      <c r="AF19" s="207"/>
      <c r="AG19" s="207"/>
    </row>
    <row r="20" spans="2:33" ht="15" customHeight="1" x14ac:dyDescent="0.2">
      <c r="B20" s="219"/>
      <c r="C20" s="233">
        <f>'90 Minutos'!E44</f>
        <v>0.17363940619321167</v>
      </c>
      <c r="D20" s="139">
        <v>-1.5</v>
      </c>
      <c r="E20" s="243">
        <f>'90 Minutos'!G44</f>
        <v>5.7590613900584415</v>
      </c>
      <c r="F20" s="222"/>
      <c r="G20" s="246">
        <f>'90 Minutos'!E52</f>
        <v>0.82636059380678839</v>
      </c>
      <c r="H20" s="245" t="s">
        <v>46</v>
      </c>
      <c r="I20" s="243">
        <f>'90 Minutos'!G52</f>
        <v>1.210125467616151</v>
      </c>
      <c r="J20" s="221"/>
      <c r="L20" s="206"/>
      <c r="M20" s="206"/>
      <c r="N20" s="206"/>
      <c r="T20" s="207"/>
      <c r="AD20" s="207"/>
      <c r="AE20" s="207"/>
      <c r="AF20" s="207"/>
      <c r="AG20" s="207"/>
    </row>
    <row r="21" spans="2:33" ht="15" customHeight="1" x14ac:dyDescent="0.2">
      <c r="B21" s="219"/>
      <c r="C21" s="244">
        <f>'90 Minutos'!E45</f>
        <v>0.37744339828337542</v>
      </c>
      <c r="D21" s="139">
        <v>-2.5</v>
      </c>
      <c r="E21" s="243">
        <f>'90 Minutos'!G45</f>
        <v>2.6494038696875659</v>
      </c>
      <c r="F21" s="222"/>
      <c r="G21" s="246">
        <f>'90 Minutos'!E53</f>
        <v>0.62255660171662464</v>
      </c>
      <c r="H21" s="245" t="s">
        <v>47</v>
      </c>
      <c r="I21" s="243">
        <f>'90 Minutos'!G53</f>
        <v>1.6062796495011389</v>
      </c>
      <c r="J21" s="221"/>
      <c r="L21" s="206"/>
      <c r="M21" s="206"/>
      <c r="N21" s="206"/>
      <c r="T21" s="207"/>
      <c r="AD21" s="207"/>
      <c r="AE21" s="207"/>
      <c r="AF21" s="207"/>
      <c r="AG21" s="207"/>
    </row>
    <row r="22" spans="2:33" ht="15" customHeight="1" x14ac:dyDescent="0.2">
      <c r="B22" s="219"/>
      <c r="C22" s="244">
        <f>'90 Minutos'!E46</f>
        <v>0.5930453383709493</v>
      </c>
      <c r="D22" s="139">
        <v>-3.5</v>
      </c>
      <c r="E22" s="243">
        <f>'90 Minutos'!G46</f>
        <v>1.6862117199115405</v>
      </c>
      <c r="F22" s="222"/>
      <c r="G22" s="246">
        <f>'90 Minutos'!E54</f>
        <v>0.4069546616290507</v>
      </c>
      <c r="H22" s="245" t="s">
        <v>48</v>
      </c>
      <c r="I22" s="243">
        <f>'90 Minutos'!G54</f>
        <v>2.4572761889419636</v>
      </c>
      <c r="J22" s="221"/>
      <c r="L22" s="206"/>
      <c r="M22" s="206"/>
      <c r="N22" s="206"/>
      <c r="T22" s="207"/>
      <c r="AD22" s="207"/>
      <c r="AE22" s="207"/>
      <c r="AF22" s="207"/>
      <c r="AG22" s="207"/>
    </row>
    <row r="23" spans="2:33" ht="15" customHeight="1" x14ac:dyDescent="0.2">
      <c r="B23" s="219"/>
      <c r="C23" s="244">
        <f>'90 Minutos'!E47</f>
        <v>0.79006159973497958</v>
      </c>
      <c r="D23" s="139">
        <v>-4.5</v>
      </c>
      <c r="E23" s="243">
        <f>'90 Minutos'!G47</f>
        <v>1.2657240907993033</v>
      </c>
      <c r="F23" s="222"/>
      <c r="G23" s="246">
        <f>'90 Minutos'!E55</f>
        <v>0.20993840026502042</v>
      </c>
      <c r="H23" s="245" t="s">
        <v>49</v>
      </c>
      <c r="I23" s="243">
        <f>'90 Minutos'!G55</f>
        <v>4.7633019911442007</v>
      </c>
      <c r="J23" s="221"/>
      <c r="L23" s="206"/>
      <c r="M23" s="206"/>
      <c r="N23" s="206"/>
      <c r="T23" s="207"/>
      <c r="AD23" s="207"/>
      <c r="AE23" s="207"/>
      <c r="AF23" s="207"/>
      <c r="AG23" s="207"/>
    </row>
    <row r="24" spans="2:33" ht="15" customHeight="1" thickBot="1" x14ac:dyDescent="0.25">
      <c r="B24" s="219"/>
      <c r="C24" s="247">
        <f>'90 Minutos'!E48</f>
        <v>0.87372422955113349</v>
      </c>
      <c r="D24" s="158">
        <v>-5.5</v>
      </c>
      <c r="E24" s="248">
        <f>'90 Minutos'!G48</f>
        <v>1.1445258883500797</v>
      </c>
      <c r="F24" s="222"/>
      <c r="G24" s="249">
        <f>'90 Minutos'!E56</f>
        <v>0.12627577044886651</v>
      </c>
      <c r="H24" s="250" t="s">
        <v>50</v>
      </c>
      <c r="I24" s="248">
        <f>'90 Minutos'!G56</f>
        <v>7.919175598338045</v>
      </c>
      <c r="J24" s="221"/>
      <c r="L24" s="206"/>
      <c r="M24" s="206"/>
      <c r="N24" s="206"/>
      <c r="T24" s="207"/>
      <c r="AD24" s="207"/>
      <c r="AE24" s="207"/>
      <c r="AF24" s="207"/>
      <c r="AG24" s="207"/>
    </row>
    <row r="25" spans="2:33" ht="15" customHeight="1" thickBot="1" x14ac:dyDescent="0.25">
      <c r="B25" s="219"/>
      <c r="C25" s="222"/>
      <c r="D25" s="222"/>
      <c r="E25" s="222"/>
      <c r="F25" s="222"/>
      <c r="G25" s="222"/>
      <c r="H25" s="222"/>
      <c r="I25" s="222"/>
      <c r="J25" s="221"/>
      <c r="L25" s="206"/>
      <c r="M25" s="206"/>
      <c r="N25" s="206"/>
      <c r="T25" s="207"/>
      <c r="AD25" s="207"/>
      <c r="AE25" s="207"/>
      <c r="AF25" s="207"/>
      <c r="AG25" s="207"/>
    </row>
    <row r="26" spans="2:33" ht="15" customHeight="1" x14ac:dyDescent="0.2">
      <c r="B26" s="219"/>
      <c r="C26" s="226" t="s">
        <v>91</v>
      </c>
      <c r="D26" s="227"/>
      <c r="E26" s="228"/>
      <c r="F26" s="222"/>
      <c r="G26" s="236" t="s">
        <v>38</v>
      </c>
      <c r="H26" s="237"/>
      <c r="I26" s="238"/>
      <c r="J26" s="221"/>
      <c r="L26" s="206"/>
      <c r="M26" s="206"/>
      <c r="N26" s="206"/>
      <c r="T26" s="207"/>
      <c r="AD26" s="207"/>
      <c r="AE26" s="207"/>
      <c r="AF26" s="207"/>
      <c r="AG26" s="207"/>
    </row>
    <row r="27" spans="2:33" ht="15" customHeight="1" thickBot="1" x14ac:dyDescent="0.25">
      <c r="B27" s="219"/>
      <c r="C27" s="249">
        <f>LARGE('90 Minutos'!E39:E40,1)</f>
        <v>0.62684676861170097</v>
      </c>
      <c r="D27" s="251" t="str">
        <f>VLOOKUP(C27,'90 Minutos'!E39:G40,2,0)</f>
        <v>SI</v>
      </c>
      <c r="E27" s="242">
        <f>VLOOKUP(C27,'90 Minutos'!E39:G40,3,0)</f>
        <v>1.5952862008282092</v>
      </c>
      <c r="F27" s="222"/>
      <c r="G27" s="249">
        <f>LARGE('90 Minutos'!E35:E36,1)</f>
        <v>0.50089945922333245</v>
      </c>
      <c r="H27" s="251" t="str">
        <f>VLOOKUP(G27,'90 Minutos'!E35:G36,2,0)</f>
        <v>PAR</v>
      </c>
      <c r="I27" s="242">
        <f>VLOOKUP(G27,'90 Minutos'!E35:G36,3,0)</f>
        <v>1.9964086236997456</v>
      </c>
      <c r="J27" s="221"/>
      <c r="L27" s="206"/>
      <c r="M27" s="206"/>
      <c r="N27" s="206"/>
      <c r="T27" s="207"/>
      <c r="AD27" s="207"/>
      <c r="AE27" s="207"/>
      <c r="AF27" s="207"/>
      <c r="AG27" s="207"/>
    </row>
    <row r="28" spans="2:33" ht="15.75" customHeight="1" thickBot="1" x14ac:dyDescent="0.25">
      <c r="B28" s="219"/>
      <c r="C28" s="222"/>
      <c r="D28" s="222"/>
      <c r="E28" s="222"/>
      <c r="F28" s="222"/>
      <c r="G28" s="222"/>
      <c r="H28" s="222"/>
      <c r="I28" s="222"/>
      <c r="J28" s="221"/>
      <c r="L28" s="206"/>
      <c r="M28" s="206"/>
      <c r="N28" s="206"/>
      <c r="T28" s="207"/>
      <c r="AD28" s="207"/>
      <c r="AE28" s="207"/>
      <c r="AF28" s="207"/>
      <c r="AG28" s="207"/>
    </row>
    <row r="29" spans="2:33" ht="15.75" customHeight="1" x14ac:dyDescent="0.2">
      <c r="B29" s="219"/>
      <c r="C29" s="236" t="s">
        <v>92</v>
      </c>
      <c r="D29" s="237"/>
      <c r="E29" s="238"/>
      <c r="F29" s="222"/>
      <c r="G29" s="222"/>
      <c r="H29" s="222"/>
      <c r="I29" s="222"/>
      <c r="J29" s="221"/>
      <c r="L29" s="206"/>
      <c r="M29" s="206"/>
      <c r="N29" s="206"/>
      <c r="T29" s="207"/>
      <c r="AD29" s="207"/>
      <c r="AE29" s="207"/>
      <c r="AF29" s="207"/>
      <c r="AG29" s="207"/>
    </row>
    <row r="30" spans="2:33" ht="15.75" customHeight="1" x14ac:dyDescent="0.2">
      <c r="B30" s="219"/>
      <c r="C30" s="246">
        <f>LARGE('90 Minutos'!$E$59:$E$61,1)</f>
        <v>0.41012934328533046</v>
      </c>
      <c r="D30" s="239">
        <f>VLOOKUP(C30,'90 Minutos'!$E$59:$G$61,2,0)</f>
        <v>1</v>
      </c>
      <c r="E30" s="235">
        <f>VLOOKUP(C30,'90 Minutos'!$E$59:$G$61,3,0)</f>
        <v>2.4382551903980483</v>
      </c>
      <c r="F30" s="222"/>
      <c r="G30" s="222"/>
      <c r="H30" s="222"/>
      <c r="I30" s="222"/>
      <c r="J30" s="221"/>
      <c r="L30" s="206"/>
      <c r="M30" s="206"/>
      <c r="N30" s="206"/>
      <c r="T30" s="207"/>
      <c r="AD30" s="207"/>
      <c r="AE30" s="207"/>
      <c r="AF30" s="207"/>
      <c r="AG30" s="207"/>
    </row>
    <row r="31" spans="2:33" ht="15.75" customHeight="1" x14ac:dyDescent="0.2">
      <c r="B31" s="219"/>
      <c r="C31" s="246">
        <f>LARGE('90 Minutos'!$E$59:$E$61,2)</f>
        <v>0.35767783907050221</v>
      </c>
      <c r="D31" s="239" t="str">
        <f>VLOOKUP(C31,'90 Minutos'!$E$59:$G$61,2,0)</f>
        <v>2</v>
      </c>
      <c r="E31" s="235">
        <f>VLOOKUP(C31,'90 Minutos'!$E$59:$G$61,3,0)</f>
        <v>2.7958120150767547</v>
      </c>
      <c r="F31" s="222"/>
      <c r="G31" s="222"/>
      <c r="H31" s="222"/>
      <c r="I31" s="222"/>
      <c r="J31" s="221"/>
      <c r="L31" s="206"/>
      <c r="M31" s="206"/>
      <c r="N31" s="206"/>
      <c r="T31" s="207"/>
      <c r="AD31" s="207"/>
      <c r="AE31" s="207"/>
      <c r="AF31" s="207"/>
      <c r="AG31" s="207"/>
    </row>
    <row r="32" spans="2:33" ht="15.75" customHeight="1" thickBot="1" x14ac:dyDescent="0.25">
      <c r="B32" s="219"/>
      <c r="C32" s="249">
        <f>LARGE('90 Minutos'!$E$59:$E$61,3)</f>
        <v>0.22697086260293656</v>
      </c>
      <c r="D32" s="241" t="str">
        <f>VLOOKUP(C32,'90 Minutos'!$E$59:$G$61,2,0)</f>
        <v>X</v>
      </c>
      <c r="E32" s="242">
        <f>VLOOKUP(C32,'90 Minutos'!$E$59:$G$61,3,0)</f>
        <v>4.4058518724907998</v>
      </c>
      <c r="F32" s="222"/>
      <c r="G32" s="222"/>
      <c r="H32" s="222"/>
      <c r="I32" s="222"/>
      <c r="J32" s="221"/>
      <c r="L32" s="206"/>
      <c r="M32" s="206"/>
      <c r="N32" s="206"/>
      <c r="T32" s="207"/>
      <c r="AD32" s="207"/>
      <c r="AE32" s="207"/>
      <c r="AF32" s="207"/>
      <c r="AG32" s="207"/>
    </row>
    <row r="33" spans="2:33" ht="7.5" customHeight="1" thickBot="1" x14ac:dyDescent="0.25">
      <c r="B33" s="252"/>
      <c r="C33" s="253"/>
      <c r="D33" s="254"/>
      <c r="E33" s="253"/>
      <c r="F33" s="253"/>
      <c r="G33" s="253"/>
      <c r="H33" s="253"/>
      <c r="I33" s="253"/>
      <c r="J33" s="255"/>
      <c r="L33" s="206"/>
      <c r="M33" s="206"/>
      <c r="N33" s="206"/>
      <c r="T33" s="207"/>
      <c r="AD33" s="207"/>
      <c r="AE33" s="207"/>
      <c r="AF33" s="207"/>
      <c r="AG33" s="207"/>
    </row>
    <row r="34" spans="2:33" s="206" customFormat="1" ht="15.75" customHeight="1" x14ac:dyDescent="0.2">
      <c r="D34" s="208"/>
    </row>
    <row r="35" spans="2:33" s="206" customFormat="1" ht="15.75" customHeight="1" x14ac:dyDescent="0.2">
      <c r="D35" s="208"/>
    </row>
    <row r="36" spans="2:33" s="206" customFormat="1" ht="15.75" customHeight="1" x14ac:dyDescent="0.2">
      <c r="D36" s="208"/>
    </row>
    <row r="37" spans="2:33" s="206" customFormat="1" ht="15" customHeight="1" x14ac:dyDescent="0.2"/>
    <row r="38" spans="2:33" s="206" customFormat="1" ht="15" customHeight="1" x14ac:dyDescent="0.2"/>
    <row r="39" spans="2:33" s="206" customFormat="1" ht="15" customHeight="1" x14ac:dyDescent="0.2"/>
    <row r="40" spans="2:33" s="206" customFormat="1" ht="15" customHeight="1" x14ac:dyDescent="0.2"/>
    <row r="41" spans="2:33" s="206" customFormat="1" x14ac:dyDescent="0.2"/>
    <row r="42" spans="2:33" s="206" customFormat="1" x14ac:dyDescent="0.2"/>
    <row r="43" spans="2:33" s="206" customFormat="1" x14ac:dyDescent="0.2"/>
    <row r="44" spans="2:33" s="206" customFormat="1" x14ac:dyDescent="0.2"/>
    <row r="45" spans="2:33" s="206" customFormat="1" x14ac:dyDescent="0.2"/>
    <row r="46" spans="2:33" s="206" customFormat="1" x14ac:dyDescent="0.2"/>
    <row r="47" spans="2:33" s="206" customFormat="1" x14ac:dyDescent="0.2"/>
    <row r="48" spans="2:33" s="206" customFormat="1" x14ac:dyDescent="0.2"/>
    <row r="49" s="206" customFormat="1" x14ac:dyDescent="0.2"/>
    <row r="50" s="206" customFormat="1" x14ac:dyDescent="0.2"/>
    <row r="51" s="206" customFormat="1" x14ac:dyDescent="0.2"/>
    <row r="52" s="206" customFormat="1" x14ac:dyDescent="0.2"/>
    <row r="53" s="206" customFormat="1" x14ac:dyDescent="0.2"/>
    <row r="54" s="206" customFormat="1" x14ac:dyDescent="0.2"/>
    <row r="55" s="206" customFormat="1" x14ac:dyDescent="0.2"/>
    <row r="56" s="206" customFormat="1" x14ac:dyDescent="0.2"/>
    <row r="57" s="206" customFormat="1" x14ac:dyDescent="0.2"/>
    <row r="58" s="206" customFormat="1" x14ac:dyDescent="0.2"/>
    <row r="59" s="206" customFormat="1" x14ac:dyDescent="0.2"/>
    <row r="60" s="206" customFormat="1" x14ac:dyDescent="0.2"/>
    <row r="61" s="206" customFormat="1" x14ac:dyDescent="0.2"/>
    <row r="62" s="206" customFormat="1" x14ac:dyDescent="0.2"/>
    <row r="63" s="206" customFormat="1" x14ac:dyDescent="0.2"/>
    <row r="64" s="206" customFormat="1" x14ac:dyDescent="0.2"/>
    <row r="65" s="206" customFormat="1" x14ac:dyDescent="0.2"/>
    <row r="66" s="206" customFormat="1" x14ac:dyDescent="0.2"/>
    <row r="67" s="206" customFormat="1" x14ac:dyDescent="0.2"/>
    <row r="68" s="206" customFormat="1" x14ac:dyDescent="0.2"/>
    <row r="69" s="206" customFormat="1" x14ac:dyDescent="0.2"/>
    <row r="70" s="206" customFormat="1" x14ac:dyDescent="0.2"/>
    <row r="71" s="206" customFormat="1" x14ac:dyDescent="0.2"/>
    <row r="72" s="206" customFormat="1" x14ac:dyDescent="0.2"/>
    <row r="73" s="206" customFormat="1" x14ac:dyDescent="0.2"/>
    <row r="74" s="206" customFormat="1" x14ac:dyDescent="0.2"/>
    <row r="75" s="206" customFormat="1" x14ac:dyDescent="0.2"/>
    <row r="76" s="206" customFormat="1" x14ac:dyDescent="0.2"/>
    <row r="77" s="206" customFormat="1" x14ac:dyDescent="0.2"/>
    <row r="78" s="206" customFormat="1" x14ac:dyDescent="0.2"/>
    <row r="79" s="206" customFormat="1" x14ac:dyDescent="0.2"/>
    <row r="80" s="206" customFormat="1" x14ac:dyDescent="0.2"/>
    <row r="81" s="206" customFormat="1" x14ac:dyDescent="0.2"/>
    <row r="82" s="206" customFormat="1" x14ac:dyDescent="0.2"/>
    <row r="83" s="206" customFormat="1" x14ac:dyDescent="0.2"/>
    <row r="84" s="206" customFormat="1" x14ac:dyDescent="0.2"/>
    <row r="85" s="206" customFormat="1" x14ac:dyDescent="0.2"/>
    <row r="86" s="206" customFormat="1" x14ac:dyDescent="0.2"/>
    <row r="87" s="206" customFormat="1" x14ac:dyDescent="0.2"/>
    <row r="88" s="206" customFormat="1" x14ac:dyDescent="0.2"/>
    <row r="89" s="206" customFormat="1" x14ac:dyDescent="0.2"/>
    <row r="90" s="206" customFormat="1" x14ac:dyDescent="0.2"/>
    <row r="91" s="206" customFormat="1" x14ac:dyDescent="0.2"/>
    <row r="92" s="206" customFormat="1" x14ac:dyDescent="0.2"/>
    <row r="93" s="206" customFormat="1" x14ac:dyDescent="0.2"/>
    <row r="94" s="206" customFormat="1" x14ac:dyDescent="0.2"/>
    <row r="95" s="206" customFormat="1" x14ac:dyDescent="0.2"/>
    <row r="96" s="206" customFormat="1" x14ac:dyDescent="0.2"/>
    <row r="97" s="206" customFormat="1" x14ac:dyDescent="0.2"/>
    <row r="98" s="206" customFormat="1" x14ac:dyDescent="0.2"/>
    <row r="99" s="206" customFormat="1" x14ac:dyDescent="0.2"/>
    <row r="100" s="206" customFormat="1" x14ac:dyDescent="0.2"/>
    <row r="101" s="206" customFormat="1" x14ac:dyDescent="0.2"/>
    <row r="102" s="206" customFormat="1" x14ac:dyDescent="0.2"/>
    <row r="103" s="206" customFormat="1" x14ac:dyDescent="0.2"/>
    <row r="104" s="206" customFormat="1" x14ac:dyDescent="0.2"/>
    <row r="105" s="206" customFormat="1" x14ac:dyDescent="0.2"/>
    <row r="106" s="206" customFormat="1" x14ac:dyDescent="0.2"/>
    <row r="107" s="206" customFormat="1" x14ac:dyDescent="0.2"/>
    <row r="108" s="206" customFormat="1" x14ac:dyDescent="0.2"/>
    <row r="109" s="206" customFormat="1" x14ac:dyDescent="0.2"/>
    <row r="110" s="206" customFormat="1" x14ac:dyDescent="0.2"/>
    <row r="111" s="206" customFormat="1" x14ac:dyDescent="0.2"/>
    <row r="112" s="206" customFormat="1" x14ac:dyDescent="0.2"/>
    <row r="113" s="206" customFormat="1" x14ac:dyDescent="0.2"/>
    <row r="114" s="206" customFormat="1" x14ac:dyDescent="0.2"/>
    <row r="115" s="206" customFormat="1" x14ac:dyDescent="0.2"/>
    <row r="116" s="206" customFormat="1" x14ac:dyDescent="0.2"/>
    <row r="117" s="206" customFormat="1" x14ac:dyDescent="0.2"/>
    <row r="118" s="206" customFormat="1" x14ac:dyDescent="0.2"/>
    <row r="119" s="206" customFormat="1" x14ac:dyDescent="0.2"/>
    <row r="120" s="206" customFormat="1" x14ac:dyDescent="0.2"/>
    <row r="121" s="206" customFormat="1" x14ac:dyDescent="0.2"/>
    <row r="122" s="206" customFormat="1" x14ac:dyDescent="0.2"/>
    <row r="123" s="206" customFormat="1" x14ac:dyDescent="0.2"/>
    <row r="124" s="206" customFormat="1" x14ac:dyDescent="0.2"/>
    <row r="125" s="206" customFormat="1" x14ac:dyDescent="0.2"/>
    <row r="126" s="206" customFormat="1" x14ac:dyDescent="0.2"/>
    <row r="127" s="206" customFormat="1" x14ac:dyDescent="0.2"/>
    <row r="128" s="206" customFormat="1" x14ac:dyDescent="0.2"/>
    <row r="129" s="206" customFormat="1" x14ac:dyDescent="0.2"/>
    <row r="130" s="206" customFormat="1" x14ac:dyDescent="0.2"/>
    <row r="131" s="206" customFormat="1" x14ac:dyDescent="0.2"/>
    <row r="132" s="206" customFormat="1" x14ac:dyDescent="0.2"/>
    <row r="133" s="206" customFormat="1" x14ac:dyDescent="0.2"/>
    <row r="134" s="206" customFormat="1" x14ac:dyDescent="0.2"/>
    <row r="135" s="206" customFormat="1" x14ac:dyDescent="0.2"/>
    <row r="136" s="206" customFormat="1" x14ac:dyDescent="0.2"/>
    <row r="137" s="206" customFormat="1" x14ac:dyDescent="0.2"/>
    <row r="138" s="206" customFormat="1" x14ac:dyDescent="0.2"/>
    <row r="139" s="206" customFormat="1" x14ac:dyDescent="0.2"/>
    <row r="140" s="206" customFormat="1" x14ac:dyDescent="0.2"/>
    <row r="141" s="206" customFormat="1" x14ac:dyDescent="0.2"/>
  </sheetData>
  <sheetProtection algorithmName="SHA-512" hashValue="YdjpwGMzIqmhora/SCrnhOMOSp0LAkO3D7SFGqE0zY5CunObunsJAj+erITRGUk+uK08FelkZbztxs5sd/f31Q==" saltValue="UogViJJ/9xxxqO1jScRBhQ==" spinCount="100000" sheet="1" objects="1" scenarios="1"/>
  <mergeCells count="10">
    <mergeCell ref="C8:E8"/>
    <mergeCell ref="G8:I8"/>
    <mergeCell ref="C29:E29"/>
    <mergeCell ref="C3:I6"/>
    <mergeCell ref="G12:I12"/>
    <mergeCell ref="C10:E10"/>
    <mergeCell ref="G26:I26"/>
    <mergeCell ref="C26:E26"/>
    <mergeCell ref="C18:E18"/>
    <mergeCell ref="G18:I18"/>
  </mergeCells>
  <conditionalFormatting sqref="C19:C24">
    <cfRule type="cellIs" dxfId="7" priority="53" operator="greaterThan">
      <formula>0.7</formula>
    </cfRule>
    <cfRule type="cellIs" dxfId="6" priority="56" operator="lessThan">
      <formula>0.5</formula>
    </cfRule>
  </conditionalFormatting>
  <conditionalFormatting sqref="G19:G24">
    <cfRule type="cellIs" dxfId="5" priority="49" operator="greaterThan">
      <formula>0.7</formula>
    </cfRule>
    <cfRule type="cellIs" dxfId="4" priority="50" operator="lessThan">
      <formula>0.5</formula>
    </cfRule>
  </conditionalFormatting>
  <conditionalFormatting sqref="E19:E24">
    <cfRule type="cellIs" dxfId="3" priority="9" operator="lessThan">
      <formula>1.42</formula>
    </cfRule>
    <cfRule type="cellIs" dxfId="2" priority="10" operator="greaterThan">
      <formula>2</formula>
    </cfRule>
  </conditionalFormatting>
  <conditionalFormatting sqref="I19:I24">
    <cfRule type="cellIs" dxfId="1" priority="11" operator="lessThan">
      <formula>1.42</formula>
    </cfRule>
    <cfRule type="cellIs" dxfId="0" priority="12" operator="greaterThan">
      <formula>2</formula>
    </cfRule>
  </conditionalFormatting>
  <pageMargins left="0.7" right="0.7" top="0.75" bottom="0.75" header="0.3" footer="0.3"/>
  <ignoredErrors>
    <ignoredError sqref="H19:H24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90 Minutos</vt:lpstr>
      <vt:lpstr>Informe-Resumen</vt:lpstr>
    </vt:vector>
  </TitlesOfParts>
  <Company>mais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Usuario</cp:lastModifiedBy>
  <dcterms:created xsi:type="dcterms:W3CDTF">2006-12-02T23:51:54Z</dcterms:created>
  <dcterms:modified xsi:type="dcterms:W3CDTF">2015-09-01T16:10:22Z</dcterms:modified>
</cp:coreProperties>
</file>