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خط لوله گاز ششم  سراسری\نرم افزار\اکسل نرم افزار\"/>
    </mc:Choice>
  </mc:AlternateContent>
  <bookViews>
    <workbookView xWindow="0" yWindow="0" windowWidth="20400" windowHeight="7320" activeTab="1"/>
  </bookViews>
  <sheets>
    <sheet name="سهم گستره ها" sheetId="1" r:id="rId1"/>
    <sheet name="Sheet2" sheetId="2" r:id="rId2"/>
  </sheets>
  <externalReferences>
    <externalReference r:id="rId3"/>
    <externalReference r:id="rId4"/>
  </externalReferences>
  <definedNames>
    <definedName name="Annuity">[1]مفروضات!$C$20</definedName>
    <definedName name="Exchange_rate">[2]همینطوری!$J$2</definedName>
    <definedName name="Payment_delay">[1]مفروضات!$C$22</definedName>
    <definedName name="TC_Operation_date">'[1]جرایم توربوکمپرسورها'!$F$9</definedName>
    <definedName name="Total_investment">Sheet2!$D$1</definedName>
    <definedName name="تاریخ_اولین_قسط">"1396/9/17"</definedName>
    <definedName name="تاریخ_قطعیت">"1394/11/12"</definedName>
    <definedName name="نرخ_جریمه_دلاری">0.00797414042890376</definedName>
    <definedName name="نرخ_جریمه_ریالی">0.0180875824835107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19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E20" i="2"/>
  <c r="D20" i="2"/>
  <c r="F20" i="2"/>
  <c r="E21" i="2"/>
  <c r="D21" i="2"/>
  <c r="F21" i="2"/>
  <c r="E22" i="2"/>
  <c r="D22" i="2"/>
  <c r="F22" i="2"/>
  <c r="E23" i="2"/>
  <c r="D23" i="2"/>
  <c r="F23" i="2"/>
  <c r="E24" i="2"/>
  <c r="D24" i="2"/>
  <c r="F24" i="2"/>
  <c r="E25" i="2"/>
  <c r="D25" i="2"/>
  <c r="F25" i="2"/>
  <c r="E26" i="2"/>
  <c r="D26" i="2"/>
  <c r="F26" i="2"/>
  <c r="E27" i="2"/>
  <c r="D27" i="2"/>
  <c r="F27" i="2"/>
  <c r="E28" i="2"/>
  <c r="D28" i="2"/>
  <c r="F28" i="2"/>
  <c r="E29" i="2"/>
  <c r="D29" i="2"/>
  <c r="F29" i="2"/>
  <c r="D30" i="2"/>
  <c r="F30" i="2"/>
  <c r="E31" i="2"/>
  <c r="D31" i="2"/>
  <c r="F31" i="2"/>
  <c r="E32" i="2"/>
  <c r="D32" i="2"/>
  <c r="F32" i="2"/>
  <c r="E33" i="2"/>
  <c r="D33" i="2"/>
  <c r="F33" i="2"/>
  <c r="E34" i="2"/>
  <c r="D34" i="2"/>
  <c r="F34" i="2"/>
  <c r="E35" i="2"/>
  <c r="D35" i="2"/>
  <c r="F35" i="2"/>
  <c r="E36" i="2"/>
  <c r="D36" i="2"/>
  <c r="F36" i="2"/>
  <c r="E37" i="2"/>
  <c r="D37" i="2"/>
  <c r="F37" i="2"/>
  <c r="E38" i="2"/>
  <c r="D38" i="2"/>
  <c r="F38" i="2"/>
  <c r="E39" i="2"/>
  <c r="D39" i="2"/>
  <c r="F39" i="2"/>
  <c r="E40" i="2"/>
  <c r="D40" i="2"/>
  <c r="F40" i="2"/>
  <c r="E41" i="2"/>
  <c r="D41" i="2"/>
  <c r="F41" i="2"/>
  <c r="E42" i="2"/>
  <c r="D42" i="2"/>
  <c r="F42" i="2"/>
  <c r="E43" i="2"/>
  <c r="D43" i="2"/>
  <c r="F43" i="2"/>
  <c r="E44" i="2"/>
  <c r="D44" i="2"/>
  <c r="F44" i="2"/>
  <c r="E45" i="2"/>
  <c r="D45" i="2"/>
  <c r="F45" i="2"/>
  <c r="E46" i="2"/>
  <c r="D46" i="2"/>
  <c r="F46" i="2"/>
  <c r="D47" i="2"/>
  <c r="F47" i="2"/>
  <c r="F50" i="2"/>
  <c r="F53" i="2"/>
  <c r="P6" i="2"/>
  <c r="Q6" i="2"/>
  <c r="S6" i="2"/>
  <c r="P7" i="2"/>
  <c r="Q7" i="2"/>
  <c r="S7" i="2"/>
  <c r="P8" i="2"/>
  <c r="Q8" i="2"/>
  <c r="S8" i="2"/>
  <c r="P9" i="2"/>
  <c r="Q9" i="2"/>
  <c r="S9" i="2"/>
  <c r="P10" i="2"/>
  <c r="Q10" i="2"/>
  <c r="S10" i="2"/>
  <c r="P11" i="2"/>
  <c r="Q11" i="2"/>
  <c r="S11" i="2"/>
  <c r="P12" i="2"/>
  <c r="Q12" i="2"/>
  <c r="S12" i="2"/>
  <c r="P13" i="2"/>
  <c r="Q13" i="2"/>
  <c r="S13" i="2"/>
  <c r="P14" i="2"/>
  <c r="Q14" i="2"/>
  <c r="S14" i="2"/>
  <c r="P15" i="2"/>
  <c r="Q15" i="2"/>
  <c r="S15" i="2"/>
  <c r="P16" i="2"/>
  <c r="Q16" i="2"/>
  <c r="S16" i="2"/>
  <c r="P17" i="2"/>
  <c r="Q17" i="2"/>
  <c r="S17" i="2"/>
  <c r="P18" i="2"/>
  <c r="Q18" i="2"/>
  <c r="S18" i="2"/>
  <c r="P19" i="2"/>
  <c r="Q19" i="2"/>
  <c r="S19" i="2"/>
  <c r="P20" i="2"/>
  <c r="Q20" i="2"/>
  <c r="S20" i="2"/>
  <c r="P21" i="2"/>
  <c r="Q21" i="2"/>
  <c r="S21" i="2"/>
  <c r="P22" i="2"/>
  <c r="Q22" i="2"/>
  <c r="S22" i="2"/>
  <c r="P23" i="2"/>
  <c r="Q23" i="2"/>
  <c r="S23" i="2"/>
  <c r="P24" i="2"/>
  <c r="Q24" i="2"/>
  <c r="S24" i="2"/>
  <c r="P25" i="2"/>
  <c r="Q25" i="2"/>
  <c r="S25" i="2"/>
  <c r="P26" i="2"/>
  <c r="Q26" i="2"/>
  <c r="S26" i="2"/>
  <c r="P27" i="2"/>
  <c r="Q27" i="2"/>
  <c r="S27" i="2"/>
  <c r="P28" i="2"/>
  <c r="Q28" i="2"/>
  <c r="S28" i="2"/>
  <c r="P29" i="2"/>
  <c r="Q29" i="2"/>
  <c r="S29" i="2"/>
  <c r="R30" i="2"/>
  <c r="P30" i="2"/>
  <c r="Q30" i="2"/>
  <c r="S30" i="2"/>
  <c r="R31" i="2"/>
  <c r="P31" i="2"/>
  <c r="Q31" i="2"/>
  <c r="S31" i="2"/>
  <c r="R32" i="2"/>
  <c r="P32" i="2"/>
  <c r="Q32" i="2"/>
  <c r="S32" i="2"/>
  <c r="R33" i="2"/>
  <c r="P33" i="2"/>
  <c r="Q33" i="2"/>
  <c r="S33" i="2"/>
  <c r="R34" i="2"/>
  <c r="P34" i="2"/>
  <c r="Q34" i="2"/>
  <c r="S34" i="2"/>
  <c r="R35" i="2"/>
  <c r="P35" i="2"/>
  <c r="Q35" i="2"/>
  <c r="S35" i="2"/>
  <c r="R36" i="2"/>
  <c r="P36" i="2"/>
  <c r="Q36" i="2"/>
  <c r="S36" i="2"/>
  <c r="R37" i="2"/>
  <c r="P37" i="2"/>
  <c r="Q37" i="2"/>
  <c r="S37" i="2"/>
  <c r="R38" i="2"/>
  <c r="P38" i="2"/>
  <c r="Q38" i="2"/>
  <c r="S38" i="2"/>
  <c r="R39" i="2"/>
  <c r="P39" i="2"/>
  <c r="Q39" i="2"/>
  <c r="S39" i="2"/>
  <c r="R40" i="2"/>
  <c r="P40" i="2"/>
  <c r="Q40" i="2"/>
  <c r="S40" i="2"/>
  <c r="R41" i="2"/>
  <c r="P41" i="2"/>
  <c r="Q41" i="2"/>
  <c r="S41" i="2"/>
  <c r="R42" i="2"/>
  <c r="P42" i="2"/>
  <c r="Q42" i="2"/>
  <c r="S42" i="2"/>
  <c r="R43" i="2"/>
  <c r="P43" i="2"/>
  <c r="Q43" i="2"/>
  <c r="S43" i="2"/>
  <c r="R44" i="2"/>
  <c r="P44" i="2"/>
  <c r="Q44" i="2"/>
  <c r="S44" i="2"/>
  <c r="R45" i="2"/>
  <c r="P45" i="2"/>
  <c r="Q45" i="2"/>
  <c r="S45" i="2"/>
  <c r="R46" i="2"/>
  <c r="P46" i="2"/>
  <c r="Q46" i="2"/>
  <c r="S46" i="2"/>
  <c r="R47" i="2"/>
  <c r="P47" i="2"/>
  <c r="Q47" i="2"/>
  <c r="S47" i="2"/>
  <c r="S50" i="2"/>
  <c r="S51" i="2"/>
  <c r="S52" i="2"/>
  <c r="J6" i="2"/>
  <c r="L6" i="2"/>
  <c r="J7" i="2"/>
  <c r="L7" i="2"/>
  <c r="J8" i="2"/>
  <c r="L8" i="2"/>
  <c r="J9" i="2"/>
  <c r="L9" i="2"/>
  <c r="J10" i="2"/>
  <c r="L10" i="2"/>
  <c r="J11" i="2"/>
  <c r="L11" i="2"/>
  <c r="J12" i="2"/>
  <c r="L12" i="2"/>
  <c r="J13" i="2"/>
  <c r="L13" i="2"/>
  <c r="J14" i="2"/>
  <c r="L14" i="2"/>
  <c r="J15" i="2"/>
  <c r="L15" i="2"/>
  <c r="J16" i="2"/>
  <c r="L16" i="2"/>
  <c r="J17" i="2"/>
  <c r="L17" i="2"/>
  <c r="J18" i="2"/>
  <c r="L18" i="2"/>
  <c r="J19" i="2"/>
  <c r="L19" i="2"/>
  <c r="J20" i="2"/>
  <c r="L20" i="2"/>
  <c r="J21" i="2"/>
  <c r="L21" i="2"/>
  <c r="J22" i="2"/>
  <c r="L22" i="2"/>
  <c r="J23" i="2"/>
  <c r="L23" i="2"/>
  <c r="J24" i="2"/>
  <c r="L24" i="2"/>
  <c r="J25" i="2"/>
  <c r="L25" i="2"/>
  <c r="J26" i="2"/>
  <c r="L26" i="2"/>
  <c r="J27" i="2"/>
  <c r="L27" i="2"/>
  <c r="J28" i="2"/>
  <c r="L28" i="2"/>
  <c r="J29" i="2"/>
  <c r="L29" i="2"/>
  <c r="J30" i="2"/>
  <c r="L30" i="2"/>
  <c r="J31" i="2"/>
  <c r="L31" i="2"/>
  <c r="J32" i="2"/>
  <c r="L32" i="2"/>
  <c r="J33" i="2"/>
  <c r="L33" i="2"/>
  <c r="J34" i="2"/>
  <c r="L34" i="2"/>
  <c r="J35" i="2"/>
  <c r="L35" i="2"/>
  <c r="J36" i="2"/>
  <c r="L36" i="2"/>
  <c r="J37" i="2"/>
  <c r="L37" i="2"/>
  <c r="J38" i="2"/>
  <c r="L38" i="2"/>
  <c r="J39" i="2"/>
  <c r="L39" i="2"/>
  <c r="J40" i="2"/>
  <c r="L40" i="2"/>
  <c r="J41" i="2"/>
  <c r="L41" i="2"/>
  <c r="J42" i="2"/>
  <c r="L42" i="2"/>
  <c r="J43" i="2"/>
  <c r="L43" i="2"/>
  <c r="J44" i="2"/>
  <c r="L44" i="2"/>
  <c r="J45" i="2"/>
  <c r="L45" i="2"/>
  <c r="J46" i="2"/>
  <c r="L46" i="2"/>
  <c r="J47" i="2"/>
  <c r="L47" i="2"/>
  <c r="L50" i="2"/>
  <c r="L51" i="2"/>
  <c r="L52" i="2"/>
  <c r="F51" i="2"/>
  <c r="F52" i="2"/>
  <c r="G52" i="2"/>
  <c r="E52" i="2"/>
  <c r="R48" i="2"/>
  <c r="K48" i="2"/>
  <c r="K50" i="2"/>
  <c r="R51" i="2"/>
  <c r="K51" i="2"/>
  <c r="E51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T30" i="2"/>
  <c r="O31" i="2"/>
  <c r="T31" i="2"/>
  <c r="O32" i="2"/>
  <c r="T32" i="2"/>
  <c r="O33" i="2"/>
  <c r="T33" i="2"/>
  <c r="O34" i="2"/>
  <c r="T34" i="2"/>
  <c r="O35" i="2"/>
  <c r="T35" i="2"/>
  <c r="O36" i="2"/>
  <c r="T36" i="2"/>
  <c r="O37" i="2"/>
  <c r="T37" i="2"/>
  <c r="O38" i="2"/>
  <c r="T38" i="2"/>
  <c r="O39" i="2"/>
  <c r="T39" i="2"/>
  <c r="O40" i="2"/>
  <c r="T40" i="2"/>
  <c r="O41" i="2"/>
  <c r="T41" i="2"/>
  <c r="O42" i="2"/>
  <c r="T42" i="2"/>
  <c r="O43" i="2"/>
  <c r="T43" i="2"/>
  <c r="O44" i="2"/>
  <c r="T44" i="2"/>
  <c r="O45" i="2"/>
  <c r="T45" i="2"/>
  <c r="O46" i="2"/>
  <c r="T46" i="2"/>
  <c r="O47" i="2"/>
  <c r="T47" i="2"/>
  <c r="T49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M19" i="2"/>
  <c r="H20" i="2"/>
  <c r="M20" i="2"/>
  <c r="H21" i="2"/>
  <c r="M21" i="2"/>
  <c r="H22" i="2"/>
  <c r="M22" i="2"/>
  <c r="H23" i="2"/>
  <c r="M23" i="2"/>
  <c r="H24" i="2"/>
  <c r="M24" i="2"/>
  <c r="H25" i="2"/>
  <c r="M25" i="2"/>
  <c r="H26" i="2"/>
  <c r="M26" i="2"/>
  <c r="H27" i="2"/>
  <c r="M27" i="2"/>
  <c r="H28" i="2"/>
  <c r="M28" i="2"/>
  <c r="H29" i="2"/>
  <c r="M29" i="2"/>
  <c r="H30" i="2"/>
  <c r="M30" i="2"/>
  <c r="H31" i="2"/>
  <c r="M31" i="2"/>
  <c r="H32" i="2"/>
  <c r="M32" i="2"/>
  <c r="H33" i="2"/>
  <c r="M33" i="2"/>
  <c r="H34" i="2"/>
  <c r="M34" i="2"/>
  <c r="H35" i="2"/>
  <c r="M35" i="2"/>
  <c r="H36" i="2"/>
  <c r="M36" i="2"/>
  <c r="H37" i="2"/>
  <c r="M37" i="2"/>
  <c r="H38" i="2"/>
  <c r="M38" i="2"/>
  <c r="H39" i="2"/>
  <c r="M39" i="2"/>
  <c r="H40" i="2"/>
  <c r="M40" i="2"/>
  <c r="H41" i="2"/>
  <c r="M41" i="2"/>
  <c r="H42" i="2"/>
  <c r="M42" i="2"/>
  <c r="H43" i="2"/>
  <c r="M43" i="2"/>
  <c r="H44" i="2"/>
  <c r="M44" i="2"/>
  <c r="H45" i="2"/>
  <c r="M45" i="2"/>
  <c r="H46" i="2"/>
  <c r="M46" i="2"/>
  <c r="H47" i="2"/>
  <c r="M47" i="2"/>
  <c r="M49" i="2"/>
  <c r="T50" i="2"/>
  <c r="M50" i="2"/>
  <c r="E50" i="2"/>
  <c r="Q48" i="2"/>
  <c r="P48" i="2"/>
  <c r="J48" i="2"/>
  <c r="I48" i="2"/>
  <c r="E48" i="2"/>
  <c r="D48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L5" i="2"/>
  <c r="S5" i="2"/>
  <c r="J5" i="2"/>
  <c r="Q5" i="2"/>
  <c r="I5" i="2"/>
  <c r="P5" i="2"/>
  <c r="K5" i="2"/>
  <c r="H5" i="2"/>
  <c r="C33" i="1"/>
  <c r="O35" i="1"/>
  <c r="N35" i="1"/>
  <c r="M35" i="1"/>
  <c r="L35" i="1"/>
  <c r="K35" i="1"/>
  <c r="B33" i="1"/>
  <c r="I35" i="1"/>
  <c r="H35" i="1"/>
  <c r="G35" i="1"/>
  <c r="F35" i="1"/>
  <c r="E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K3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34" i="1"/>
  <c r="P33" i="1"/>
  <c r="J33" i="1"/>
  <c r="P32" i="1"/>
  <c r="J32" i="1"/>
  <c r="P31" i="1"/>
  <c r="J31" i="1"/>
  <c r="P30" i="1"/>
  <c r="J30" i="1"/>
  <c r="P29" i="1"/>
  <c r="J29" i="1"/>
  <c r="P28" i="1"/>
  <c r="J28" i="1"/>
  <c r="P27" i="1"/>
  <c r="J27" i="1"/>
  <c r="P26" i="1"/>
  <c r="J26" i="1"/>
  <c r="P25" i="1"/>
  <c r="J25" i="1"/>
  <c r="P24" i="1"/>
  <c r="J24" i="1"/>
  <c r="P23" i="1"/>
  <c r="J23" i="1"/>
  <c r="P22" i="1"/>
  <c r="J22" i="1"/>
  <c r="P21" i="1"/>
  <c r="J21" i="1"/>
  <c r="P20" i="1"/>
  <c r="J20" i="1"/>
  <c r="P19" i="1"/>
  <c r="J19" i="1"/>
  <c r="P18" i="1"/>
  <c r="J18" i="1"/>
  <c r="P17" i="1"/>
  <c r="J17" i="1"/>
  <c r="P16" i="1"/>
  <c r="J16" i="1"/>
  <c r="P15" i="1"/>
  <c r="J15" i="1"/>
  <c r="P14" i="1"/>
  <c r="J14" i="1"/>
  <c r="P13" i="1"/>
  <c r="J13" i="1"/>
  <c r="P12" i="1"/>
  <c r="J12" i="1"/>
  <c r="P11" i="1"/>
  <c r="J11" i="1"/>
  <c r="P10" i="1"/>
  <c r="J10" i="1"/>
  <c r="P9" i="1"/>
  <c r="J9" i="1"/>
  <c r="P8" i="1"/>
  <c r="J8" i="1"/>
  <c r="P7" i="1"/>
  <c r="J7" i="1"/>
  <c r="P6" i="1"/>
  <c r="J6" i="1"/>
  <c r="P5" i="1"/>
  <c r="J5" i="1"/>
  <c r="P4" i="1"/>
  <c r="J4" i="1"/>
</calcChain>
</file>

<file path=xl/sharedStrings.xml><?xml version="1.0" encoding="utf-8"?>
<sst xmlns="http://schemas.openxmlformats.org/spreadsheetml/2006/main" count="62" uniqueCount="58">
  <si>
    <t>خطوط انتقال گاز شامل کلیه گستره ها و ایستگاه های فشار و اندازه گیری</t>
  </si>
  <si>
    <t>تاسیسات تقویت فشار گاز</t>
  </si>
  <si>
    <t>اقساط مربوط به خطوط</t>
  </si>
  <si>
    <t>اقساط مربوط به تاسیسات تقویت فشار</t>
  </si>
  <si>
    <t>گستره دزفول کوهدشت و ایستگاه کنترل فشار دزفول</t>
  </si>
  <si>
    <t>گستره کوهدشت بیستون و ایستگاه کنترل فشار دهگلان</t>
  </si>
  <si>
    <t>گستره بیستون کرمانشاه (34 کیلومتر) و ایستگاه کنترل فشار بیستون</t>
  </si>
  <si>
    <t>گستره کوهدشت چارمله و ایستگاه کنترل فشار کوهدشت و مخابرات</t>
  </si>
  <si>
    <t>گستره اهواز خرمشهر و شملچه و ایستگاه کنترل فشار خرمشهر و ایستگاه اندازه گیری شلمچه</t>
  </si>
  <si>
    <t>مجموع پرداخت شده به خطوط</t>
  </si>
  <si>
    <t>تاسیسات تقویت فشار اهواز</t>
  </si>
  <si>
    <t>تاسیسات تقویت فشار حسینیه</t>
  </si>
  <si>
    <t>تاسیسات تقویت فشار کوهدشت</t>
  </si>
  <si>
    <t>تاسیسات تقویت فشار دیلم</t>
  </si>
  <si>
    <t>تاسیسات تقویت فشار بیدبلند</t>
  </si>
  <si>
    <t>مجموع پرداخت شده به ایستگاه ها</t>
  </si>
  <si>
    <t>وزن مالی</t>
  </si>
  <si>
    <t>قسط 1</t>
  </si>
  <si>
    <t>قسط 2</t>
  </si>
  <si>
    <t>قسط 3</t>
  </si>
  <si>
    <t>قسط 4</t>
  </si>
  <si>
    <t>قسط 5</t>
  </si>
  <si>
    <t>قسط 6</t>
  </si>
  <si>
    <t>قسط 7</t>
  </si>
  <si>
    <t>قسط 8</t>
  </si>
  <si>
    <t>قسط 9</t>
  </si>
  <si>
    <t>قسط 10</t>
  </si>
  <si>
    <t>قسط 11</t>
  </si>
  <si>
    <t>قسط 12</t>
  </si>
  <si>
    <t>قسط 13</t>
  </si>
  <si>
    <t>قسط 14</t>
  </si>
  <si>
    <t>قسط 15</t>
  </si>
  <si>
    <t>قسط 16</t>
  </si>
  <si>
    <t>قسط 17</t>
  </si>
  <si>
    <t>قسط 18</t>
  </si>
  <si>
    <t>قسط 19</t>
  </si>
  <si>
    <t>قسط 20</t>
  </si>
  <si>
    <t>قسط 21</t>
  </si>
  <si>
    <t>قسط 22</t>
  </si>
  <si>
    <t>قسط 23</t>
  </si>
  <si>
    <t>قسط 24</t>
  </si>
  <si>
    <t>قسط 25</t>
  </si>
  <si>
    <t>قسط 26</t>
  </si>
  <si>
    <t>قسط 27</t>
  </si>
  <si>
    <t>قسط 28</t>
  </si>
  <si>
    <t>قسط 29</t>
  </si>
  <si>
    <t>حجم سرمایه‌گذاری</t>
  </si>
  <si>
    <t>مبلغ موافقت نامه</t>
  </si>
  <si>
    <t xml:space="preserve">سهم خطوط انتقال از کل پروژه و بهای موافقت نامه </t>
  </si>
  <si>
    <t xml:space="preserve"> </t>
  </si>
  <si>
    <t>مدل پایه موافقت‌نامه</t>
  </si>
  <si>
    <t>جریان نقدی خطوط انتقال گاز</t>
  </si>
  <si>
    <t>جریان نقدی ایستگاه‌های تقویت فشار</t>
  </si>
  <si>
    <t>ماه</t>
  </si>
  <si>
    <t>برنامه سرمایه‌گذاری</t>
  </si>
  <si>
    <t>بازپرداخت</t>
  </si>
  <si>
    <t xml:space="preserve">جریان نقدی </t>
  </si>
  <si>
    <t>Check ir!!!!!!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</si>
</sst>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%"/>
    <numFmt numFmtId="165" formatCode="0.000000%"/>
    <numFmt numFmtId="166" formatCode="0.00000%"/>
    <numFmt numFmtId="167" formatCode="#,##0.0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B Mitra"/>
      <charset val="178"/>
    </font>
    <font>
      <sz val="11"/>
      <color rgb="FF000000"/>
      <name val="B Mitra"/>
      <charset val="178"/>
    </font>
    <font>
      <sz val="11"/>
      <color theme="1"/>
      <name val="B Mitra"/>
      <charset val="178"/>
    </font>
    <font>
      <sz val="14"/>
      <color theme="1"/>
      <name val="B Mitra"/>
      <charset val="178"/>
    </font>
    <font>
      <b/>
      <sz val="14"/>
      <color theme="1"/>
      <name val="B Mitra"/>
      <charset val="178"/>
    </font>
    <font>
      <sz val="8"/>
      <color theme="1"/>
      <name val="B Mitra"/>
      <charset val="178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D9959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D9959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9959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2" fillId="3" borderId="3" xfId="0" applyFont="1" applyFill="1" applyBorder="1" applyAlignment="1">
      <alignment horizontal="right" vertical="center" wrapText="1" readingOrder="2"/>
    </xf>
    <xf numFmtId="0" fontId="3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 readingOrder="2"/>
    </xf>
    <xf numFmtId="0" fontId="2" fillId="3" borderId="4" xfId="0" applyFont="1" applyFill="1" applyBorder="1" applyAlignment="1">
      <alignment horizontal="center" vertical="center" wrapText="1" readingOrder="2"/>
    </xf>
    <xf numFmtId="10" fontId="2" fillId="3" borderId="5" xfId="0" applyNumberFormat="1" applyFont="1" applyFill="1" applyBorder="1" applyAlignment="1">
      <alignment horizontal="center" vertical="center" wrapText="1"/>
    </xf>
    <xf numFmtId="10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/>
    </xf>
    <xf numFmtId="3" fontId="4" fillId="4" borderId="8" xfId="0" applyNumberFormat="1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/>
    </xf>
    <xf numFmtId="3" fontId="4" fillId="4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1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10" fontId="4" fillId="6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4" fillId="4" borderId="7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 applyAlignment="1">
      <alignment horizontal="center" vertical="center"/>
    </xf>
    <xf numFmtId="4" fontId="4" fillId="5" borderId="0" xfId="0" applyNumberFormat="1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4" fillId="7" borderId="7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6" fontId="4" fillId="6" borderId="0" xfId="0" applyNumberFormat="1" applyFont="1" applyFill="1" applyAlignment="1">
      <alignment horizontal="center" vertical="center"/>
    </xf>
    <xf numFmtId="167" fontId="4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582;&#1591;%20&#1604;&#1608;&#1604;&#1607;%20&#1711;&#1575;&#1586;%20&#1588;&#1588;&#1605;%20%20&#1587;&#1585;&#1575;&#1587;&#1585;&#1740;/&#1605;&#1581;&#1575;&#1587;&#1576;&#1607;%20&#1575;&#1602;&#1587;&#1575;&#1591;/&#1602;&#1587;&#1591;%20%20&#1587;&#1740;&#1586;&#1583;&#1607;&#1605;/&#1602;&#1587;&#1591;%20%20&#1587;&#1740;&#1586;&#1583;&#1607;&#16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582;&#1591;%20&#1604;&#1608;&#1604;&#1607;%20&#1711;&#1575;&#1586;%20&#1588;&#1588;&#1605;%20%20&#1587;&#1585;&#1575;&#1587;&#1585;&#1740;/&#1605;&#1581;&#1575;&#1587;&#1576;&#1607;%20&#1575;&#1602;&#1587;&#1575;&#1591;/&#1602;&#1587;&#1591;%20%20&#1606;&#1608;&#1586;&#1583;&#1607;&#1605;/&#1602;&#1587;&#1591;%20&#1606;&#1608;&#1586;&#1583;&#1607;&#160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صورت حساب دو جانبه 30 (2)"/>
      <sheetName val="اقساط"/>
      <sheetName val="Sheet3"/>
      <sheetName val="Result"/>
      <sheetName val="مفروضات"/>
      <sheetName val="جرایم تاخیر در بهره برداری"/>
      <sheetName val="Others"/>
      <sheetName val="Sheet1"/>
      <sheetName val="گزارش تفصیلی اقساط (تجمعی)"/>
      <sheetName val="جرایم توربوکمپرسورها"/>
      <sheetName val="صورت حساب دو جانبه 30"/>
      <sheetName val="صورت حساب دو جانبه 56"/>
      <sheetName val="تراز"/>
      <sheetName val="لوله سازی سدید"/>
      <sheetName val="ضمانت نامه اجرا"/>
      <sheetName val="گزارش تفصیلی اقساط"/>
      <sheetName val="جرایم تاخیر تسویه پیمانکاران"/>
      <sheetName val="لوله‌های 30 اینچ"/>
      <sheetName val="لوله‌های 56 اینچ"/>
      <sheetName val="تسویه حساب گمرکی"/>
      <sheetName val="لوله 30 اینچ"/>
      <sheetName val="حساب فی مابین"/>
      <sheetName val="محاسبه جرایم تاخیر شرکت نفتانیر"/>
      <sheetName val="Exchange Rate"/>
      <sheetName val="Sheet2"/>
    </sheetNames>
    <sheetDataSet>
      <sheetData sheetId="0"/>
      <sheetData sheetId="1"/>
      <sheetData sheetId="2"/>
      <sheetData sheetId="3">
        <row r="2">
          <cell r="C2" t="str">
            <v>1397/09/17</v>
          </cell>
        </row>
      </sheetData>
      <sheetData sheetId="4">
        <row r="20">
          <cell r="C20">
            <v>50000000</v>
          </cell>
        </row>
        <row r="22">
          <cell r="C22">
            <v>60</v>
          </cell>
        </row>
      </sheetData>
      <sheetData sheetId="5"/>
      <sheetData sheetId="6"/>
      <sheetData sheetId="7"/>
      <sheetData sheetId="8"/>
      <sheetData sheetId="9">
        <row r="9">
          <cell r="F9" t="str">
            <v>1397/12/17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نوزدهم"/>
      <sheetName val="لوله سازی سدید"/>
      <sheetName val="محاسبه قسط"/>
      <sheetName val="Sheet3"/>
      <sheetName val="همینطوری"/>
      <sheetName val="جرائم"/>
      <sheetName val="پیشرفت فیزیکی"/>
      <sheetName val="سهم گستره ها"/>
      <sheetName val="مطالبات ریالی تا اولین قسط"/>
      <sheetName val="مطالبات دلاری تا اولین قسط"/>
      <sheetName val="تعهدات پرداخت شرکت توسعه گاز"/>
    </sheetNames>
    <sheetDataSet>
      <sheetData sheetId="0"/>
      <sheetData sheetId="1"/>
      <sheetData sheetId="2"/>
      <sheetData sheetId="3"/>
      <sheetData sheetId="4">
        <row r="2">
          <cell r="J2">
            <v>41571.428571428602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P35"/>
  <sheetViews>
    <sheetView rightToLeft="1" topLeftCell="D1" workbookViewId="0">
      <selection activeCell="I41" sqref="I41"/>
    </sheetView>
  </sheetViews>
  <sheetFormatPr defaultRowHeight="15" x14ac:dyDescent="0.25"/>
  <cols>
    <col min="2" max="2" width="14.25" bestFit="1" customWidth="1"/>
    <col min="3" max="3" width="12.375" bestFit="1" customWidth="1"/>
    <col min="4" max="4" width="7.625" bestFit="1" customWidth="1"/>
    <col min="5" max="6" width="12.375" bestFit="1" customWidth="1"/>
    <col min="7" max="7" width="11.25" bestFit="1" customWidth="1"/>
    <col min="8" max="9" width="12.375" bestFit="1" customWidth="1"/>
    <col min="10" max="10" width="14.25" bestFit="1" customWidth="1"/>
    <col min="11" max="16" width="12.375" bestFit="1" customWidth="1"/>
  </cols>
  <sheetData>
    <row r="1" spans="2:16" ht="18.75" thickBot="1" x14ac:dyDescent="0.3">
      <c r="D1" s="1"/>
      <c r="E1" s="2" t="s">
        <v>0</v>
      </c>
      <c r="F1" s="3"/>
      <c r="G1" s="3"/>
      <c r="H1" s="3"/>
      <c r="I1" s="3"/>
      <c r="J1" s="4"/>
      <c r="K1" s="2" t="s">
        <v>1</v>
      </c>
      <c r="L1" s="3"/>
      <c r="M1" s="3"/>
      <c r="N1" s="3"/>
      <c r="O1" s="3"/>
      <c r="P1" s="4"/>
    </row>
    <row r="2" spans="2:16" ht="87" thickBot="1" x14ac:dyDescent="0.3">
      <c r="B2" s="5" t="s">
        <v>2</v>
      </c>
      <c r="C2" s="5" t="s">
        <v>3</v>
      </c>
      <c r="D2" s="6"/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</row>
    <row r="3" spans="2:16" ht="18" thickBot="1" x14ac:dyDescent="0.3">
      <c r="D3" s="8" t="s">
        <v>16</v>
      </c>
      <c r="E3" s="9">
        <v>0.16830000000000001</v>
      </c>
      <c r="F3" s="10">
        <v>0.151</v>
      </c>
      <c r="G3" s="11">
        <v>1.7500000000000002E-2</v>
      </c>
      <c r="H3" s="10">
        <v>0.14100000000000001</v>
      </c>
      <c r="I3" s="10">
        <v>0.1595</v>
      </c>
      <c r="J3" s="10"/>
      <c r="K3" s="10">
        <v>7.6895999999999992E-2</v>
      </c>
      <c r="L3" s="10">
        <v>7.6895999999999992E-2</v>
      </c>
      <c r="M3" s="10">
        <v>6.963599999999999E-2</v>
      </c>
      <c r="N3" s="10">
        <v>6.963599999999999E-2</v>
      </c>
      <c r="O3" s="10">
        <v>6.963599999999999E-2</v>
      </c>
      <c r="P3" s="10"/>
    </row>
    <row r="4" spans="2:16" ht="22.5" thickBot="1" x14ac:dyDescent="0.3">
      <c r="B4" s="12">
        <v>50000000</v>
      </c>
      <c r="C4" s="12">
        <v>0</v>
      </c>
      <c r="D4" s="8" t="s">
        <v>17</v>
      </c>
      <c r="E4" s="13">
        <f>ROUND((E$3/SUM($E$3:$I$3))*$B4,0)</f>
        <v>13204142</v>
      </c>
      <c r="F4" s="13">
        <f>ROUND((F$3/SUM($E$3:$I$3))*$B4,0)</f>
        <v>11846854</v>
      </c>
      <c r="G4" s="13">
        <f>ROUND((G$3/SUM($E$3:$I$3))*$B4,0)</f>
        <v>1372980</v>
      </c>
      <c r="H4" s="13">
        <f>ROUND((H$3/SUM($E$3:$I$3))*$B4,0)</f>
        <v>11062294</v>
      </c>
      <c r="I4" s="13">
        <f>ROUND((I$3/SUM($E$3:$I$3))*$B4,0)</f>
        <v>12513730</v>
      </c>
      <c r="J4" s="13">
        <f>SUM(E4:I4)</f>
        <v>50000000</v>
      </c>
      <c r="K4" s="13">
        <f>ROUND((K$3/SUM($K$3:$O$3))*$C4,0)</f>
        <v>0</v>
      </c>
      <c r="L4" s="13">
        <f>ROUND((L$3/SUM($K$3:$O$3))*$C4,0)</f>
        <v>0</v>
      </c>
      <c r="M4" s="13">
        <f>ROUND((M$3/SUM($K$3:$O$3))*$C4,0)</f>
        <v>0</v>
      </c>
      <c r="N4" s="13">
        <f>ROUND((N$3/SUM($K$3:$O$3))*$C4,0)</f>
        <v>0</v>
      </c>
      <c r="O4" s="13">
        <f>ROUND((O$3/SUM($K$3:$O$3))*$C4,0)</f>
        <v>0</v>
      </c>
      <c r="P4" s="13">
        <f>SUM(K4:O4)</f>
        <v>0</v>
      </c>
    </row>
    <row r="5" spans="2:16" ht="22.5" thickBot="1" x14ac:dyDescent="0.3">
      <c r="B5" s="12">
        <v>50000000</v>
      </c>
      <c r="C5" s="12">
        <v>0</v>
      </c>
      <c r="D5" s="8" t="s">
        <v>18</v>
      </c>
      <c r="E5" s="13">
        <f t="shared" ref="E5:I31" si="0">ROUND((E$3/SUM($E$3:$I$3))*$B5,0)</f>
        <v>13204142</v>
      </c>
      <c r="F5" s="13">
        <f t="shared" si="0"/>
        <v>11846854</v>
      </c>
      <c r="G5" s="13">
        <f t="shared" si="0"/>
        <v>1372980</v>
      </c>
      <c r="H5" s="13">
        <f t="shared" si="0"/>
        <v>11062294</v>
      </c>
      <c r="I5" s="13">
        <f t="shared" si="0"/>
        <v>12513730</v>
      </c>
      <c r="J5" s="13">
        <f t="shared" ref="J5:J33" si="1">SUM(E5:I5)</f>
        <v>50000000</v>
      </c>
      <c r="K5" s="13">
        <f t="shared" ref="K5:O32" si="2">ROUND((K$3/SUM($K$3:$O$3))*$C5,0)</f>
        <v>0</v>
      </c>
      <c r="L5" s="13">
        <f t="shared" si="2"/>
        <v>0</v>
      </c>
      <c r="M5" s="13">
        <f t="shared" si="2"/>
        <v>0</v>
      </c>
      <c r="N5" s="13">
        <f t="shared" si="2"/>
        <v>0</v>
      </c>
      <c r="O5" s="13">
        <f t="shared" si="2"/>
        <v>0</v>
      </c>
      <c r="P5" s="13">
        <f t="shared" ref="P5:P33" si="3">SUM(K5:O5)</f>
        <v>0</v>
      </c>
    </row>
    <row r="6" spans="2:16" ht="22.5" thickBot="1" x14ac:dyDescent="0.3">
      <c r="B6" s="12">
        <v>50000000</v>
      </c>
      <c r="C6" s="12">
        <v>0</v>
      </c>
      <c r="D6" s="8" t="s">
        <v>19</v>
      </c>
      <c r="E6" s="13">
        <f t="shared" si="0"/>
        <v>13204142</v>
      </c>
      <c r="F6" s="13">
        <f t="shared" si="0"/>
        <v>11846854</v>
      </c>
      <c r="G6" s="13">
        <f t="shared" si="0"/>
        <v>1372980</v>
      </c>
      <c r="H6" s="13">
        <f t="shared" si="0"/>
        <v>11062294</v>
      </c>
      <c r="I6" s="13">
        <f t="shared" si="0"/>
        <v>12513730</v>
      </c>
      <c r="J6" s="13">
        <f t="shared" si="1"/>
        <v>50000000</v>
      </c>
      <c r="K6" s="13">
        <f t="shared" si="2"/>
        <v>0</v>
      </c>
      <c r="L6" s="13">
        <f t="shared" si="2"/>
        <v>0</v>
      </c>
      <c r="M6" s="13">
        <f t="shared" si="2"/>
        <v>0</v>
      </c>
      <c r="N6" s="13">
        <f t="shared" si="2"/>
        <v>0</v>
      </c>
      <c r="O6" s="13">
        <f t="shared" si="2"/>
        <v>0</v>
      </c>
      <c r="P6" s="13">
        <f t="shared" si="3"/>
        <v>0</v>
      </c>
    </row>
    <row r="7" spans="2:16" ht="22.5" thickBot="1" x14ac:dyDescent="0.3">
      <c r="B7" s="12">
        <v>50000000</v>
      </c>
      <c r="C7" s="12">
        <v>0</v>
      </c>
      <c r="D7" s="8" t="s">
        <v>20</v>
      </c>
      <c r="E7" s="13">
        <f>ROUND((E$3/SUM($E$3:$I$3))*$B7,0)</f>
        <v>13204142</v>
      </c>
      <c r="F7" s="13">
        <f t="shared" si="0"/>
        <v>11846854</v>
      </c>
      <c r="G7" s="13">
        <f t="shared" si="0"/>
        <v>1372980</v>
      </c>
      <c r="H7" s="13">
        <f t="shared" si="0"/>
        <v>11062294</v>
      </c>
      <c r="I7" s="13">
        <f t="shared" si="0"/>
        <v>12513730</v>
      </c>
      <c r="J7" s="13">
        <f t="shared" si="1"/>
        <v>50000000</v>
      </c>
      <c r="K7" s="13">
        <f t="shared" si="2"/>
        <v>0</v>
      </c>
      <c r="L7" s="13">
        <f t="shared" si="2"/>
        <v>0</v>
      </c>
      <c r="M7" s="13">
        <f t="shared" si="2"/>
        <v>0</v>
      </c>
      <c r="N7" s="13">
        <f t="shared" si="2"/>
        <v>0</v>
      </c>
      <c r="O7" s="13">
        <f t="shared" si="2"/>
        <v>0</v>
      </c>
      <c r="P7" s="13">
        <f t="shared" si="3"/>
        <v>0</v>
      </c>
    </row>
    <row r="8" spans="2:16" ht="22.5" thickBot="1" x14ac:dyDescent="0.3">
      <c r="B8" s="12">
        <v>50000000</v>
      </c>
      <c r="C8" s="12">
        <v>0</v>
      </c>
      <c r="D8" s="8" t="s">
        <v>21</v>
      </c>
      <c r="E8" s="13">
        <f t="shared" si="0"/>
        <v>13204142</v>
      </c>
      <c r="F8" s="13">
        <f t="shared" si="0"/>
        <v>11846854</v>
      </c>
      <c r="G8" s="13">
        <f t="shared" si="0"/>
        <v>1372980</v>
      </c>
      <c r="H8" s="13">
        <f t="shared" si="0"/>
        <v>11062294</v>
      </c>
      <c r="I8" s="13">
        <f t="shared" si="0"/>
        <v>12513730</v>
      </c>
      <c r="J8" s="13">
        <f t="shared" si="1"/>
        <v>50000000</v>
      </c>
      <c r="K8" s="13">
        <f t="shared" si="2"/>
        <v>0</v>
      </c>
      <c r="L8" s="13">
        <f t="shared" si="2"/>
        <v>0</v>
      </c>
      <c r="M8" s="13">
        <f t="shared" si="2"/>
        <v>0</v>
      </c>
      <c r="N8" s="13">
        <f t="shared" si="2"/>
        <v>0</v>
      </c>
      <c r="O8" s="13">
        <f t="shared" si="2"/>
        <v>0</v>
      </c>
      <c r="P8" s="13">
        <f t="shared" si="3"/>
        <v>0</v>
      </c>
    </row>
    <row r="9" spans="2:16" ht="22.5" thickBot="1" x14ac:dyDescent="0.3">
      <c r="B9" s="12">
        <v>50000000</v>
      </c>
      <c r="C9" s="12">
        <v>0</v>
      </c>
      <c r="D9" s="8" t="s">
        <v>22</v>
      </c>
      <c r="E9" s="13">
        <f t="shared" si="0"/>
        <v>13204142</v>
      </c>
      <c r="F9" s="13">
        <f t="shared" si="0"/>
        <v>11846854</v>
      </c>
      <c r="G9" s="13">
        <f t="shared" si="0"/>
        <v>1372980</v>
      </c>
      <c r="H9" s="13">
        <f t="shared" si="0"/>
        <v>11062294</v>
      </c>
      <c r="I9" s="13">
        <f t="shared" si="0"/>
        <v>12513730</v>
      </c>
      <c r="J9" s="13">
        <f t="shared" si="1"/>
        <v>50000000</v>
      </c>
      <c r="K9" s="13">
        <f t="shared" si="2"/>
        <v>0</v>
      </c>
      <c r="L9" s="13">
        <f t="shared" si="2"/>
        <v>0</v>
      </c>
      <c r="M9" s="13">
        <f t="shared" si="2"/>
        <v>0</v>
      </c>
      <c r="N9" s="13">
        <f t="shared" si="2"/>
        <v>0</v>
      </c>
      <c r="O9" s="13">
        <f t="shared" si="2"/>
        <v>0</v>
      </c>
      <c r="P9" s="13">
        <f t="shared" si="3"/>
        <v>0</v>
      </c>
    </row>
    <row r="10" spans="2:16" ht="22.5" thickBot="1" x14ac:dyDescent="0.3">
      <c r="B10" s="12">
        <v>50000000</v>
      </c>
      <c r="C10" s="12">
        <v>0</v>
      </c>
      <c r="D10" s="8" t="s">
        <v>23</v>
      </c>
      <c r="E10" s="13">
        <f t="shared" si="0"/>
        <v>13204142</v>
      </c>
      <c r="F10" s="13">
        <f t="shared" si="0"/>
        <v>11846854</v>
      </c>
      <c r="G10" s="13">
        <f t="shared" si="0"/>
        <v>1372980</v>
      </c>
      <c r="H10" s="13">
        <f t="shared" si="0"/>
        <v>11062294</v>
      </c>
      <c r="I10" s="13">
        <f t="shared" si="0"/>
        <v>12513730</v>
      </c>
      <c r="J10" s="13">
        <f t="shared" si="1"/>
        <v>50000000</v>
      </c>
      <c r="K10" s="13">
        <f t="shared" si="2"/>
        <v>0</v>
      </c>
      <c r="L10" s="13">
        <f t="shared" si="2"/>
        <v>0</v>
      </c>
      <c r="M10" s="13">
        <f t="shared" si="2"/>
        <v>0</v>
      </c>
      <c r="N10" s="13">
        <f t="shared" si="2"/>
        <v>0</v>
      </c>
      <c r="O10" s="13">
        <f t="shared" si="2"/>
        <v>0</v>
      </c>
      <c r="P10" s="13">
        <f t="shared" si="3"/>
        <v>0</v>
      </c>
    </row>
    <row r="11" spans="2:16" ht="22.5" thickBot="1" x14ac:dyDescent="0.3">
      <c r="B11" s="12">
        <v>50000000</v>
      </c>
      <c r="C11" s="12">
        <v>0</v>
      </c>
      <c r="D11" s="8" t="s">
        <v>24</v>
      </c>
      <c r="E11" s="13">
        <f t="shared" si="0"/>
        <v>13204142</v>
      </c>
      <c r="F11" s="13">
        <f t="shared" si="0"/>
        <v>11846854</v>
      </c>
      <c r="G11" s="13">
        <f t="shared" si="0"/>
        <v>1372980</v>
      </c>
      <c r="H11" s="13">
        <f t="shared" si="0"/>
        <v>11062294</v>
      </c>
      <c r="I11" s="13">
        <f t="shared" si="0"/>
        <v>12513730</v>
      </c>
      <c r="J11" s="13">
        <f t="shared" si="1"/>
        <v>50000000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3"/>
        <v>0</v>
      </c>
    </row>
    <row r="12" spans="2:16" ht="22.5" thickBot="1" x14ac:dyDescent="0.3">
      <c r="B12" s="12">
        <v>50000000</v>
      </c>
      <c r="C12" s="12">
        <v>0</v>
      </c>
      <c r="D12" s="8" t="s">
        <v>25</v>
      </c>
      <c r="E12" s="13">
        <f t="shared" si="0"/>
        <v>13204142</v>
      </c>
      <c r="F12" s="13">
        <f t="shared" si="0"/>
        <v>11846854</v>
      </c>
      <c r="G12" s="13">
        <f t="shared" si="0"/>
        <v>1372980</v>
      </c>
      <c r="H12" s="13">
        <f t="shared" si="0"/>
        <v>11062294</v>
      </c>
      <c r="I12" s="13">
        <f t="shared" si="0"/>
        <v>12513730</v>
      </c>
      <c r="J12" s="13">
        <f t="shared" si="1"/>
        <v>50000000</v>
      </c>
      <c r="K12" s="13">
        <f t="shared" si="2"/>
        <v>0</v>
      </c>
      <c r="L12" s="13">
        <f t="shared" si="2"/>
        <v>0</v>
      </c>
      <c r="M12" s="13">
        <f t="shared" si="2"/>
        <v>0</v>
      </c>
      <c r="N12" s="13">
        <f t="shared" si="2"/>
        <v>0</v>
      </c>
      <c r="O12" s="13">
        <f t="shared" si="2"/>
        <v>0</v>
      </c>
      <c r="P12" s="13">
        <f t="shared" si="3"/>
        <v>0</v>
      </c>
    </row>
    <row r="13" spans="2:16" ht="22.5" thickBot="1" x14ac:dyDescent="0.3">
      <c r="B13" s="12">
        <v>50000000</v>
      </c>
      <c r="C13" s="12">
        <v>0</v>
      </c>
      <c r="D13" s="8" t="s">
        <v>26</v>
      </c>
      <c r="E13" s="13">
        <f t="shared" si="0"/>
        <v>13204142</v>
      </c>
      <c r="F13" s="13">
        <f t="shared" si="0"/>
        <v>11846854</v>
      </c>
      <c r="G13" s="13">
        <f t="shared" si="0"/>
        <v>1372980</v>
      </c>
      <c r="H13" s="13">
        <f t="shared" si="0"/>
        <v>11062294</v>
      </c>
      <c r="I13" s="13">
        <f t="shared" si="0"/>
        <v>12513730</v>
      </c>
      <c r="J13" s="13">
        <f t="shared" si="1"/>
        <v>50000000</v>
      </c>
      <c r="K13" s="13">
        <f t="shared" si="2"/>
        <v>0</v>
      </c>
      <c r="L13" s="13">
        <f t="shared" si="2"/>
        <v>0</v>
      </c>
      <c r="M13" s="13">
        <f t="shared" si="2"/>
        <v>0</v>
      </c>
      <c r="N13" s="13">
        <f t="shared" si="2"/>
        <v>0</v>
      </c>
      <c r="O13" s="13">
        <f t="shared" si="2"/>
        <v>0</v>
      </c>
      <c r="P13" s="13">
        <f t="shared" si="3"/>
        <v>0</v>
      </c>
    </row>
    <row r="14" spans="2:16" ht="22.5" thickBot="1" x14ac:dyDescent="0.3">
      <c r="B14" s="12">
        <v>50000000</v>
      </c>
      <c r="C14" s="12">
        <v>0</v>
      </c>
      <c r="D14" s="8" t="s">
        <v>27</v>
      </c>
      <c r="E14" s="13">
        <f t="shared" si="0"/>
        <v>13204142</v>
      </c>
      <c r="F14" s="13">
        <f t="shared" si="0"/>
        <v>11846854</v>
      </c>
      <c r="G14" s="13">
        <f t="shared" si="0"/>
        <v>1372980</v>
      </c>
      <c r="H14" s="13">
        <f t="shared" si="0"/>
        <v>11062294</v>
      </c>
      <c r="I14" s="13">
        <f t="shared" si="0"/>
        <v>12513730</v>
      </c>
      <c r="J14" s="13">
        <f t="shared" si="1"/>
        <v>50000000</v>
      </c>
      <c r="K14" s="13">
        <f t="shared" si="2"/>
        <v>0</v>
      </c>
      <c r="L14" s="13">
        <f t="shared" si="2"/>
        <v>0</v>
      </c>
      <c r="M14" s="13">
        <f t="shared" si="2"/>
        <v>0</v>
      </c>
      <c r="N14" s="13">
        <f t="shared" si="2"/>
        <v>0</v>
      </c>
      <c r="O14" s="13">
        <f t="shared" si="2"/>
        <v>0</v>
      </c>
      <c r="P14" s="13">
        <f t="shared" si="3"/>
        <v>0</v>
      </c>
    </row>
    <row r="15" spans="2:16" ht="22.5" thickBot="1" x14ac:dyDescent="0.3">
      <c r="B15" s="12">
        <v>50000000</v>
      </c>
      <c r="C15" s="12">
        <v>50000000</v>
      </c>
      <c r="D15" s="8" t="s">
        <v>28</v>
      </c>
      <c r="E15" s="13">
        <f t="shared" si="0"/>
        <v>13204142</v>
      </c>
      <c r="F15" s="13">
        <f t="shared" si="0"/>
        <v>11846854</v>
      </c>
      <c r="G15" s="13">
        <f t="shared" si="0"/>
        <v>1372980</v>
      </c>
      <c r="H15" s="13">
        <f t="shared" si="0"/>
        <v>11062294</v>
      </c>
      <c r="I15" s="13">
        <f t="shared" si="0"/>
        <v>12513730</v>
      </c>
      <c r="J15" s="13">
        <f t="shared" si="1"/>
        <v>50000000</v>
      </c>
      <c r="K15" s="13">
        <f t="shared" si="2"/>
        <v>10600496</v>
      </c>
      <c r="L15" s="13">
        <f>ROUND((L$3/SUM($K$3:$O$3))*$C15,0)+1</f>
        <v>10600497</v>
      </c>
      <c r="M15" s="13">
        <f t="shared" si="2"/>
        <v>9599669</v>
      </c>
      <c r="N15" s="13">
        <f t="shared" si="2"/>
        <v>9599669</v>
      </c>
      <c r="O15" s="13">
        <f t="shared" si="2"/>
        <v>9599669</v>
      </c>
      <c r="P15" s="13">
        <f t="shared" si="3"/>
        <v>50000000</v>
      </c>
    </row>
    <row r="16" spans="2:16" ht="22.5" thickBot="1" x14ac:dyDescent="0.3">
      <c r="B16" s="12">
        <v>50000000</v>
      </c>
      <c r="C16" s="12">
        <v>50000000</v>
      </c>
      <c r="D16" s="8" t="s">
        <v>29</v>
      </c>
      <c r="E16" s="13">
        <f t="shared" si="0"/>
        <v>13204142</v>
      </c>
      <c r="F16" s="13">
        <f t="shared" si="0"/>
        <v>11846854</v>
      </c>
      <c r="G16" s="13">
        <f t="shared" si="0"/>
        <v>1372980</v>
      </c>
      <c r="H16" s="13">
        <f t="shared" si="0"/>
        <v>11062294</v>
      </c>
      <c r="I16" s="13">
        <f t="shared" si="0"/>
        <v>12513730</v>
      </c>
      <c r="J16" s="13">
        <f t="shared" si="1"/>
        <v>50000000</v>
      </c>
      <c r="K16" s="13">
        <f t="shared" si="2"/>
        <v>10600496</v>
      </c>
      <c r="L16" s="13">
        <f>ROUND((L$3/SUM($K$3:$O$3))*$C16,0)+1</f>
        <v>10600497</v>
      </c>
      <c r="M16" s="13">
        <f t="shared" si="2"/>
        <v>9599669</v>
      </c>
      <c r="N16" s="13">
        <f t="shared" si="2"/>
        <v>9599669</v>
      </c>
      <c r="O16" s="13">
        <f t="shared" si="2"/>
        <v>9599669</v>
      </c>
      <c r="P16" s="13">
        <f t="shared" si="3"/>
        <v>50000000</v>
      </c>
    </row>
    <row r="17" spans="2:16" ht="22.5" thickBot="1" x14ac:dyDescent="0.3">
      <c r="B17" s="12">
        <v>50000000</v>
      </c>
      <c r="C17" s="12">
        <v>50000000</v>
      </c>
      <c r="D17" s="8" t="s">
        <v>30</v>
      </c>
      <c r="E17" s="13">
        <f t="shared" si="0"/>
        <v>13204142</v>
      </c>
      <c r="F17" s="13">
        <f t="shared" si="0"/>
        <v>11846854</v>
      </c>
      <c r="G17" s="13">
        <f t="shared" si="0"/>
        <v>1372980</v>
      </c>
      <c r="H17" s="13">
        <f t="shared" si="0"/>
        <v>11062294</v>
      </c>
      <c r="I17" s="13">
        <f t="shared" si="0"/>
        <v>12513730</v>
      </c>
      <c r="J17" s="13">
        <f t="shared" si="1"/>
        <v>50000000</v>
      </c>
      <c r="K17" s="13">
        <f t="shared" si="2"/>
        <v>10600496</v>
      </c>
      <c r="L17" s="13">
        <f>ROUND((L$3/SUM($K$3:$O$3))*$C17,0)+1</f>
        <v>10600497</v>
      </c>
      <c r="M17" s="13">
        <f t="shared" si="2"/>
        <v>9599669</v>
      </c>
      <c r="N17" s="13">
        <f t="shared" si="2"/>
        <v>9599669</v>
      </c>
      <c r="O17" s="13">
        <f t="shared" si="2"/>
        <v>9599669</v>
      </c>
      <c r="P17" s="13">
        <f t="shared" si="3"/>
        <v>50000000</v>
      </c>
    </row>
    <row r="18" spans="2:16" ht="22.5" thickBot="1" x14ac:dyDescent="0.3">
      <c r="B18" s="12">
        <v>50000000</v>
      </c>
      <c r="C18" s="12">
        <v>50000000</v>
      </c>
      <c r="D18" s="8" t="s">
        <v>31</v>
      </c>
      <c r="E18" s="13">
        <f t="shared" si="0"/>
        <v>13204142</v>
      </c>
      <c r="F18" s="13">
        <f t="shared" si="0"/>
        <v>11846854</v>
      </c>
      <c r="G18" s="13">
        <f t="shared" si="0"/>
        <v>1372980</v>
      </c>
      <c r="H18" s="13">
        <f t="shared" si="0"/>
        <v>11062294</v>
      </c>
      <c r="I18" s="13">
        <f t="shared" si="0"/>
        <v>12513730</v>
      </c>
      <c r="J18" s="13">
        <f t="shared" si="1"/>
        <v>50000000</v>
      </c>
      <c r="K18" s="13">
        <f>ROUND((K$3/SUM($K$3:$O$3))*$C18,0)</f>
        <v>10600496</v>
      </c>
      <c r="L18" s="13">
        <f>ROUND((L$3/SUM($K$3:$O$3))*$C18,0)</f>
        <v>10600496</v>
      </c>
      <c r="M18" s="13">
        <f t="shared" si="2"/>
        <v>9599669</v>
      </c>
      <c r="N18" s="13">
        <f t="shared" si="2"/>
        <v>9599669</v>
      </c>
      <c r="O18" s="13">
        <f>ROUND((O$3/SUM($K$3:$O$3))*$C18,0)+1</f>
        <v>9599670</v>
      </c>
      <c r="P18" s="13">
        <f t="shared" si="3"/>
        <v>50000000</v>
      </c>
    </row>
    <row r="19" spans="2:16" ht="22.5" thickBot="1" x14ac:dyDescent="0.3">
      <c r="B19" s="12">
        <v>50000000</v>
      </c>
      <c r="C19" s="12">
        <v>50000000</v>
      </c>
      <c r="D19" s="8" t="s">
        <v>32</v>
      </c>
      <c r="E19" s="13">
        <f t="shared" si="0"/>
        <v>13204142</v>
      </c>
      <c r="F19" s="13">
        <f t="shared" si="0"/>
        <v>11846854</v>
      </c>
      <c r="G19" s="13">
        <f t="shared" si="0"/>
        <v>1372980</v>
      </c>
      <c r="H19" s="13">
        <f t="shared" si="0"/>
        <v>11062294</v>
      </c>
      <c r="I19" s="13">
        <f t="shared" si="0"/>
        <v>12513730</v>
      </c>
      <c r="J19" s="13">
        <f t="shared" si="1"/>
        <v>50000000</v>
      </c>
      <c r="K19" s="13">
        <f t="shared" si="2"/>
        <v>10600496</v>
      </c>
      <c r="L19" s="13">
        <f t="shared" si="2"/>
        <v>10600496</v>
      </c>
      <c r="M19" s="13">
        <f t="shared" si="2"/>
        <v>9599669</v>
      </c>
      <c r="N19" s="13">
        <f t="shared" si="2"/>
        <v>9599669</v>
      </c>
      <c r="O19" s="13">
        <f>ROUND((O$3/SUM($K$3:$O$3))*$C19,0)+1</f>
        <v>9599670</v>
      </c>
      <c r="P19" s="13">
        <f t="shared" si="3"/>
        <v>50000000</v>
      </c>
    </row>
    <row r="20" spans="2:16" ht="22.5" thickBot="1" x14ac:dyDescent="0.3">
      <c r="B20" s="12">
        <v>50000000</v>
      </c>
      <c r="C20" s="12">
        <v>50000000</v>
      </c>
      <c r="D20" s="8" t="s">
        <v>33</v>
      </c>
      <c r="E20" s="13">
        <f t="shared" si="0"/>
        <v>13204142</v>
      </c>
      <c r="F20" s="13">
        <f t="shared" si="0"/>
        <v>11846854</v>
      </c>
      <c r="G20" s="13">
        <f t="shared" si="0"/>
        <v>1372980</v>
      </c>
      <c r="H20" s="13">
        <f t="shared" si="0"/>
        <v>11062294</v>
      </c>
      <c r="I20" s="13">
        <f t="shared" si="0"/>
        <v>12513730</v>
      </c>
      <c r="J20" s="13">
        <f t="shared" si="1"/>
        <v>50000000</v>
      </c>
      <c r="K20" s="13">
        <f t="shared" si="2"/>
        <v>10600496</v>
      </c>
      <c r="L20" s="13">
        <f t="shared" si="2"/>
        <v>10600496</v>
      </c>
      <c r="M20" s="13">
        <f t="shared" si="2"/>
        <v>9599669</v>
      </c>
      <c r="N20" s="13">
        <f t="shared" si="2"/>
        <v>9599669</v>
      </c>
      <c r="O20" s="13">
        <f>ROUND((O$3/SUM($K$3:$O$3))*$C20,0)+1</f>
        <v>9599670</v>
      </c>
      <c r="P20" s="13">
        <f t="shared" si="3"/>
        <v>50000000</v>
      </c>
    </row>
    <row r="21" spans="2:16" ht="22.5" thickBot="1" x14ac:dyDescent="0.3">
      <c r="B21" s="12">
        <v>50000000</v>
      </c>
      <c r="C21" s="12">
        <v>50000000</v>
      </c>
      <c r="D21" s="8" t="s">
        <v>34</v>
      </c>
      <c r="E21" s="13">
        <f t="shared" si="0"/>
        <v>13204142</v>
      </c>
      <c r="F21" s="13">
        <f t="shared" si="0"/>
        <v>11846854</v>
      </c>
      <c r="G21" s="13">
        <f t="shared" si="0"/>
        <v>1372980</v>
      </c>
      <c r="H21" s="13">
        <f t="shared" si="0"/>
        <v>11062294</v>
      </c>
      <c r="I21" s="13">
        <f t="shared" si="0"/>
        <v>12513730</v>
      </c>
      <c r="J21" s="13">
        <f t="shared" si="1"/>
        <v>50000000</v>
      </c>
      <c r="K21" s="13">
        <f t="shared" si="2"/>
        <v>10600496</v>
      </c>
      <c r="L21" s="13">
        <f t="shared" si="2"/>
        <v>10600496</v>
      </c>
      <c r="M21" s="13">
        <f t="shared" si="2"/>
        <v>9599669</v>
      </c>
      <c r="N21" s="13">
        <f>ROUND((N$3/SUM($K$3:$O$3))*$C21,0)+1</f>
        <v>9599670</v>
      </c>
      <c r="O21" s="13">
        <f t="shared" ref="O21:O28" si="4">ROUND((O$3/SUM($K$3:$O$3))*$C21,0)</f>
        <v>9599669</v>
      </c>
      <c r="P21" s="13">
        <f t="shared" si="3"/>
        <v>50000000</v>
      </c>
    </row>
    <row r="22" spans="2:16" ht="22.5" thickBot="1" x14ac:dyDescent="0.3">
      <c r="B22" s="12">
        <v>50000000</v>
      </c>
      <c r="C22" s="12">
        <v>50000000</v>
      </c>
      <c r="D22" s="8" t="s">
        <v>35</v>
      </c>
      <c r="E22" s="13">
        <f t="shared" si="0"/>
        <v>13204142</v>
      </c>
      <c r="F22" s="13">
        <f t="shared" si="0"/>
        <v>11846854</v>
      </c>
      <c r="G22" s="13">
        <f t="shared" si="0"/>
        <v>1372980</v>
      </c>
      <c r="H22" s="13">
        <f t="shared" si="0"/>
        <v>11062294</v>
      </c>
      <c r="I22" s="13">
        <f t="shared" si="0"/>
        <v>12513730</v>
      </c>
      <c r="J22" s="13">
        <f t="shared" si="1"/>
        <v>50000000</v>
      </c>
      <c r="K22" s="13">
        <f t="shared" si="2"/>
        <v>10600496</v>
      </c>
      <c r="L22" s="13">
        <f t="shared" si="2"/>
        <v>10600496</v>
      </c>
      <c r="M22" s="13">
        <f t="shared" si="2"/>
        <v>9599669</v>
      </c>
      <c r="N22" s="13">
        <f>ROUND((N$3/SUM($K$3:$O$3))*$C22,0)+1</f>
        <v>9599670</v>
      </c>
      <c r="O22" s="13">
        <f t="shared" si="4"/>
        <v>9599669</v>
      </c>
      <c r="P22" s="13">
        <f t="shared" si="3"/>
        <v>50000000</v>
      </c>
    </row>
    <row r="23" spans="2:16" ht="22.5" thickBot="1" x14ac:dyDescent="0.3">
      <c r="B23" s="12">
        <v>50000000</v>
      </c>
      <c r="C23" s="12">
        <v>50000000</v>
      </c>
      <c r="D23" s="8" t="s">
        <v>36</v>
      </c>
      <c r="E23" s="13">
        <f t="shared" si="0"/>
        <v>13204142</v>
      </c>
      <c r="F23" s="13">
        <f t="shared" si="0"/>
        <v>11846854</v>
      </c>
      <c r="G23" s="13">
        <f t="shared" si="0"/>
        <v>1372980</v>
      </c>
      <c r="H23" s="13">
        <f t="shared" si="0"/>
        <v>11062294</v>
      </c>
      <c r="I23" s="13">
        <f t="shared" si="0"/>
        <v>12513730</v>
      </c>
      <c r="J23" s="13">
        <f t="shared" si="1"/>
        <v>50000000</v>
      </c>
      <c r="K23" s="13">
        <f t="shared" si="2"/>
        <v>10600496</v>
      </c>
      <c r="L23" s="13">
        <f t="shared" si="2"/>
        <v>10600496</v>
      </c>
      <c r="M23" s="13">
        <f>ROUND((M$3/SUM($K$3:$O$3))*$C23,0)</f>
        <v>9599669</v>
      </c>
      <c r="N23" s="13">
        <f>ROUND((N$3/SUM($K$3:$O$3))*$C23,0)+1</f>
        <v>9599670</v>
      </c>
      <c r="O23" s="13">
        <f t="shared" si="4"/>
        <v>9599669</v>
      </c>
      <c r="P23" s="13">
        <f t="shared" si="3"/>
        <v>50000000</v>
      </c>
    </row>
    <row r="24" spans="2:16" ht="22.5" thickBot="1" x14ac:dyDescent="0.3">
      <c r="B24" s="12">
        <v>50000000</v>
      </c>
      <c r="C24" s="12">
        <v>50000000</v>
      </c>
      <c r="D24" s="8" t="s">
        <v>37</v>
      </c>
      <c r="E24" s="13">
        <f t="shared" si="0"/>
        <v>13204142</v>
      </c>
      <c r="F24" s="13">
        <f t="shared" si="0"/>
        <v>11846854</v>
      </c>
      <c r="G24" s="13">
        <f t="shared" si="0"/>
        <v>1372980</v>
      </c>
      <c r="H24" s="13">
        <f t="shared" si="0"/>
        <v>11062294</v>
      </c>
      <c r="I24" s="13">
        <f t="shared" si="0"/>
        <v>12513730</v>
      </c>
      <c r="J24" s="13">
        <f t="shared" si="1"/>
        <v>50000000</v>
      </c>
      <c r="K24" s="13">
        <f t="shared" si="2"/>
        <v>10600496</v>
      </c>
      <c r="L24" s="13">
        <f t="shared" si="2"/>
        <v>10600496</v>
      </c>
      <c r="M24" s="13">
        <f>ROUND((M$3/SUM($K$3:$O$3))*$C24,0)+1</f>
        <v>9599670</v>
      </c>
      <c r="N24" s="13">
        <f>ROUND((N$3/SUM($K$3:$O$3))*$C24,0)</f>
        <v>9599669</v>
      </c>
      <c r="O24" s="13">
        <f t="shared" si="4"/>
        <v>9599669</v>
      </c>
      <c r="P24" s="13">
        <f t="shared" si="3"/>
        <v>50000000</v>
      </c>
    </row>
    <row r="25" spans="2:16" ht="22.5" thickBot="1" x14ac:dyDescent="0.3">
      <c r="B25" s="12">
        <v>50000000</v>
      </c>
      <c r="C25" s="12">
        <v>50000000</v>
      </c>
      <c r="D25" s="8" t="s">
        <v>38</v>
      </c>
      <c r="E25" s="13">
        <f t="shared" si="0"/>
        <v>13204142</v>
      </c>
      <c r="F25" s="13">
        <f t="shared" si="0"/>
        <v>11846854</v>
      </c>
      <c r="G25" s="13">
        <f t="shared" si="0"/>
        <v>1372980</v>
      </c>
      <c r="H25" s="13">
        <f t="shared" si="0"/>
        <v>11062294</v>
      </c>
      <c r="I25" s="13">
        <f t="shared" si="0"/>
        <v>12513730</v>
      </c>
      <c r="J25" s="13">
        <f t="shared" si="1"/>
        <v>50000000</v>
      </c>
      <c r="K25" s="13">
        <f t="shared" si="2"/>
        <v>10600496</v>
      </c>
      <c r="L25" s="13">
        <f t="shared" si="2"/>
        <v>10600496</v>
      </c>
      <c r="M25" s="13">
        <f>ROUND((M$3/SUM($K$3:$O$3))*$C25,0)+1</f>
        <v>9599670</v>
      </c>
      <c r="N25" s="13">
        <f>ROUND((N$3/SUM($K$3:$O$3))*$C25,0)</f>
        <v>9599669</v>
      </c>
      <c r="O25" s="13">
        <f t="shared" si="4"/>
        <v>9599669</v>
      </c>
      <c r="P25" s="13">
        <f t="shared" si="3"/>
        <v>50000000</v>
      </c>
    </row>
    <row r="26" spans="2:16" ht="22.5" thickBot="1" x14ac:dyDescent="0.3">
      <c r="B26" s="12">
        <v>50000000</v>
      </c>
      <c r="C26" s="12">
        <v>50000000</v>
      </c>
      <c r="D26" s="8" t="s">
        <v>39</v>
      </c>
      <c r="E26" s="13">
        <f t="shared" si="0"/>
        <v>13204142</v>
      </c>
      <c r="F26" s="13">
        <f t="shared" si="0"/>
        <v>11846854</v>
      </c>
      <c r="G26" s="13">
        <f t="shared" si="0"/>
        <v>1372980</v>
      </c>
      <c r="H26" s="13">
        <f t="shared" si="0"/>
        <v>11062294</v>
      </c>
      <c r="I26" s="13">
        <f t="shared" si="0"/>
        <v>12513730</v>
      </c>
      <c r="J26" s="13">
        <f t="shared" si="1"/>
        <v>50000000</v>
      </c>
      <c r="K26" s="13">
        <f t="shared" si="2"/>
        <v>10600496</v>
      </c>
      <c r="L26" s="13">
        <f t="shared" si="2"/>
        <v>10600496</v>
      </c>
      <c r="M26" s="13">
        <f>ROUND((M$3/SUM($K$3:$O$3))*$C26,0)+1</f>
        <v>9599670</v>
      </c>
      <c r="N26" s="13">
        <f>ROUND((N$3/SUM($K$3:$O$3))*$C26,0)</f>
        <v>9599669</v>
      </c>
      <c r="O26" s="13">
        <f t="shared" si="4"/>
        <v>9599669</v>
      </c>
      <c r="P26" s="13">
        <f t="shared" si="3"/>
        <v>50000000</v>
      </c>
    </row>
    <row r="27" spans="2:16" ht="22.5" thickBot="1" x14ac:dyDescent="0.3">
      <c r="B27" s="12">
        <v>50000000</v>
      </c>
      <c r="C27" s="12">
        <v>50000000</v>
      </c>
      <c r="D27" s="8" t="s">
        <v>40</v>
      </c>
      <c r="E27" s="13">
        <f t="shared" si="0"/>
        <v>13204142</v>
      </c>
      <c r="F27" s="13">
        <f t="shared" si="0"/>
        <v>11846854</v>
      </c>
      <c r="G27" s="13">
        <f t="shared" si="0"/>
        <v>1372980</v>
      </c>
      <c r="H27" s="13">
        <f t="shared" si="0"/>
        <v>11062294</v>
      </c>
      <c r="I27" s="13">
        <f t="shared" si="0"/>
        <v>12513730</v>
      </c>
      <c r="J27" s="13">
        <f t="shared" si="1"/>
        <v>50000000</v>
      </c>
      <c r="K27" s="13">
        <f>ROUND((K$3/SUM($K$3:$O$3))*$C27,0)+1</f>
        <v>10600497</v>
      </c>
      <c r="L27" s="13">
        <f t="shared" si="2"/>
        <v>10600496</v>
      </c>
      <c r="M27" s="13">
        <f t="shared" si="2"/>
        <v>9599669</v>
      </c>
      <c r="N27" s="13">
        <f t="shared" si="2"/>
        <v>9599669</v>
      </c>
      <c r="O27" s="13">
        <f t="shared" si="4"/>
        <v>9599669</v>
      </c>
      <c r="P27" s="13">
        <f t="shared" si="3"/>
        <v>50000000</v>
      </c>
    </row>
    <row r="28" spans="2:16" ht="22.5" thickBot="1" x14ac:dyDescent="0.3">
      <c r="B28" s="12">
        <v>50000000</v>
      </c>
      <c r="C28" s="12">
        <v>50000000</v>
      </c>
      <c r="D28" s="8" t="s">
        <v>41</v>
      </c>
      <c r="E28" s="13">
        <f t="shared" si="0"/>
        <v>13204142</v>
      </c>
      <c r="F28" s="13">
        <f t="shared" si="0"/>
        <v>11846854</v>
      </c>
      <c r="G28" s="13">
        <f t="shared" si="0"/>
        <v>1372980</v>
      </c>
      <c r="H28" s="13">
        <f t="shared" si="0"/>
        <v>11062294</v>
      </c>
      <c r="I28" s="13">
        <f t="shared" si="0"/>
        <v>12513730</v>
      </c>
      <c r="J28" s="13">
        <f t="shared" si="1"/>
        <v>50000000</v>
      </c>
      <c r="K28" s="13">
        <f>ROUND((K$3/SUM($K$3:$O$3))*$C28,0)+1</f>
        <v>10600497</v>
      </c>
      <c r="L28" s="13">
        <f t="shared" si="2"/>
        <v>10600496</v>
      </c>
      <c r="M28" s="13">
        <f t="shared" si="2"/>
        <v>9599669</v>
      </c>
      <c r="N28" s="13">
        <f t="shared" si="2"/>
        <v>9599669</v>
      </c>
      <c r="O28" s="13">
        <f t="shared" si="4"/>
        <v>9599669</v>
      </c>
      <c r="P28" s="13">
        <f t="shared" si="3"/>
        <v>50000000</v>
      </c>
    </row>
    <row r="29" spans="2:16" ht="22.5" thickBot="1" x14ac:dyDescent="0.3">
      <c r="B29" s="12">
        <v>50000000</v>
      </c>
      <c r="C29" s="12">
        <v>50000000</v>
      </c>
      <c r="D29" s="8" t="s">
        <v>42</v>
      </c>
      <c r="E29" s="13">
        <f t="shared" si="0"/>
        <v>13204142</v>
      </c>
      <c r="F29" s="13">
        <f t="shared" si="0"/>
        <v>11846854</v>
      </c>
      <c r="G29" s="13">
        <f t="shared" si="0"/>
        <v>1372980</v>
      </c>
      <c r="H29" s="13">
        <f t="shared" si="0"/>
        <v>11062294</v>
      </c>
      <c r="I29" s="13">
        <f t="shared" si="0"/>
        <v>12513730</v>
      </c>
      <c r="J29" s="13">
        <f t="shared" si="1"/>
        <v>50000000</v>
      </c>
      <c r="K29" s="13">
        <f>ROUND((K$3/SUM($K$3:$O$3))*$C29,0)+1</f>
        <v>10600497</v>
      </c>
      <c r="L29" s="13">
        <f t="shared" si="2"/>
        <v>10600496</v>
      </c>
      <c r="M29" s="13">
        <f t="shared" si="2"/>
        <v>9599669</v>
      </c>
      <c r="N29" s="13">
        <f t="shared" si="2"/>
        <v>9599669</v>
      </c>
      <c r="O29" s="13">
        <f>ROUND((O$3/SUM($K$3:$O$3))*$C29,0)</f>
        <v>9599669</v>
      </c>
      <c r="P29" s="13">
        <f t="shared" si="3"/>
        <v>50000000</v>
      </c>
    </row>
    <row r="30" spans="2:16" ht="22.5" thickBot="1" x14ac:dyDescent="0.3">
      <c r="B30" s="12">
        <v>58659361</v>
      </c>
      <c r="C30" s="12">
        <v>41340639</v>
      </c>
      <c r="D30" s="8" t="s">
        <v>43</v>
      </c>
      <c r="E30" s="13">
        <f>ROUND((E$3/SUM($E$3:$I$3))*$B30,0)</f>
        <v>15490931</v>
      </c>
      <c r="F30" s="13">
        <f t="shared" si="0"/>
        <v>13898578</v>
      </c>
      <c r="G30" s="13">
        <f>ROUND((G$3/SUM($E$3:$I$3))*$B30,0)</f>
        <v>1610762</v>
      </c>
      <c r="H30" s="13">
        <f t="shared" si="0"/>
        <v>12978142</v>
      </c>
      <c r="I30" s="13">
        <f t="shared" si="0"/>
        <v>14680948</v>
      </c>
      <c r="J30" s="13">
        <f t="shared" si="1"/>
        <v>58659361</v>
      </c>
      <c r="K30" s="13">
        <f>ROUND((K$3/SUM($K$3:$O$3))*$C30,0)+1</f>
        <v>8764627</v>
      </c>
      <c r="L30" s="13">
        <f>ROUND((L$3/SUM($K$3:$O$3))*$C30,0)+1</f>
        <v>8764627</v>
      </c>
      <c r="M30" s="13">
        <f>ROUND((M$3/SUM($K$3:$O$3))*$C30,0)-1</f>
        <v>7937128</v>
      </c>
      <c r="N30" s="13">
        <f>ROUND((N$3/SUM($K$3:$O$3))*$C30,0)-1</f>
        <v>7937128</v>
      </c>
      <c r="O30" s="13">
        <f t="shared" si="2"/>
        <v>7937129</v>
      </c>
      <c r="P30" s="13">
        <f t="shared" si="3"/>
        <v>41340639</v>
      </c>
    </row>
    <row r="31" spans="2:16" ht="22.5" thickBot="1" x14ac:dyDescent="0.3">
      <c r="B31" s="12">
        <v>100000000</v>
      </c>
      <c r="C31" s="12">
        <v>0</v>
      </c>
      <c r="D31" s="8" t="s">
        <v>44</v>
      </c>
      <c r="E31" s="13">
        <f>ROUND((E$3/SUM($E$3:$I$3))*$B31,0)</f>
        <v>26408285</v>
      </c>
      <c r="F31" s="13">
        <f t="shared" si="0"/>
        <v>23693708</v>
      </c>
      <c r="G31" s="13">
        <f>ROUND((G$3/SUM($E$3:$I$3))*$B31,0)-1</f>
        <v>2745959</v>
      </c>
      <c r="H31" s="13">
        <f t="shared" si="0"/>
        <v>22124588</v>
      </c>
      <c r="I31" s="13">
        <f t="shared" si="0"/>
        <v>25027460</v>
      </c>
      <c r="J31" s="13">
        <f t="shared" si="1"/>
        <v>100000000</v>
      </c>
      <c r="K31" s="13">
        <f t="shared" si="2"/>
        <v>0</v>
      </c>
      <c r="L31" s="13">
        <f t="shared" si="2"/>
        <v>0</v>
      </c>
      <c r="M31" s="13">
        <f t="shared" si="2"/>
        <v>0</v>
      </c>
      <c r="N31" s="13">
        <f t="shared" si="2"/>
        <v>0</v>
      </c>
      <c r="O31" s="13">
        <f t="shared" si="2"/>
        <v>0</v>
      </c>
      <c r="P31" s="13">
        <f t="shared" si="3"/>
        <v>0</v>
      </c>
    </row>
    <row r="32" spans="2:16" ht="22.5" thickBot="1" x14ac:dyDescent="0.3">
      <c r="B32" s="12">
        <v>30000000</v>
      </c>
      <c r="C32" s="12">
        <v>0</v>
      </c>
      <c r="D32" s="8" t="s">
        <v>45</v>
      </c>
      <c r="E32" s="13">
        <f>ROUND((E$3/SUM($E$3:$I$3))*$B32,0)+13</f>
        <v>7922498</v>
      </c>
      <c r="F32" s="13">
        <f>ROUND((F$3/SUM($E$3:$I$3))*$B32,0)-2</f>
        <v>7108110</v>
      </c>
      <c r="G32" s="13">
        <f>ROUND((G$3/SUM($E$3:$I$3))*$B32,0)-6</f>
        <v>823782</v>
      </c>
      <c r="H32" s="13">
        <f>ROUND((H$3/SUM($E$3:$I$3))*$B32,0)+2</f>
        <v>6637378</v>
      </c>
      <c r="I32" s="13">
        <f>ROUND((I$3/SUM($E$3:$I$3))*$B32,0)-6</f>
        <v>7508232</v>
      </c>
      <c r="J32" s="13">
        <f t="shared" si="1"/>
        <v>30000000</v>
      </c>
      <c r="K32" s="13">
        <f t="shared" si="2"/>
        <v>0</v>
      </c>
      <c r="L32" s="13">
        <f t="shared" si="2"/>
        <v>0</v>
      </c>
      <c r="M32" s="13">
        <f t="shared" si="2"/>
        <v>0</v>
      </c>
      <c r="N32" s="13">
        <f t="shared" si="2"/>
        <v>0</v>
      </c>
      <c r="O32" s="13">
        <f t="shared" si="2"/>
        <v>0</v>
      </c>
      <c r="P32" s="13">
        <f t="shared" si="3"/>
        <v>0</v>
      </c>
    </row>
    <row r="33" spans="2:16" ht="21.75" x14ac:dyDescent="0.25">
      <c r="B33" s="12">
        <f>SUM(B4:B32)</f>
        <v>1488659361</v>
      </c>
      <c r="C33" s="12">
        <f>SUM(C4:C32)</f>
        <v>791340639</v>
      </c>
      <c r="D33" s="1"/>
      <c r="E33" s="13">
        <f>SUM(E4:E32)</f>
        <v>393129406</v>
      </c>
      <c r="F33" s="13">
        <f t="shared" ref="F33:O33" si="5">SUM(F4:F32)</f>
        <v>352718600</v>
      </c>
      <c r="G33" s="13">
        <f t="shared" si="5"/>
        <v>40877983</v>
      </c>
      <c r="H33" s="13">
        <f t="shared" si="5"/>
        <v>329359752</v>
      </c>
      <c r="I33" s="13">
        <f>SUM(I4:I32)</f>
        <v>372573620</v>
      </c>
      <c r="J33" s="13">
        <f t="shared" si="1"/>
        <v>1488659361</v>
      </c>
      <c r="K33" s="13">
        <f t="shared" si="5"/>
        <v>167772070</v>
      </c>
      <c r="L33" s="13">
        <f t="shared" si="5"/>
        <v>167772070</v>
      </c>
      <c r="M33" s="13">
        <f t="shared" si="5"/>
        <v>151932166</v>
      </c>
      <c r="N33" s="13">
        <f t="shared" si="5"/>
        <v>151932166</v>
      </c>
      <c r="O33" s="13">
        <f t="shared" si="5"/>
        <v>151932167</v>
      </c>
      <c r="P33" s="13">
        <f t="shared" si="3"/>
        <v>791340639</v>
      </c>
    </row>
    <row r="34" spans="2:16" ht="22.5" x14ac:dyDescent="0.25">
      <c r="D34" s="1"/>
      <c r="E34" s="14">
        <f>SUM(E33:I33)</f>
        <v>1488659361</v>
      </c>
      <c r="F34" s="14"/>
      <c r="G34" s="14"/>
      <c r="H34" s="14"/>
      <c r="I34" s="14"/>
      <c r="J34" s="15"/>
      <c r="K34" s="14">
        <f>SUM(K33:O33)</f>
        <v>791340639</v>
      </c>
      <c r="L34" s="14"/>
      <c r="M34" s="14"/>
      <c r="N34" s="14"/>
      <c r="O34" s="14"/>
      <c r="P34" s="15"/>
    </row>
    <row r="35" spans="2:16" ht="21.75" x14ac:dyDescent="0.25">
      <c r="D35" s="1"/>
      <c r="E35" s="13">
        <f>(E3/SUM($E$3:$I$3))*$B$33</f>
        <v>393129406.01961398</v>
      </c>
      <c r="F35" s="13">
        <f>(F3/SUM($E$3:$I$3))*$B$33</f>
        <v>352718599.57790673</v>
      </c>
      <c r="G35" s="13">
        <f>(G3/SUM($E$3:$I$3))*$B$33</f>
        <v>40877983.394790523</v>
      </c>
      <c r="H35" s="13">
        <f>(H3/SUM($E$3:$I$3))*$B$33</f>
        <v>329359751.9237408</v>
      </c>
      <c r="I35" s="13">
        <f>(I3/SUM($E$3:$I$3))*$B$33</f>
        <v>372573620.08394784</v>
      </c>
      <c r="J35" s="16"/>
      <c r="K35" s="16">
        <f>(K3/SUM($K$3:$O$3))*$C$33</f>
        <v>167772069.96565759</v>
      </c>
      <c r="L35" s="16">
        <f>(L3/SUM($K$3:$O$3))*$C$33</f>
        <v>167772069.96565759</v>
      </c>
      <c r="M35" s="16">
        <f>(M3/SUM($K$3:$O$3))*$C$33</f>
        <v>151932166.35622829</v>
      </c>
      <c r="N35" s="16">
        <f>(N3/SUM($K$3:$O$3))*$C$33</f>
        <v>151932166.35622829</v>
      </c>
      <c r="O35" s="16">
        <f>(O3/SUM($K$3:$O$3))*$C$33</f>
        <v>151932166.35622829</v>
      </c>
      <c r="P35" s="16"/>
    </row>
  </sheetData>
  <mergeCells count="4">
    <mergeCell ref="E1:I1"/>
    <mergeCell ref="K1:O1"/>
    <mergeCell ref="E34:I34"/>
    <mergeCell ref="K34:O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rightToLeft="1" tabSelected="1" topLeftCell="K37" workbookViewId="0">
      <selection activeCell="R45" sqref="R45"/>
    </sheetView>
  </sheetViews>
  <sheetFormatPr defaultColWidth="9.125" defaultRowHeight="21.75" x14ac:dyDescent="0.25"/>
  <cols>
    <col min="1" max="2" width="9.125" style="17"/>
    <col min="3" max="3" width="15.75" style="17" bestFit="1" customWidth="1"/>
    <col min="4" max="4" width="19.375" style="17" bestFit="1" customWidth="1"/>
    <col min="5" max="5" width="17" style="17" bestFit="1" customWidth="1"/>
    <col min="6" max="6" width="16.375" style="17" bestFit="1" customWidth="1"/>
    <col min="7" max="7" width="16.375" style="17" customWidth="1"/>
    <col min="8" max="8" width="11.625" style="17" customWidth="1"/>
    <col min="9" max="9" width="18.125" style="17" customWidth="1"/>
    <col min="10" max="10" width="22.125" style="17" customWidth="1"/>
    <col min="11" max="11" width="18.75" style="17" customWidth="1"/>
    <col min="12" max="12" width="19" style="17" bestFit="1" customWidth="1"/>
    <col min="13" max="13" width="19" style="22" customWidth="1"/>
    <col min="14" max="15" width="9.125" style="17"/>
    <col min="16" max="16" width="16.375" style="28" customWidth="1"/>
    <col min="17" max="17" width="15.75" style="28" customWidth="1"/>
    <col min="18" max="18" width="16.125" style="28" customWidth="1"/>
    <col min="19" max="19" width="17.25" style="28" customWidth="1"/>
    <col min="20" max="20" width="15.25" style="17" bestFit="1" customWidth="1"/>
    <col min="21" max="16384" width="9.125" style="17"/>
  </cols>
  <sheetData>
    <row r="1" spans="1:19" ht="65.25" x14ac:dyDescent="0.25">
      <c r="C1" s="17" t="s">
        <v>46</v>
      </c>
      <c r="D1" s="18">
        <v>1617000000</v>
      </c>
      <c r="E1" s="17" t="s">
        <v>47</v>
      </c>
      <c r="F1" s="18">
        <v>2280000000</v>
      </c>
      <c r="H1" s="19" t="s">
        <v>48</v>
      </c>
      <c r="I1" s="20">
        <v>0.63729999999999998</v>
      </c>
      <c r="J1" s="21"/>
      <c r="K1" s="21"/>
      <c r="L1" s="21"/>
      <c r="P1" s="23" t="s">
        <v>48</v>
      </c>
      <c r="Q1" s="24">
        <v>0.36270000000000002</v>
      </c>
      <c r="R1" s="25"/>
      <c r="S1" s="25"/>
    </row>
    <row r="2" spans="1:19" x14ac:dyDescent="0.25">
      <c r="D2" s="26"/>
      <c r="J2" s="27"/>
    </row>
    <row r="3" spans="1:19" x14ac:dyDescent="0.25">
      <c r="A3" s="17" t="s">
        <v>49</v>
      </c>
    </row>
    <row r="4" spans="1:19" ht="22.5" x14ac:dyDescent="0.25">
      <c r="B4" s="29" t="s">
        <v>50</v>
      </c>
      <c r="C4" s="30"/>
      <c r="D4" s="30"/>
      <c r="E4" s="30"/>
      <c r="F4" s="31"/>
      <c r="H4" s="32" t="s">
        <v>51</v>
      </c>
      <c r="I4" s="33"/>
      <c r="J4" s="33"/>
      <c r="K4" s="33"/>
      <c r="L4" s="34"/>
      <c r="O4" s="32" t="s">
        <v>52</v>
      </c>
      <c r="P4" s="33"/>
      <c r="Q4" s="33"/>
      <c r="R4" s="33"/>
      <c r="S4" s="34"/>
    </row>
    <row r="5" spans="1:19" x14ac:dyDescent="0.25">
      <c r="B5" s="35" t="s">
        <v>53</v>
      </c>
      <c r="C5" s="36" t="s">
        <v>54</v>
      </c>
      <c r="D5" s="36" t="s">
        <v>46</v>
      </c>
      <c r="E5" s="36" t="s">
        <v>55</v>
      </c>
      <c r="F5" s="36" t="s">
        <v>56</v>
      </c>
      <c r="H5" s="35" t="str">
        <f>B5</f>
        <v>ماه</v>
      </c>
      <c r="I5" s="12" t="str">
        <f t="shared" ref="I5:L5" si="0">C5</f>
        <v>برنامه سرمایه‌گذاری</v>
      </c>
      <c r="J5" s="12" t="str">
        <f t="shared" si="0"/>
        <v>حجم سرمایه‌گذاری</v>
      </c>
      <c r="K5" s="12" t="str">
        <f t="shared" si="0"/>
        <v>بازپرداخت</v>
      </c>
      <c r="L5" s="12" t="str">
        <f t="shared" si="0"/>
        <v xml:space="preserve">جریان نقدی </v>
      </c>
      <c r="O5" s="35" t="s">
        <v>53</v>
      </c>
      <c r="P5" s="12" t="str">
        <f>I5</f>
        <v>برنامه سرمایه‌گذاری</v>
      </c>
      <c r="Q5" s="12" t="str">
        <f>J5</f>
        <v>حجم سرمایه‌گذاری</v>
      </c>
      <c r="R5" s="12" t="s">
        <v>55</v>
      </c>
      <c r="S5" s="12" t="str">
        <f>L5</f>
        <v xml:space="preserve">جریان نقدی </v>
      </c>
    </row>
    <row r="6" spans="1:19" x14ac:dyDescent="0.25">
      <c r="B6" s="35">
        <v>1</v>
      </c>
      <c r="C6" s="37">
        <v>2.8500000000000001E-2</v>
      </c>
      <c r="D6" s="38">
        <f t="shared" ref="D6:D47" si="1">Total_investment*C6</f>
        <v>46084500</v>
      </c>
      <c r="E6" s="36">
        <v>0</v>
      </c>
      <c r="F6" s="38">
        <f>E6-D6</f>
        <v>-46084500</v>
      </c>
      <c r="G6" s="27"/>
      <c r="H6" s="35">
        <v>1</v>
      </c>
      <c r="I6" s="37">
        <v>2.8500000000000001E-2</v>
      </c>
      <c r="J6" s="12">
        <f t="shared" ref="J6:J47" si="2">I6*Total_investment</f>
        <v>46084500</v>
      </c>
      <c r="K6" s="12">
        <v>0</v>
      </c>
      <c r="L6" s="12">
        <f>K6-J6</f>
        <v>-46084500</v>
      </c>
      <c r="O6" s="35">
        <v>1</v>
      </c>
      <c r="P6" s="37">
        <f t="shared" ref="P6:P47" si="3">C6-I6</f>
        <v>0</v>
      </c>
      <c r="Q6" s="12">
        <f t="shared" ref="Q6:Q47" si="4">P6*Total_investment</f>
        <v>0</v>
      </c>
      <c r="R6" s="12">
        <v>0</v>
      </c>
      <c r="S6" s="12">
        <f>R6-Q6</f>
        <v>0</v>
      </c>
    </row>
    <row r="7" spans="1:19" x14ac:dyDescent="0.25">
      <c r="B7" s="35">
        <f>B6+1</f>
        <v>2</v>
      </c>
      <c r="C7" s="37">
        <v>4.3400000000000001E-2</v>
      </c>
      <c r="D7" s="38">
        <f t="shared" si="1"/>
        <v>70177800</v>
      </c>
      <c r="E7" s="36">
        <v>0</v>
      </c>
      <c r="F7" s="38">
        <f t="shared" ref="F7:F46" si="5">E7-D7</f>
        <v>-70177800</v>
      </c>
      <c r="G7" s="27"/>
      <c r="H7" s="35">
        <f>H6+1</f>
        <v>2</v>
      </c>
      <c r="I7" s="37">
        <v>4.3400000000000001E-2</v>
      </c>
      <c r="J7" s="12">
        <f t="shared" si="2"/>
        <v>70177800</v>
      </c>
      <c r="K7" s="12">
        <v>0</v>
      </c>
      <c r="L7" s="12">
        <f t="shared" ref="L7:L47" si="6">K7-J7</f>
        <v>-70177800</v>
      </c>
      <c r="O7" s="35">
        <f>O6+1</f>
        <v>2</v>
      </c>
      <c r="P7" s="37">
        <f t="shared" si="3"/>
        <v>0</v>
      </c>
      <c r="Q7" s="12">
        <f t="shared" si="4"/>
        <v>0</v>
      </c>
      <c r="R7" s="12">
        <v>0</v>
      </c>
      <c r="S7" s="12">
        <f t="shared" ref="S7:S47" si="7">R7-Q7</f>
        <v>0</v>
      </c>
    </row>
    <row r="8" spans="1:19" x14ac:dyDescent="0.25">
      <c r="B8" s="35">
        <f t="shared" ref="B8:B47" si="8">B7+1</f>
        <v>3</v>
      </c>
      <c r="C8" s="37">
        <v>3.8699999999999998E-2</v>
      </c>
      <c r="D8" s="38">
        <f t="shared" si="1"/>
        <v>62577900</v>
      </c>
      <c r="E8" s="36">
        <v>0</v>
      </c>
      <c r="F8" s="38">
        <f t="shared" si="5"/>
        <v>-62577900</v>
      </c>
      <c r="G8" s="27"/>
      <c r="H8" s="35">
        <f t="shared" ref="H8:H47" si="9">H7+1</f>
        <v>3</v>
      </c>
      <c r="I8" s="37">
        <v>3.8699999999999998E-2</v>
      </c>
      <c r="J8" s="12">
        <f t="shared" si="2"/>
        <v>62577900</v>
      </c>
      <c r="K8" s="12">
        <v>0</v>
      </c>
      <c r="L8" s="12">
        <f t="shared" si="6"/>
        <v>-62577900</v>
      </c>
      <c r="O8" s="35">
        <f t="shared" ref="O8:O47" si="10">O7+1</f>
        <v>3</v>
      </c>
      <c r="P8" s="37">
        <f t="shared" si="3"/>
        <v>0</v>
      </c>
      <c r="Q8" s="12">
        <f t="shared" si="4"/>
        <v>0</v>
      </c>
      <c r="R8" s="12">
        <v>0</v>
      </c>
      <c r="S8" s="12">
        <f t="shared" si="7"/>
        <v>0</v>
      </c>
    </row>
    <row r="9" spans="1:19" x14ac:dyDescent="0.25">
      <c r="B9" s="35">
        <f t="shared" si="8"/>
        <v>4</v>
      </c>
      <c r="C9" s="37">
        <v>3.7100000000000001E-2</v>
      </c>
      <c r="D9" s="38">
        <f t="shared" si="1"/>
        <v>59990700</v>
      </c>
      <c r="E9" s="36">
        <v>0</v>
      </c>
      <c r="F9" s="38">
        <f t="shared" si="5"/>
        <v>-59990700</v>
      </c>
      <c r="G9" s="27"/>
      <c r="H9" s="35">
        <f t="shared" si="9"/>
        <v>4</v>
      </c>
      <c r="I9" s="37">
        <v>3.7100000000000001E-2</v>
      </c>
      <c r="J9" s="12">
        <f t="shared" si="2"/>
        <v>59990700</v>
      </c>
      <c r="K9" s="12">
        <v>0</v>
      </c>
      <c r="L9" s="12">
        <f t="shared" si="6"/>
        <v>-59990700</v>
      </c>
      <c r="O9" s="35">
        <f t="shared" si="10"/>
        <v>4</v>
      </c>
      <c r="P9" s="37">
        <f t="shared" si="3"/>
        <v>0</v>
      </c>
      <c r="Q9" s="12">
        <f t="shared" si="4"/>
        <v>0</v>
      </c>
      <c r="R9" s="12">
        <v>0</v>
      </c>
      <c r="S9" s="12">
        <f t="shared" si="7"/>
        <v>0</v>
      </c>
    </row>
    <row r="10" spans="1:19" x14ac:dyDescent="0.25">
      <c r="B10" s="35">
        <f t="shared" si="8"/>
        <v>5</v>
      </c>
      <c r="C10" s="37">
        <v>3.6999999999999998E-2</v>
      </c>
      <c r="D10" s="38">
        <f t="shared" si="1"/>
        <v>59829000</v>
      </c>
      <c r="E10" s="36">
        <v>0</v>
      </c>
      <c r="F10" s="38">
        <f t="shared" si="5"/>
        <v>-59829000</v>
      </c>
      <c r="G10" s="27"/>
      <c r="H10" s="35">
        <f t="shared" si="9"/>
        <v>5</v>
      </c>
      <c r="I10" s="37">
        <v>3.6999999999999998E-2</v>
      </c>
      <c r="J10" s="12">
        <f t="shared" si="2"/>
        <v>59829000</v>
      </c>
      <c r="K10" s="12">
        <v>0</v>
      </c>
      <c r="L10" s="12">
        <f t="shared" si="6"/>
        <v>-59829000</v>
      </c>
      <c r="O10" s="35">
        <f t="shared" si="10"/>
        <v>5</v>
      </c>
      <c r="P10" s="37">
        <f t="shared" si="3"/>
        <v>0</v>
      </c>
      <c r="Q10" s="12">
        <f t="shared" si="4"/>
        <v>0</v>
      </c>
      <c r="R10" s="12">
        <v>0</v>
      </c>
      <c r="S10" s="12">
        <f t="shared" si="7"/>
        <v>0</v>
      </c>
    </row>
    <row r="11" spans="1:19" x14ac:dyDescent="0.25">
      <c r="B11" s="35">
        <f t="shared" si="8"/>
        <v>6</v>
      </c>
      <c r="C11" s="37">
        <v>3.6999999999999998E-2</v>
      </c>
      <c r="D11" s="38">
        <f t="shared" si="1"/>
        <v>59829000</v>
      </c>
      <c r="E11" s="36">
        <v>0</v>
      </c>
      <c r="F11" s="38">
        <f t="shared" si="5"/>
        <v>-59829000</v>
      </c>
      <c r="G11" s="27"/>
      <c r="H11" s="35">
        <f t="shared" si="9"/>
        <v>6</v>
      </c>
      <c r="I11" s="37">
        <v>3.6999999999999998E-2</v>
      </c>
      <c r="J11" s="12">
        <f t="shared" si="2"/>
        <v>59829000</v>
      </c>
      <c r="K11" s="12">
        <v>0</v>
      </c>
      <c r="L11" s="12">
        <f t="shared" si="6"/>
        <v>-59829000</v>
      </c>
      <c r="O11" s="35">
        <f t="shared" si="10"/>
        <v>6</v>
      </c>
      <c r="P11" s="37">
        <f t="shared" si="3"/>
        <v>0</v>
      </c>
      <c r="Q11" s="12">
        <f t="shared" si="4"/>
        <v>0</v>
      </c>
      <c r="R11" s="12">
        <v>0</v>
      </c>
      <c r="S11" s="12">
        <f t="shared" si="7"/>
        <v>0</v>
      </c>
    </row>
    <row r="12" spans="1:19" x14ac:dyDescent="0.25">
      <c r="B12" s="35">
        <f t="shared" si="8"/>
        <v>7</v>
      </c>
      <c r="C12" s="37">
        <v>7.4099999999999999E-2</v>
      </c>
      <c r="D12" s="38">
        <f t="shared" si="1"/>
        <v>119819700</v>
      </c>
      <c r="E12" s="36">
        <v>0</v>
      </c>
      <c r="F12" s="38">
        <f t="shared" si="5"/>
        <v>-119819700</v>
      </c>
      <c r="G12" s="27"/>
      <c r="H12" s="35">
        <f t="shared" si="9"/>
        <v>7</v>
      </c>
      <c r="I12" s="37">
        <v>7.4099999999999999E-2</v>
      </c>
      <c r="J12" s="12">
        <f t="shared" si="2"/>
        <v>119819700</v>
      </c>
      <c r="K12" s="12">
        <v>0</v>
      </c>
      <c r="L12" s="12">
        <f t="shared" si="6"/>
        <v>-119819700</v>
      </c>
      <c r="M12" s="22" t="s">
        <v>57</v>
      </c>
      <c r="O12" s="35">
        <f t="shared" si="10"/>
        <v>7</v>
      </c>
      <c r="P12" s="37">
        <f t="shared" si="3"/>
        <v>0</v>
      </c>
      <c r="Q12" s="12">
        <f t="shared" si="4"/>
        <v>0</v>
      </c>
      <c r="R12" s="12">
        <v>0</v>
      </c>
      <c r="S12" s="12">
        <f t="shared" si="7"/>
        <v>0</v>
      </c>
    </row>
    <row r="13" spans="1:19" x14ac:dyDescent="0.25">
      <c r="B13" s="35">
        <f t="shared" si="8"/>
        <v>8</v>
      </c>
      <c r="C13" s="37">
        <v>7.2499999999999995E-2</v>
      </c>
      <c r="D13" s="38">
        <f t="shared" si="1"/>
        <v>117232499.99999999</v>
      </c>
      <c r="E13" s="36">
        <v>0</v>
      </c>
      <c r="F13" s="38">
        <f t="shared" si="5"/>
        <v>-117232499.99999999</v>
      </c>
      <c r="G13" s="27"/>
      <c r="H13" s="35">
        <f t="shared" si="9"/>
        <v>8</v>
      </c>
      <c r="I13" s="37">
        <v>6.1499999999999999E-2</v>
      </c>
      <c r="J13" s="12">
        <f t="shared" si="2"/>
        <v>99445500</v>
      </c>
      <c r="K13" s="12">
        <v>0</v>
      </c>
      <c r="L13" s="12">
        <f t="shared" si="6"/>
        <v>-99445500</v>
      </c>
      <c r="O13" s="35">
        <f t="shared" si="10"/>
        <v>8</v>
      </c>
      <c r="P13" s="37">
        <f t="shared" si="3"/>
        <v>1.0999999999999996E-2</v>
      </c>
      <c r="Q13" s="12">
        <f t="shared" si="4"/>
        <v>17786999.999999993</v>
      </c>
      <c r="R13" s="12">
        <v>0</v>
      </c>
      <c r="S13" s="12">
        <f t="shared" si="7"/>
        <v>-17786999.999999993</v>
      </c>
    </row>
    <row r="14" spans="1:19" x14ac:dyDescent="0.25">
      <c r="B14" s="35">
        <f t="shared" si="8"/>
        <v>9</v>
      </c>
      <c r="C14" s="37">
        <v>0.14019999999999999</v>
      </c>
      <c r="D14" s="38">
        <f t="shared" si="1"/>
        <v>226703400</v>
      </c>
      <c r="E14" s="36">
        <v>0</v>
      </c>
      <c r="F14" s="38">
        <f t="shared" si="5"/>
        <v>-226703400</v>
      </c>
      <c r="G14" s="27"/>
      <c r="H14" s="35">
        <f t="shared" si="9"/>
        <v>9</v>
      </c>
      <c r="I14" s="37">
        <v>0.12920000000000001</v>
      </c>
      <c r="J14" s="12">
        <f t="shared" si="2"/>
        <v>208916400.00000003</v>
      </c>
      <c r="K14" s="12">
        <v>0</v>
      </c>
      <c r="L14" s="12">
        <f t="shared" si="6"/>
        <v>-208916400.00000003</v>
      </c>
      <c r="O14" s="35">
        <f t="shared" si="10"/>
        <v>9</v>
      </c>
      <c r="P14" s="37">
        <f t="shared" si="3"/>
        <v>1.0999999999999982E-2</v>
      </c>
      <c r="Q14" s="12">
        <f t="shared" si="4"/>
        <v>17786999.99999997</v>
      </c>
      <c r="R14" s="12">
        <v>0</v>
      </c>
      <c r="S14" s="12">
        <f t="shared" si="7"/>
        <v>-17786999.99999997</v>
      </c>
    </row>
    <row r="15" spans="1:19" x14ac:dyDescent="0.25">
      <c r="B15" s="35">
        <f t="shared" si="8"/>
        <v>10</v>
      </c>
      <c r="C15" s="37">
        <v>8.9800000000000005E-2</v>
      </c>
      <c r="D15" s="38">
        <f t="shared" si="1"/>
        <v>145206600</v>
      </c>
      <c r="E15" s="36">
        <v>0</v>
      </c>
      <c r="F15" s="38">
        <f t="shared" si="5"/>
        <v>-145206600</v>
      </c>
      <c r="G15" s="27"/>
      <c r="H15" s="35">
        <f t="shared" si="9"/>
        <v>10</v>
      </c>
      <c r="I15" s="37">
        <v>7.8799999999999995E-2</v>
      </c>
      <c r="J15" s="12">
        <f t="shared" si="2"/>
        <v>127419599.99999999</v>
      </c>
      <c r="K15" s="12">
        <v>0</v>
      </c>
      <c r="L15" s="12">
        <f t="shared" si="6"/>
        <v>-127419599.99999999</v>
      </c>
      <c r="O15" s="35">
        <f t="shared" si="10"/>
        <v>10</v>
      </c>
      <c r="P15" s="37">
        <f t="shared" si="3"/>
        <v>1.100000000000001E-2</v>
      </c>
      <c r="Q15" s="12">
        <f t="shared" si="4"/>
        <v>17787000.000000015</v>
      </c>
      <c r="R15" s="12">
        <v>0</v>
      </c>
      <c r="S15" s="12">
        <f t="shared" si="7"/>
        <v>-17787000.000000015</v>
      </c>
    </row>
    <row r="16" spans="1:19" x14ac:dyDescent="0.25">
      <c r="B16" s="35">
        <f t="shared" si="8"/>
        <v>11</v>
      </c>
      <c r="C16" s="37">
        <v>6.8900000000000003E-2</v>
      </c>
      <c r="D16" s="38">
        <f t="shared" si="1"/>
        <v>111411300</v>
      </c>
      <c r="E16" s="36">
        <v>0</v>
      </c>
      <c r="F16" s="38">
        <f t="shared" si="5"/>
        <v>-111411300</v>
      </c>
      <c r="G16" s="27"/>
      <c r="H16" s="35">
        <f t="shared" si="9"/>
        <v>11</v>
      </c>
      <c r="I16" s="37">
        <v>5.7799999999999997E-2</v>
      </c>
      <c r="J16" s="12">
        <f t="shared" si="2"/>
        <v>93462600</v>
      </c>
      <c r="K16" s="12">
        <v>0</v>
      </c>
      <c r="L16" s="12">
        <f t="shared" si="6"/>
        <v>-93462600</v>
      </c>
      <c r="O16" s="35">
        <f t="shared" si="10"/>
        <v>11</v>
      </c>
      <c r="P16" s="37">
        <f t="shared" si="3"/>
        <v>1.1100000000000006E-2</v>
      </c>
      <c r="Q16" s="12">
        <f t="shared" si="4"/>
        <v>17948700.000000007</v>
      </c>
      <c r="R16" s="12">
        <v>0</v>
      </c>
      <c r="S16" s="12">
        <f t="shared" si="7"/>
        <v>-17948700.000000007</v>
      </c>
    </row>
    <row r="17" spans="2:20" x14ac:dyDescent="0.25">
      <c r="B17" s="35">
        <f t="shared" si="8"/>
        <v>12</v>
      </c>
      <c r="C17" s="37">
        <v>2.52E-2</v>
      </c>
      <c r="D17" s="38">
        <f t="shared" si="1"/>
        <v>40748400</v>
      </c>
      <c r="E17" s="36">
        <v>0</v>
      </c>
      <c r="F17" s="38">
        <f t="shared" si="5"/>
        <v>-40748400</v>
      </c>
      <c r="G17" s="27"/>
      <c r="H17" s="35">
        <f t="shared" si="9"/>
        <v>12</v>
      </c>
      <c r="I17" s="37">
        <v>1.4200000000000001E-2</v>
      </c>
      <c r="J17" s="12">
        <f t="shared" si="2"/>
        <v>22961400</v>
      </c>
      <c r="K17" s="12">
        <v>0</v>
      </c>
      <c r="L17" s="12">
        <f t="shared" si="6"/>
        <v>-22961400</v>
      </c>
      <c r="O17" s="35">
        <f t="shared" si="10"/>
        <v>12</v>
      </c>
      <c r="P17" s="37">
        <f t="shared" si="3"/>
        <v>1.0999999999999999E-2</v>
      </c>
      <c r="Q17" s="12">
        <f t="shared" si="4"/>
        <v>17787000</v>
      </c>
      <c r="R17" s="12">
        <v>0</v>
      </c>
      <c r="S17" s="12">
        <f t="shared" si="7"/>
        <v>-17787000</v>
      </c>
    </row>
    <row r="18" spans="2:20" x14ac:dyDescent="0.25">
      <c r="B18" s="35">
        <f t="shared" si="8"/>
        <v>13</v>
      </c>
      <c r="C18" s="37">
        <v>5.8299999999999998E-2</v>
      </c>
      <c r="D18" s="38">
        <f t="shared" si="1"/>
        <v>94271100</v>
      </c>
      <c r="E18" s="36">
        <v>0</v>
      </c>
      <c r="F18" s="38">
        <f t="shared" si="5"/>
        <v>-94271100</v>
      </c>
      <c r="G18" s="27"/>
      <c r="H18" s="35">
        <f t="shared" si="9"/>
        <v>13</v>
      </c>
      <c r="I18" s="37">
        <v>0</v>
      </c>
      <c r="J18" s="12">
        <f t="shared" si="2"/>
        <v>0</v>
      </c>
      <c r="K18" s="12">
        <v>0</v>
      </c>
      <c r="L18" s="12">
        <f t="shared" si="6"/>
        <v>0</v>
      </c>
      <c r="O18" s="35">
        <f t="shared" si="10"/>
        <v>13</v>
      </c>
      <c r="P18" s="37">
        <f t="shared" si="3"/>
        <v>5.8299999999999998E-2</v>
      </c>
      <c r="Q18" s="12">
        <f t="shared" si="4"/>
        <v>94271100</v>
      </c>
      <c r="R18" s="12">
        <v>0</v>
      </c>
      <c r="S18" s="12">
        <f t="shared" si="7"/>
        <v>-94271100</v>
      </c>
    </row>
    <row r="19" spans="2:20" x14ac:dyDescent="0.25">
      <c r="B19" s="35">
        <f t="shared" si="8"/>
        <v>14</v>
      </c>
      <c r="C19" s="37">
        <v>1.3100000000000001E-2</v>
      </c>
      <c r="D19" s="38">
        <f t="shared" si="1"/>
        <v>21182700</v>
      </c>
      <c r="E19" s="38">
        <v>50000000</v>
      </c>
      <c r="F19" s="38">
        <f t="shared" si="5"/>
        <v>28817300</v>
      </c>
      <c r="G19" s="27"/>
      <c r="H19" s="35">
        <f t="shared" si="9"/>
        <v>14</v>
      </c>
      <c r="I19" s="37">
        <v>0</v>
      </c>
      <c r="J19" s="12">
        <f t="shared" si="2"/>
        <v>0</v>
      </c>
      <c r="K19" s="12">
        <f>'سهم گستره ها'!J4</f>
        <v>50000000</v>
      </c>
      <c r="L19" s="12">
        <f t="shared" si="6"/>
        <v>50000000</v>
      </c>
      <c r="M19" s="39">
        <f>K19/(1+$F$50)^H19</f>
        <v>38946823.568859503</v>
      </c>
      <c r="O19" s="35">
        <f t="shared" si="10"/>
        <v>14</v>
      </c>
      <c r="P19" s="37">
        <f t="shared" si="3"/>
        <v>1.3100000000000001E-2</v>
      </c>
      <c r="Q19" s="12">
        <f t="shared" si="4"/>
        <v>21182700</v>
      </c>
      <c r="R19" s="12">
        <v>0</v>
      </c>
      <c r="S19" s="12">
        <f t="shared" si="7"/>
        <v>-21182700</v>
      </c>
    </row>
    <row r="20" spans="2:20" x14ac:dyDescent="0.25">
      <c r="B20" s="35">
        <f t="shared" si="8"/>
        <v>15</v>
      </c>
      <c r="C20" s="37">
        <v>6.2799999999999995E-2</v>
      </c>
      <c r="D20" s="38">
        <f t="shared" si="1"/>
        <v>101547599.99999999</v>
      </c>
      <c r="E20" s="38">
        <f>E19</f>
        <v>50000000</v>
      </c>
      <c r="F20" s="38">
        <f t="shared" si="5"/>
        <v>-51547599.999999985</v>
      </c>
      <c r="G20" s="27"/>
      <c r="H20" s="35">
        <f t="shared" si="9"/>
        <v>15</v>
      </c>
      <c r="I20" s="37">
        <v>0</v>
      </c>
      <c r="J20" s="12">
        <f t="shared" si="2"/>
        <v>0</v>
      </c>
      <c r="K20" s="12">
        <f>'سهم گستره ها'!J5</f>
        <v>50000000</v>
      </c>
      <c r="L20" s="12">
        <f t="shared" si="6"/>
        <v>50000000</v>
      </c>
      <c r="M20" s="39">
        <f t="shared" ref="M20:M47" si="11">K20/(1+$F$50)^H20</f>
        <v>38257993.481469125</v>
      </c>
      <c r="O20" s="35">
        <f t="shared" si="10"/>
        <v>15</v>
      </c>
      <c r="P20" s="37">
        <f t="shared" si="3"/>
        <v>6.2799999999999995E-2</v>
      </c>
      <c r="Q20" s="12">
        <f t="shared" si="4"/>
        <v>101547599.99999999</v>
      </c>
      <c r="R20" s="12">
        <v>0</v>
      </c>
      <c r="S20" s="12">
        <f t="shared" si="7"/>
        <v>-101547599.99999999</v>
      </c>
    </row>
    <row r="21" spans="2:20" x14ac:dyDescent="0.25">
      <c r="B21" s="35">
        <f t="shared" si="8"/>
        <v>16</v>
      </c>
      <c r="C21" s="37">
        <v>2.0500000000000001E-2</v>
      </c>
      <c r="D21" s="38">
        <f t="shared" si="1"/>
        <v>33148500</v>
      </c>
      <c r="E21" s="38">
        <f t="shared" ref="E21:E29" si="12">E20</f>
        <v>50000000</v>
      </c>
      <c r="F21" s="38">
        <f t="shared" si="5"/>
        <v>16851500</v>
      </c>
      <c r="G21" s="27"/>
      <c r="H21" s="35">
        <f t="shared" si="9"/>
        <v>16</v>
      </c>
      <c r="I21" s="37">
        <v>0</v>
      </c>
      <c r="J21" s="12">
        <f t="shared" si="2"/>
        <v>0</v>
      </c>
      <c r="K21" s="12">
        <f>'سهم گستره ها'!J6</f>
        <v>50000000</v>
      </c>
      <c r="L21" s="12">
        <f t="shared" si="6"/>
        <v>50000000</v>
      </c>
      <c r="M21" s="39">
        <f t="shared" si="11"/>
        <v>37581346.335993245</v>
      </c>
      <c r="O21" s="35">
        <f t="shared" si="10"/>
        <v>16</v>
      </c>
      <c r="P21" s="37">
        <f t="shared" si="3"/>
        <v>2.0500000000000001E-2</v>
      </c>
      <c r="Q21" s="12">
        <f t="shared" si="4"/>
        <v>33148500</v>
      </c>
      <c r="R21" s="12">
        <v>0</v>
      </c>
      <c r="S21" s="12">
        <f t="shared" si="7"/>
        <v>-33148500</v>
      </c>
    </row>
    <row r="22" spans="2:20" x14ac:dyDescent="0.25">
      <c r="B22" s="35">
        <f t="shared" si="8"/>
        <v>17</v>
      </c>
      <c r="C22" s="37">
        <v>5.8299999999999998E-2</v>
      </c>
      <c r="D22" s="38">
        <f t="shared" si="1"/>
        <v>94271100</v>
      </c>
      <c r="E22" s="38">
        <f t="shared" si="12"/>
        <v>50000000</v>
      </c>
      <c r="F22" s="38">
        <f t="shared" si="5"/>
        <v>-44271100</v>
      </c>
      <c r="G22" s="27"/>
      <c r="H22" s="35">
        <f t="shared" si="9"/>
        <v>17</v>
      </c>
      <c r="I22" s="37">
        <v>0</v>
      </c>
      <c r="J22" s="12">
        <f t="shared" si="2"/>
        <v>0</v>
      </c>
      <c r="K22" s="12">
        <f>'سهم گستره ها'!J7</f>
        <v>50000000</v>
      </c>
      <c r="L22" s="12">
        <f t="shared" si="6"/>
        <v>50000000</v>
      </c>
      <c r="M22" s="39">
        <f t="shared" si="11"/>
        <v>36916666.659739263</v>
      </c>
      <c r="O22" s="35">
        <f t="shared" si="10"/>
        <v>17</v>
      </c>
      <c r="P22" s="37">
        <f t="shared" si="3"/>
        <v>5.8299999999999998E-2</v>
      </c>
      <c r="Q22" s="12">
        <f t="shared" si="4"/>
        <v>94271100</v>
      </c>
      <c r="R22" s="12">
        <v>0</v>
      </c>
      <c r="S22" s="12">
        <f t="shared" si="7"/>
        <v>-94271100</v>
      </c>
    </row>
    <row r="23" spans="2:20" x14ac:dyDescent="0.25">
      <c r="B23" s="35">
        <f t="shared" si="8"/>
        <v>18</v>
      </c>
      <c r="C23" s="37">
        <v>9.2999999999999992E-3</v>
      </c>
      <c r="D23" s="38">
        <f t="shared" si="1"/>
        <v>15038099.999999998</v>
      </c>
      <c r="E23" s="38">
        <f t="shared" si="12"/>
        <v>50000000</v>
      </c>
      <c r="F23" s="38">
        <f t="shared" si="5"/>
        <v>34961900</v>
      </c>
      <c r="G23" s="27"/>
      <c r="H23" s="35">
        <f t="shared" si="9"/>
        <v>18</v>
      </c>
      <c r="I23" s="37">
        <v>0</v>
      </c>
      <c r="J23" s="12">
        <f t="shared" si="2"/>
        <v>0</v>
      </c>
      <c r="K23" s="12">
        <f>'سهم گستره ها'!J8</f>
        <v>50000000</v>
      </c>
      <c r="L23" s="12">
        <f t="shared" si="6"/>
        <v>50000000</v>
      </c>
      <c r="M23" s="39">
        <f t="shared" si="11"/>
        <v>36263742.790956229</v>
      </c>
      <c r="O23" s="35">
        <f t="shared" si="10"/>
        <v>18</v>
      </c>
      <c r="P23" s="37">
        <f t="shared" si="3"/>
        <v>9.2999999999999992E-3</v>
      </c>
      <c r="Q23" s="12">
        <f t="shared" si="4"/>
        <v>15038099.999999998</v>
      </c>
      <c r="R23" s="12">
        <v>0</v>
      </c>
      <c r="S23" s="12">
        <f t="shared" si="7"/>
        <v>-15038099.999999998</v>
      </c>
    </row>
    <row r="24" spans="2:20" x14ac:dyDescent="0.25">
      <c r="B24" s="35">
        <f>B23+1</f>
        <v>19</v>
      </c>
      <c r="C24" s="37">
        <v>4.8300000000000003E-2</v>
      </c>
      <c r="D24" s="38">
        <f t="shared" si="1"/>
        <v>78101100</v>
      </c>
      <c r="E24" s="38">
        <f t="shared" si="12"/>
        <v>50000000</v>
      </c>
      <c r="F24" s="38">
        <f t="shared" si="5"/>
        <v>-28101100</v>
      </c>
      <c r="G24" s="27"/>
      <c r="H24" s="35">
        <f t="shared" si="9"/>
        <v>19</v>
      </c>
      <c r="I24" s="37">
        <v>0</v>
      </c>
      <c r="J24" s="12">
        <f t="shared" si="2"/>
        <v>0</v>
      </c>
      <c r="K24" s="12">
        <f>'سهم گستره ها'!J9</f>
        <v>50000000</v>
      </c>
      <c r="L24" s="12">
        <f t="shared" si="6"/>
        <v>50000000</v>
      </c>
      <c r="M24" s="39">
        <f t="shared" si="11"/>
        <v>35622366.811432973</v>
      </c>
      <c r="O24" s="35">
        <f t="shared" si="10"/>
        <v>19</v>
      </c>
      <c r="P24" s="37">
        <f t="shared" si="3"/>
        <v>4.8300000000000003E-2</v>
      </c>
      <c r="Q24" s="12">
        <f t="shared" si="4"/>
        <v>78101100</v>
      </c>
      <c r="R24" s="12">
        <v>0</v>
      </c>
      <c r="S24" s="12">
        <f t="shared" si="7"/>
        <v>-78101100</v>
      </c>
    </row>
    <row r="25" spans="2:20" x14ac:dyDescent="0.25">
      <c r="B25" s="35">
        <f t="shared" si="8"/>
        <v>20</v>
      </c>
      <c r="C25" s="37">
        <v>4.1000000000000003E-3</v>
      </c>
      <c r="D25" s="38">
        <f t="shared" si="1"/>
        <v>6629700.0000000009</v>
      </c>
      <c r="E25" s="38">
        <f t="shared" si="12"/>
        <v>50000000</v>
      </c>
      <c r="F25" s="38">
        <f t="shared" si="5"/>
        <v>43370300</v>
      </c>
      <c r="G25" s="27"/>
      <c r="H25" s="35">
        <f t="shared" si="9"/>
        <v>20</v>
      </c>
      <c r="I25" s="37">
        <v>0</v>
      </c>
      <c r="J25" s="12">
        <f t="shared" si="2"/>
        <v>0</v>
      </c>
      <c r="K25" s="12">
        <f>'سهم گستره ها'!J10</f>
        <v>50000000</v>
      </c>
      <c r="L25" s="12">
        <f t="shared" si="6"/>
        <v>50000000</v>
      </c>
      <c r="M25" s="39">
        <f t="shared" si="11"/>
        <v>34992334.48028823</v>
      </c>
      <c r="O25" s="35">
        <f t="shared" si="10"/>
        <v>20</v>
      </c>
      <c r="P25" s="37">
        <f t="shared" si="3"/>
        <v>4.1000000000000003E-3</v>
      </c>
      <c r="Q25" s="12">
        <f t="shared" si="4"/>
        <v>6629700.0000000009</v>
      </c>
      <c r="R25" s="12">
        <v>0</v>
      </c>
      <c r="S25" s="12">
        <f t="shared" si="7"/>
        <v>-6629700.0000000009</v>
      </c>
    </row>
    <row r="26" spans="2:20" x14ac:dyDescent="0.25">
      <c r="B26" s="35">
        <f t="shared" si="8"/>
        <v>21</v>
      </c>
      <c r="C26" s="37">
        <v>2.06E-2</v>
      </c>
      <c r="D26" s="38">
        <f t="shared" si="1"/>
        <v>33310200</v>
      </c>
      <c r="E26" s="38">
        <f t="shared" si="12"/>
        <v>50000000</v>
      </c>
      <c r="F26" s="38">
        <f t="shared" si="5"/>
        <v>16689800</v>
      </c>
      <c r="G26" s="27"/>
      <c r="H26" s="35">
        <f t="shared" si="9"/>
        <v>21</v>
      </c>
      <c r="I26" s="37">
        <v>0</v>
      </c>
      <c r="J26" s="12">
        <f t="shared" si="2"/>
        <v>0</v>
      </c>
      <c r="K26" s="12">
        <f>'سهم گستره ها'!J11</f>
        <v>50000000</v>
      </c>
      <c r="L26" s="12">
        <f t="shared" si="6"/>
        <v>50000000</v>
      </c>
      <c r="M26" s="39">
        <f t="shared" si="11"/>
        <v>34373445.168931827</v>
      </c>
      <c r="O26" s="35">
        <f t="shared" si="10"/>
        <v>21</v>
      </c>
      <c r="P26" s="37">
        <f t="shared" si="3"/>
        <v>2.06E-2</v>
      </c>
      <c r="Q26" s="12">
        <f t="shared" si="4"/>
        <v>33310200</v>
      </c>
      <c r="R26" s="12">
        <v>0</v>
      </c>
      <c r="S26" s="12">
        <f t="shared" si="7"/>
        <v>-33310200</v>
      </c>
    </row>
    <row r="27" spans="2:20" x14ac:dyDescent="0.25">
      <c r="B27" s="35">
        <f t="shared" si="8"/>
        <v>22</v>
      </c>
      <c r="C27" s="37">
        <v>5.9999999999999995E-4</v>
      </c>
      <c r="D27" s="38">
        <f t="shared" si="1"/>
        <v>970199.99999999988</v>
      </c>
      <c r="E27" s="38">
        <f t="shared" si="12"/>
        <v>50000000</v>
      </c>
      <c r="F27" s="38">
        <f t="shared" si="5"/>
        <v>49029800</v>
      </c>
      <c r="G27" s="27"/>
      <c r="H27" s="35">
        <f t="shared" si="9"/>
        <v>22</v>
      </c>
      <c r="I27" s="37">
        <v>0</v>
      </c>
      <c r="J27" s="12">
        <f t="shared" si="2"/>
        <v>0</v>
      </c>
      <c r="K27" s="12">
        <f>'سهم گستره ها'!J12</f>
        <v>50000000</v>
      </c>
      <c r="L27" s="12">
        <f t="shared" si="6"/>
        <v>50000000</v>
      </c>
      <c r="M27" s="39">
        <f t="shared" si="11"/>
        <v>33765501.797176205</v>
      </c>
      <c r="O27" s="35">
        <f t="shared" si="10"/>
        <v>22</v>
      </c>
      <c r="P27" s="37">
        <f t="shared" si="3"/>
        <v>5.9999999999999995E-4</v>
      </c>
      <c r="Q27" s="12">
        <f t="shared" si="4"/>
        <v>970199.99999999988</v>
      </c>
      <c r="R27" s="12">
        <v>0</v>
      </c>
      <c r="S27" s="12">
        <f t="shared" si="7"/>
        <v>-970199.99999999988</v>
      </c>
    </row>
    <row r="28" spans="2:20" x14ac:dyDescent="0.25">
      <c r="B28" s="35">
        <f t="shared" si="8"/>
        <v>23</v>
      </c>
      <c r="C28" s="37">
        <v>6.1000000000000004E-3</v>
      </c>
      <c r="D28" s="38">
        <f t="shared" si="1"/>
        <v>9863700</v>
      </c>
      <c r="E28" s="38">
        <f t="shared" si="12"/>
        <v>50000000</v>
      </c>
      <c r="F28" s="38">
        <f t="shared" si="5"/>
        <v>40136300</v>
      </c>
      <c r="G28" s="27"/>
      <c r="H28" s="35">
        <f t="shared" si="9"/>
        <v>23</v>
      </c>
      <c r="I28" s="37">
        <v>0</v>
      </c>
      <c r="J28" s="12">
        <f t="shared" si="2"/>
        <v>0</v>
      </c>
      <c r="K28" s="12">
        <f>'سهم گستره ها'!J13</f>
        <v>50000000</v>
      </c>
      <c r="L28" s="12">
        <f t="shared" si="6"/>
        <v>50000000</v>
      </c>
      <c r="M28" s="39">
        <f t="shared" si="11"/>
        <v>33168310.770477798</v>
      </c>
      <c r="O28" s="35">
        <f t="shared" si="10"/>
        <v>23</v>
      </c>
      <c r="P28" s="37">
        <f t="shared" si="3"/>
        <v>6.1000000000000004E-3</v>
      </c>
      <c r="Q28" s="12">
        <f t="shared" si="4"/>
        <v>9863700</v>
      </c>
      <c r="R28" s="12">
        <v>0</v>
      </c>
      <c r="S28" s="12">
        <f t="shared" si="7"/>
        <v>-9863700</v>
      </c>
    </row>
    <row r="29" spans="2:20" x14ac:dyDescent="0.25">
      <c r="B29" s="35">
        <f t="shared" si="8"/>
        <v>24</v>
      </c>
      <c r="C29" s="37">
        <v>5.5999999999999999E-3</v>
      </c>
      <c r="D29" s="38">
        <f t="shared" si="1"/>
        <v>9055200</v>
      </c>
      <c r="E29" s="38">
        <f t="shared" si="12"/>
        <v>50000000</v>
      </c>
      <c r="F29" s="38">
        <f t="shared" si="5"/>
        <v>40944800</v>
      </c>
      <c r="G29" s="27"/>
      <c r="H29" s="35">
        <f t="shared" si="9"/>
        <v>24</v>
      </c>
      <c r="I29" s="37">
        <v>0</v>
      </c>
      <c r="J29" s="12">
        <f t="shared" si="2"/>
        <v>0</v>
      </c>
      <c r="K29" s="12">
        <f>'سهم گستره ها'!J14</f>
        <v>50000000</v>
      </c>
      <c r="L29" s="12">
        <f t="shared" si="6"/>
        <v>50000000</v>
      </c>
      <c r="M29" s="39">
        <f t="shared" si="11"/>
        <v>32581681.918288484</v>
      </c>
      <c r="O29" s="35">
        <f t="shared" si="10"/>
        <v>24</v>
      </c>
      <c r="P29" s="37">
        <f t="shared" si="3"/>
        <v>5.5999999999999999E-3</v>
      </c>
      <c r="Q29" s="12">
        <f t="shared" si="4"/>
        <v>9055200</v>
      </c>
      <c r="R29" s="12">
        <v>0</v>
      </c>
      <c r="S29" s="12">
        <f t="shared" si="7"/>
        <v>-9055200</v>
      </c>
    </row>
    <row r="30" spans="2:20" x14ac:dyDescent="0.25">
      <c r="B30" s="35">
        <f t="shared" si="8"/>
        <v>25</v>
      </c>
      <c r="C30" s="37">
        <v>0</v>
      </c>
      <c r="D30" s="38">
        <f t="shared" si="1"/>
        <v>0</v>
      </c>
      <c r="E30" s="38">
        <v>100000000</v>
      </c>
      <c r="F30" s="38">
        <f t="shared" si="5"/>
        <v>100000000</v>
      </c>
      <c r="G30" s="27"/>
      <c r="H30" s="35">
        <f t="shared" si="9"/>
        <v>25</v>
      </c>
      <c r="I30" s="37">
        <v>0</v>
      </c>
      <c r="J30" s="12">
        <f t="shared" si="2"/>
        <v>0</v>
      </c>
      <c r="K30" s="12">
        <f>'سهم گستره ها'!J15</f>
        <v>50000000</v>
      </c>
      <c r="L30" s="12">
        <f t="shared" si="6"/>
        <v>50000000</v>
      </c>
      <c r="M30" s="39">
        <f t="shared" si="11"/>
        <v>32005428.433497358</v>
      </c>
      <c r="O30" s="35">
        <f t="shared" si="10"/>
        <v>25</v>
      </c>
      <c r="P30" s="37">
        <f t="shared" si="3"/>
        <v>0</v>
      </c>
      <c r="Q30" s="12">
        <f t="shared" si="4"/>
        <v>0</v>
      </c>
      <c r="R30" s="12">
        <f t="shared" ref="R30:R47" si="13">E30-K30</f>
        <v>50000000</v>
      </c>
      <c r="S30" s="12">
        <f t="shared" si="7"/>
        <v>50000000</v>
      </c>
      <c r="T30" s="27">
        <f>R30/(1+$F$50)^O30</f>
        <v>32005428.433497358</v>
      </c>
    </row>
    <row r="31" spans="2:20" x14ac:dyDescent="0.25">
      <c r="B31" s="35">
        <f t="shared" si="8"/>
        <v>26</v>
      </c>
      <c r="C31" s="37">
        <v>0</v>
      </c>
      <c r="D31" s="38">
        <f t="shared" si="1"/>
        <v>0</v>
      </c>
      <c r="E31" s="38">
        <f>E30</f>
        <v>100000000</v>
      </c>
      <c r="F31" s="38">
        <f t="shared" si="5"/>
        <v>100000000</v>
      </c>
      <c r="G31" s="27"/>
      <c r="H31" s="35">
        <f t="shared" si="9"/>
        <v>26</v>
      </c>
      <c r="I31" s="37">
        <v>0</v>
      </c>
      <c r="J31" s="12">
        <f t="shared" si="2"/>
        <v>0</v>
      </c>
      <c r="K31" s="12">
        <f>'سهم گستره ها'!J16</f>
        <v>50000000</v>
      </c>
      <c r="L31" s="12">
        <f t="shared" si="6"/>
        <v>50000000</v>
      </c>
      <c r="M31" s="39">
        <f t="shared" si="11"/>
        <v>31439366.812943526</v>
      </c>
      <c r="O31" s="35">
        <f t="shared" si="10"/>
        <v>26</v>
      </c>
      <c r="P31" s="37">
        <f t="shared" si="3"/>
        <v>0</v>
      </c>
      <c r="Q31" s="12">
        <f t="shared" si="4"/>
        <v>0</v>
      </c>
      <c r="R31" s="12">
        <f t="shared" si="13"/>
        <v>50000000</v>
      </c>
      <c r="S31" s="12">
        <f t="shared" si="7"/>
        <v>50000000</v>
      </c>
      <c r="T31" s="27">
        <f t="shared" ref="T31:T47" si="14">R31/(1+$F$50)^O31</f>
        <v>31439366.812943526</v>
      </c>
    </row>
    <row r="32" spans="2:20" x14ac:dyDescent="0.25">
      <c r="B32" s="35">
        <f t="shared" si="8"/>
        <v>27</v>
      </c>
      <c r="C32" s="37">
        <v>0</v>
      </c>
      <c r="D32" s="38">
        <f t="shared" si="1"/>
        <v>0</v>
      </c>
      <c r="E32" s="38">
        <f t="shared" ref="E32:E46" si="15">E31</f>
        <v>100000000</v>
      </c>
      <c r="F32" s="38">
        <f t="shared" si="5"/>
        <v>100000000</v>
      </c>
      <c r="G32" s="27"/>
      <c r="H32" s="35">
        <f t="shared" si="9"/>
        <v>27</v>
      </c>
      <c r="I32" s="37">
        <v>0</v>
      </c>
      <c r="J32" s="12">
        <f t="shared" si="2"/>
        <v>0</v>
      </c>
      <c r="K32" s="12">
        <f>'سهم گستره ها'!J17</f>
        <v>50000000</v>
      </c>
      <c r="L32" s="12">
        <f t="shared" si="6"/>
        <v>50000000</v>
      </c>
      <c r="M32" s="39">
        <f t="shared" si="11"/>
        <v>30883316.798981059</v>
      </c>
      <c r="O32" s="35">
        <f t="shared" si="10"/>
        <v>27</v>
      </c>
      <c r="P32" s="37">
        <f t="shared" si="3"/>
        <v>0</v>
      </c>
      <c r="Q32" s="12">
        <f t="shared" si="4"/>
        <v>0</v>
      </c>
      <c r="R32" s="12">
        <f t="shared" si="13"/>
        <v>50000000</v>
      </c>
      <c r="S32" s="12">
        <f t="shared" si="7"/>
        <v>50000000</v>
      </c>
      <c r="T32" s="27">
        <f t="shared" si="14"/>
        <v>30883316.798981059</v>
      </c>
    </row>
    <row r="33" spans="2:20" x14ac:dyDescent="0.25">
      <c r="B33" s="35">
        <f t="shared" si="8"/>
        <v>28</v>
      </c>
      <c r="C33" s="37">
        <v>0</v>
      </c>
      <c r="D33" s="38">
        <f t="shared" si="1"/>
        <v>0</v>
      </c>
      <c r="E33" s="38">
        <f t="shared" si="15"/>
        <v>100000000</v>
      </c>
      <c r="F33" s="38">
        <f t="shared" si="5"/>
        <v>100000000</v>
      </c>
      <c r="G33" s="27"/>
      <c r="H33" s="35">
        <f t="shared" si="9"/>
        <v>28</v>
      </c>
      <c r="I33" s="37">
        <v>0</v>
      </c>
      <c r="J33" s="12">
        <f t="shared" si="2"/>
        <v>0</v>
      </c>
      <c r="K33" s="12">
        <f>'سهم گستره ها'!J18</f>
        <v>50000000</v>
      </c>
      <c r="L33" s="12">
        <f t="shared" si="6"/>
        <v>50000000</v>
      </c>
      <c r="M33" s="39">
        <f t="shared" si="11"/>
        <v>30337101.322077405</v>
      </c>
      <c r="O33" s="35">
        <f t="shared" si="10"/>
        <v>28</v>
      </c>
      <c r="P33" s="37">
        <f t="shared" si="3"/>
        <v>0</v>
      </c>
      <c r="Q33" s="12">
        <f t="shared" si="4"/>
        <v>0</v>
      </c>
      <c r="R33" s="12">
        <f t="shared" si="13"/>
        <v>50000000</v>
      </c>
      <c r="S33" s="12">
        <f t="shared" si="7"/>
        <v>50000000</v>
      </c>
      <c r="T33" s="27">
        <f t="shared" si="14"/>
        <v>30337101.322077405</v>
      </c>
    </row>
    <row r="34" spans="2:20" x14ac:dyDescent="0.25">
      <c r="B34" s="35">
        <f t="shared" si="8"/>
        <v>29</v>
      </c>
      <c r="C34" s="37">
        <v>0</v>
      </c>
      <c r="D34" s="38">
        <f t="shared" si="1"/>
        <v>0</v>
      </c>
      <c r="E34" s="38">
        <f t="shared" si="15"/>
        <v>100000000</v>
      </c>
      <c r="F34" s="38">
        <f t="shared" si="5"/>
        <v>100000000</v>
      </c>
      <c r="G34" s="27"/>
      <c r="H34" s="35">
        <f t="shared" si="9"/>
        <v>29</v>
      </c>
      <c r="I34" s="37">
        <v>0</v>
      </c>
      <c r="J34" s="12">
        <f t="shared" si="2"/>
        <v>0</v>
      </c>
      <c r="K34" s="12">
        <f>'سهم گستره ها'!J19</f>
        <v>50000000</v>
      </c>
      <c r="L34" s="12">
        <f t="shared" si="6"/>
        <v>50000000</v>
      </c>
      <c r="M34" s="39">
        <f t="shared" si="11"/>
        <v>29800546.444427092</v>
      </c>
      <c r="O34" s="35">
        <f t="shared" si="10"/>
        <v>29</v>
      </c>
      <c r="P34" s="37">
        <f t="shared" si="3"/>
        <v>0</v>
      </c>
      <c r="Q34" s="12">
        <f t="shared" si="4"/>
        <v>0</v>
      </c>
      <c r="R34" s="12">
        <f t="shared" si="13"/>
        <v>50000000</v>
      </c>
      <c r="S34" s="12">
        <f t="shared" si="7"/>
        <v>50000000</v>
      </c>
      <c r="T34" s="27">
        <f t="shared" si="14"/>
        <v>29800546.444427092</v>
      </c>
    </row>
    <row r="35" spans="2:20" x14ac:dyDescent="0.25">
      <c r="B35" s="35">
        <f t="shared" si="8"/>
        <v>30</v>
      </c>
      <c r="C35" s="37">
        <v>0</v>
      </c>
      <c r="D35" s="38">
        <f t="shared" si="1"/>
        <v>0</v>
      </c>
      <c r="E35" s="38">
        <f t="shared" si="15"/>
        <v>100000000</v>
      </c>
      <c r="F35" s="38">
        <f t="shared" si="5"/>
        <v>100000000</v>
      </c>
      <c r="G35" s="27"/>
      <c r="H35" s="35">
        <f t="shared" si="9"/>
        <v>30</v>
      </c>
      <c r="I35" s="37">
        <v>0</v>
      </c>
      <c r="J35" s="12">
        <f t="shared" si="2"/>
        <v>0</v>
      </c>
      <c r="K35" s="12">
        <f>'سهم گستره ها'!J20</f>
        <v>50000000</v>
      </c>
      <c r="L35" s="12">
        <f t="shared" si="6"/>
        <v>50000000</v>
      </c>
      <c r="M35" s="39">
        <f t="shared" si="11"/>
        <v>29273481.304562673</v>
      </c>
      <c r="O35" s="35">
        <f t="shared" si="10"/>
        <v>30</v>
      </c>
      <c r="P35" s="37">
        <f t="shared" si="3"/>
        <v>0</v>
      </c>
      <c r="Q35" s="12">
        <f t="shared" si="4"/>
        <v>0</v>
      </c>
      <c r="R35" s="12">
        <f t="shared" si="13"/>
        <v>50000000</v>
      </c>
      <c r="S35" s="12">
        <f t="shared" si="7"/>
        <v>50000000</v>
      </c>
      <c r="T35" s="27">
        <f t="shared" si="14"/>
        <v>29273481.304562673</v>
      </c>
    </row>
    <row r="36" spans="2:20" x14ac:dyDescent="0.25">
      <c r="B36" s="35">
        <f t="shared" si="8"/>
        <v>31</v>
      </c>
      <c r="C36" s="37">
        <v>0</v>
      </c>
      <c r="D36" s="38">
        <f t="shared" si="1"/>
        <v>0</v>
      </c>
      <c r="E36" s="38">
        <f t="shared" si="15"/>
        <v>100000000</v>
      </c>
      <c r="F36" s="38">
        <f t="shared" si="5"/>
        <v>100000000</v>
      </c>
      <c r="G36" s="27"/>
      <c r="H36" s="35">
        <f t="shared" si="9"/>
        <v>31</v>
      </c>
      <c r="I36" s="37">
        <v>0</v>
      </c>
      <c r="J36" s="12">
        <f t="shared" si="2"/>
        <v>0</v>
      </c>
      <c r="K36" s="12">
        <f>'سهم گستره ها'!J21</f>
        <v>50000000</v>
      </c>
      <c r="L36" s="12">
        <f t="shared" si="6"/>
        <v>50000000</v>
      </c>
      <c r="M36" s="39">
        <f t="shared" si="11"/>
        <v>28755738.062945265</v>
      </c>
      <c r="O36" s="35">
        <f t="shared" si="10"/>
        <v>31</v>
      </c>
      <c r="P36" s="37">
        <f t="shared" si="3"/>
        <v>0</v>
      </c>
      <c r="Q36" s="12">
        <f t="shared" si="4"/>
        <v>0</v>
      </c>
      <c r="R36" s="12">
        <f t="shared" si="13"/>
        <v>50000000</v>
      </c>
      <c r="S36" s="12">
        <f t="shared" si="7"/>
        <v>50000000</v>
      </c>
      <c r="T36" s="27">
        <f t="shared" si="14"/>
        <v>28755738.062945265</v>
      </c>
    </row>
    <row r="37" spans="2:20" x14ac:dyDescent="0.25">
      <c r="B37" s="35">
        <f t="shared" si="8"/>
        <v>32</v>
      </c>
      <c r="C37" s="37">
        <v>0</v>
      </c>
      <c r="D37" s="38">
        <f t="shared" si="1"/>
        <v>0</v>
      </c>
      <c r="E37" s="38">
        <f t="shared" si="15"/>
        <v>100000000</v>
      </c>
      <c r="F37" s="38">
        <f t="shared" si="5"/>
        <v>100000000</v>
      </c>
      <c r="G37" s="27"/>
      <c r="H37" s="35">
        <f t="shared" si="9"/>
        <v>32</v>
      </c>
      <c r="I37" s="37">
        <v>0</v>
      </c>
      <c r="J37" s="12">
        <f t="shared" si="2"/>
        <v>0</v>
      </c>
      <c r="K37" s="12">
        <f>'سهم گستره ها'!J22</f>
        <v>50000000</v>
      </c>
      <c r="L37" s="12">
        <f t="shared" si="6"/>
        <v>50000000</v>
      </c>
      <c r="M37" s="39">
        <f t="shared" si="11"/>
        <v>28247151.848517463</v>
      </c>
      <c r="O37" s="35">
        <f t="shared" si="10"/>
        <v>32</v>
      </c>
      <c r="P37" s="37">
        <f t="shared" si="3"/>
        <v>0</v>
      </c>
      <c r="Q37" s="12">
        <f t="shared" si="4"/>
        <v>0</v>
      </c>
      <c r="R37" s="12">
        <f t="shared" si="13"/>
        <v>50000000</v>
      </c>
      <c r="S37" s="12">
        <f t="shared" si="7"/>
        <v>50000000</v>
      </c>
      <c r="T37" s="27">
        <f t="shared" si="14"/>
        <v>28247151.848517463</v>
      </c>
    </row>
    <row r="38" spans="2:20" x14ac:dyDescent="0.25">
      <c r="B38" s="35">
        <f>B37+1</f>
        <v>33</v>
      </c>
      <c r="C38" s="37">
        <v>0</v>
      </c>
      <c r="D38" s="38">
        <f t="shared" si="1"/>
        <v>0</v>
      </c>
      <c r="E38" s="38">
        <f t="shared" si="15"/>
        <v>100000000</v>
      </c>
      <c r="F38" s="38">
        <f t="shared" si="5"/>
        <v>100000000</v>
      </c>
      <c r="G38" s="27"/>
      <c r="H38" s="35">
        <f t="shared" si="9"/>
        <v>33</v>
      </c>
      <c r="I38" s="37">
        <v>0</v>
      </c>
      <c r="J38" s="12">
        <f t="shared" si="2"/>
        <v>0</v>
      </c>
      <c r="K38" s="12">
        <f>'سهم گستره ها'!J23</f>
        <v>50000000</v>
      </c>
      <c r="L38" s="12">
        <f t="shared" si="6"/>
        <v>50000000</v>
      </c>
      <c r="M38" s="39">
        <f t="shared" si="11"/>
        <v>27747560.706201527</v>
      </c>
      <c r="O38" s="35">
        <f t="shared" si="10"/>
        <v>33</v>
      </c>
      <c r="P38" s="37">
        <f t="shared" si="3"/>
        <v>0</v>
      </c>
      <c r="Q38" s="12">
        <f t="shared" si="4"/>
        <v>0</v>
      </c>
      <c r="R38" s="12">
        <f t="shared" si="13"/>
        <v>50000000</v>
      </c>
      <c r="S38" s="12">
        <f t="shared" si="7"/>
        <v>50000000</v>
      </c>
      <c r="T38" s="27">
        <f t="shared" si="14"/>
        <v>27747560.706201527</v>
      </c>
    </row>
    <row r="39" spans="2:20" x14ac:dyDescent="0.25">
      <c r="B39" s="35">
        <f t="shared" si="8"/>
        <v>34</v>
      </c>
      <c r="C39" s="37">
        <v>0</v>
      </c>
      <c r="D39" s="38">
        <f t="shared" si="1"/>
        <v>0</v>
      </c>
      <c r="E39" s="38">
        <f t="shared" si="15"/>
        <v>100000000</v>
      </c>
      <c r="F39" s="38">
        <f t="shared" si="5"/>
        <v>100000000</v>
      </c>
      <c r="G39" s="27"/>
      <c r="H39" s="35">
        <f t="shared" si="9"/>
        <v>34</v>
      </c>
      <c r="I39" s="37">
        <v>0</v>
      </c>
      <c r="J39" s="12">
        <f t="shared" si="2"/>
        <v>0</v>
      </c>
      <c r="K39" s="12">
        <f>'سهم گستره ها'!J24</f>
        <v>50000000</v>
      </c>
      <c r="L39" s="12">
        <f t="shared" si="6"/>
        <v>50000000</v>
      </c>
      <c r="M39" s="39">
        <f t="shared" si="11"/>
        <v>27256805.545326091</v>
      </c>
      <c r="O39" s="35">
        <f t="shared" si="10"/>
        <v>34</v>
      </c>
      <c r="P39" s="37">
        <f t="shared" si="3"/>
        <v>0</v>
      </c>
      <c r="Q39" s="12">
        <f t="shared" si="4"/>
        <v>0</v>
      </c>
      <c r="R39" s="12">
        <f t="shared" si="13"/>
        <v>50000000</v>
      </c>
      <c r="S39" s="12">
        <f t="shared" si="7"/>
        <v>50000000</v>
      </c>
      <c r="T39" s="27">
        <f t="shared" si="14"/>
        <v>27256805.545326091</v>
      </c>
    </row>
    <row r="40" spans="2:20" x14ac:dyDescent="0.25">
      <c r="B40" s="35">
        <f t="shared" si="8"/>
        <v>35</v>
      </c>
      <c r="C40" s="37">
        <v>0</v>
      </c>
      <c r="D40" s="38">
        <f t="shared" si="1"/>
        <v>0</v>
      </c>
      <c r="E40" s="38">
        <f t="shared" si="15"/>
        <v>100000000</v>
      </c>
      <c r="F40" s="38">
        <f t="shared" si="5"/>
        <v>100000000</v>
      </c>
      <c r="G40" s="27"/>
      <c r="H40" s="35">
        <f t="shared" si="9"/>
        <v>35</v>
      </c>
      <c r="I40" s="37">
        <v>0</v>
      </c>
      <c r="J40" s="12">
        <f t="shared" si="2"/>
        <v>0</v>
      </c>
      <c r="K40" s="12">
        <f>'سهم گستره ها'!J25</f>
        <v>50000000</v>
      </c>
      <c r="L40" s="12">
        <f t="shared" si="6"/>
        <v>50000000</v>
      </c>
      <c r="M40" s="39">
        <f t="shared" si="11"/>
        <v>26774730.088965084</v>
      </c>
      <c r="O40" s="35">
        <f t="shared" si="10"/>
        <v>35</v>
      </c>
      <c r="P40" s="37">
        <f t="shared" si="3"/>
        <v>0</v>
      </c>
      <c r="Q40" s="12">
        <f t="shared" si="4"/>
        <v>0</v>
      </c>
      <c r="R40" s="12">
        <f t="shared" si="13"/>
        <v>50000000</v>
      </c>
      <c r="S40" s="12">
        <f t="shared" si="7"/>
        <v>50000000</v>
      </c>
      <c r="T40" s="27">
        <f t="shared" si="14"/>
        <v>26774730.088965084</v>
      </c>
    </row>
    <row r="41" spans="2:20" x14ac:dyDescent="0.25">
      <c r="B41" s="35">
        <f t="shared" si="8"/>
        <v>36</v>
      </c>
      <c r="C41" s="37">
        <v>0</v>
      </c>
      <c r="D41" s="38">
        <f t="shared" si="1"/>
        <v>0</v>
      </c>
      <c r="E41" s="38">
        <f t="shared" si="15"/>
        <v>100000000</v>
      </c>
      <c r="F41" s="38">
        <f t="shared" si="5"/>
        <v>100000000</v>
      </c>
      <c r="G41" s="27"/>
      <c r="H41" s="35">
        <f t="shared" si="9"/>
        <v>36</v>
      </c>
      <c r="I41" s="37">
        <v>0</v>
      </c>
      <c r="J41" s="12">
        <f t="shared" si="2"/>
        <v>0</v>
      </c>
      <c r="K41" s="12">
        <f>'سهم گستره ها'!J26</f>
        <v>50000000</v>
      </c>
      <c r="L41" s="12">
        <f t="shared" si="6"/>
        <v>50000000</v>
      </c>
      <c r="M41" s="39">
        <f t="shared" si="11"/>
        <v>26301180.824172605</v>
      </c>
      <c r="O41" s="35">
        <f t="shared" si="10"/>
        <v>36</v>
      </c>
      <c r="P41" s="37">
        <f t="shared" si="3"/>
        <v>0</v>
      </c>
      <c r="Q41" s="12">
        <f t="shared" si="4"/>
        <v>0</v>
      </c>
      <c r="R41" s="12">
        <f t="shared" si="13"/>
        <v>50000000</v>
      </c>
      <c r="S41" s="12">
        <f t="shared" si="7"/>
        <v>50000000</v>
      </c>
      <c r="T41" s="27">
        <f t="shared" si="14"/>
        <v>26301180.824172605</v>
      </c>
    </row>
    <row r="42" spans="2:20" x14ac:dyDescent="0.25">
      <c r="B42" s="35">
        <f t="shared" si="8"/>
        <v>37</v>
      </c>
      <c r="C42" s="37">
        <v>0</v>
      </c>
      <c r="D42" s="38">
        <f t="shared" si="1"/>
        <v>0</v>
      </c>
      <c r="E42" s="38">
        <f t="shared" si="15"/>
        <v>100000000</v>
      </c>
      <c r="F42" s="38">
        <f t="shared" si="5"/>
        <v>100000000</v>
      </c>
      <c r="G42" s="27"/>
      <c r="H42" s="35">
        <f t="shared" si="9"/>
        <v>37</v>
      </c>
      <c r="I42" s="37">
        <v>0</v>
      </c>
      <c r="J42" s="12">
        <f t="shared" si="2"/>
        <v>0</v>
      </c>
      <c r="K42" s="12">
        <f>'سهم گستره ها'!J27</f>
        <v>50000000</v>
      </c>
      <c r="L42" s="12">
        <f t="shared" si="6"/>
        <v>50000000</v>
      </c>
      <c r="M42" s="39">
        <f t="shared" si="11"/>
        <v>25836006.953098021</v>
      </c>
      <c r="O42" s="35">
        <f t="shared" si="10"/>
        <v>37</v>
      </c>
      <c r="P42" s="37">
        <f t="shared" si="3"/>
        <v>0</v>
      </c>
      <c r="Q42" s="12">
        <f t="shared" si="4"/>
        <v>0</v>
      </c>
      <c r="R42" s="12">
        <f t="shared" si="13"/>
        <v>50000000</v>
      </c>
      <c r="S42" s="12">
        <f t="shared" si="7"/>
        <v>50000000</v>
      </c>
      <c r="T42" s="27">
        <f t="shared" si="14"/>
        <v>25836006.953098021</v>
      </c>
    </row>
    <row r="43" spans="2:20" x14ac:dyDescent="0.25">
      <c r="B43" s="35">
        <f t="shared" si="8"/>
        <v>38</v>
      </c>
      <c r="C43" s="37">
        <v>0</v>
      </c>
      <c r="D43" s="38">
        <f t="shared" si="1"/>
        <v>0</v>
      </c>
      <c r="E43" s="38">
        <f t="shared" si="15"/>
        <v>100000000</v>
      </c>
      <c r="F43" s="38">
        <f t="shared" si="5"/>
        <v>100000000</v>
      </c>
      <c r="G43" s="27"/>
      <c r="H43" s="35">
        <f t="shared" si="9"/>
        <v>38</v>
      </c>
      <c r="I43" s="37">
        <v>0</v>
      </c>
      <c r="J43" s="12">
        <f t="shared" si="2"/>
        <v>0</v>
      </c>
      <c r="K43" s="12">
        <f>'سهم گستره ها'!J28</f>
        <v>50000000</v>
      </c>
      <c r="L43" s="12">
        <f t="shared" si="6"/>
        <v>50000000</v>
      </c>
      <c r="M43" s="39">
        <f t="shared" si="11"/>
        <v>25379060.344965629</v>
      </c>
      <c r="O43" s="35">
        <f t="shared" si="10"/>
        <v>38</v>
      </c>
      <c r="P43" s="37">
        <f t="shared" si="3"/>
        <v>0</v>
      </c>
      <c r="Q43" s="12">
        <f t="shared" si="4"/>
        <v>0</v>
      </c>
      <c r="R43" s="12">
        <f t="shared" si="13"/>
        <v>50000000</v>
      </c>
      <c r="S43" s="12">
        <f t="shared" si="7"/>
        <v>50000000</v>
      </c>
      <c r="T43" s="27">
        <f t="shared" si="14"/>
        <v>25379060.344965629</v>
      </c>
    </row>
    <row r="44" spans="2:20" x14ac:dyDescent="0.25">
      <c r="B44" s="35">
        <f t="shared" si="8"/>
        <v>39</v>
      </c>
      <c r="C44" s="37">
        <v>0</v>
      </c>
      <c r="D44" s="38">
        <f t="shared" si="1"/>
        <v>0</v>
      </c>
      <c r="E44" s="38">
        <f t="shared" si="15"/>
        <v>100000000</v>
      </c>
      <c r="F44" s="38">
        <f t="shared" si="5"/>
        <v>100000000</v>
      </c>
      <c r="G44" s="27"/>
      <c r="H44" s="35">
        <f t="shared" si="9"/>
        <v>39</v>
      </c>
      <c r="I44" s="37">
        <v>0</v>
      </c>
      <c r="J44" s="12">
        <f t="shared" si="2"/>
        <v>0</v>
      </c>
      <c r="K44" s="12">
        <f>'سهم گستره ها'!J29</f>
        <v>50000000</v>
      </c>
      <c r="L44" s="12">
        <f t="shared" si="6"/>
        <v>50000000</v>
      </c>
      <c r="M44" s="39">
        <f t="shared" si="11"/>
        <v>24930195.488903623</v>
      </c>
      <c r="O44" s="35">
        <f t="shared" si="10"/>
        <v>39</v>
      </c>
      <c r="P44" s="37">
        <f t="shared" si="3"/>
        <v>0</v>
      </c>
      <c r="Q44" s="12">
        <f t="shared" si="4"/>
        <v>0</v>
      </c>
      <c r="R44" s="12">
        <f t="shared" si="13"/>
        <v>50000000</v>
      </c>
      <c r="S44" s="12">
        <f t="shared" si="7"/>
        <v>50000000</v>
      </c>
      <c r="T44" s="27">
        <f t="shared" si="14"/>
        <v>24930195.488903623</v>
      </c>
    </row>
    <row r="45" spans="2:20" x14ac:dyDescent="0.25">
      <c r="B45" s="35">
        <f t="shared" si="8"/>
        <v>40</v>
      </c>
      <c r="C45" s="37">
        <v>0</v>
      </c>
      <c r="D45" s="38">
        <f t="shared" si="1"/>
        <v>0</v>
      </c>
      <c r="E45" s="38">
        <f t="shared" si="15"/>
        <v>100000000</v>
      </c>
      <c r="F45" s="38">
        <f t="shared" si="5"/>
        <v>100000000</v>
      </c>
      <c r="G45" s="27"/>
      <c r="H45" s="35">
        <f t="shared" si="9"/>
        <v>40</v>
      </c>
      <c r="I45" s="37">
        <v>0</v>
      </c>
      <c r="J45" s="12">
        <f t="shared" si="2"/>
        <v>0</v>
      </c>
      <c r="K45" s="12">
        <f>'سهم گستره ها'!J30</f>
        <v>58659361</v>
      </c>
      <c r="L45" s="12">
        <f t="shared" si="6"/>
        <v>58659361</v>
      </c>
      <c r="M45" s="39">
        <f t="shared" si="11"/>
        <v>28730497.943069421</v>
      </c>
      <c r="O45" s="35">
        <f t="shared" si="10"/>
        <v>40</v>
      </c>
      <c r="P45" s="37">
        <f t="shared" si="3"/>
        <v>0</v>
      </c>
      <c r="Q45" s="12">
        <f t="shared" si="4"/>
        <v>0</v>
      </c>
      <c r="R45" s="12">
        <f t="shared" si="13"/>
        <v>41340639</v>
      </c>
      <c r="S45" s="12">
        <f t="shared" si="7"/>
        <v>41340639</v>
      </c>
      <c r="T45" s="27">
        <f t="shared" si="14"/>
        <v>20248040.952145308</v>
      </c>
    </row>
    <row r="46" spans="2:20" x14ac:dyDescent="0.25">
      <c r="B46" s="35">
        <f t="shared" si="8"/>
        <v>41</v>
      </c>
      <c r="C46" s="37">
        <v>0</v>
      </c>
      <c r="D46" s="38">
        <f t="shared" si="1"/>
        <v>0</v>
      </c>
      <c r="E46" s="38">
        <f t="shared" si="15"/>
        <v>100000000</v>
      </c>
      <c r="F46" s="38">
        <f t="shared" si="5"/>
        <v>100000000</v>
      </c>
      <c r="G46" s="27"/>
      <c r="H46" s="35">
        <f t="shared" si="9"/>
        <v>41</v>
      </c>
      <c r="I46" s="37">
        <v>0</v>
      </c>
      <c r="J46" s="12">
        <f t="shared" si="2"/>
        <v>0</v>
      </c>
      <c r="K46" s="12">
        <f>'سهم گستره ها'!J31</f>
        <v>100000000</v>
      </c>
      <c r="L46" s="12">
        <f t="shared" si="6"/>
        <v>100000000</v>
      </c>
      <c r="M46" s="39">
        <f t="shared" si="11"/>
        <v>48112283.623644404</v>
      </c>
      <c r="O46" s="35">
        <f t="shared" si="10"/>
        <v>41</v>
      </c>
      <c r="P46" s="37">
        <f t="shared" si="3"/>
        <v>0</v>
      </c>
      <c r="Q46" s="12">
        <f t="shared" si="4"/>
        <v>0</v>
      </c>
      <c r="R46" s="12">
        <f t="shared" si="13"/>
        <v>0</v>
      </c>
      <c r="S46" s="12">
        <f t="shared" si="7"/>
        <v>0</v>
      </c>
      <c r="T46" s="27">
        <f t="shared" si="14"/>
        <v>0</v>
      </c>
    </row>
    <row r="47" spans="2:20" x14ac:dyDescent="0.25">
      <c r="B47" s="35">
        <f t="shared" si="8"/>
        <v>42</v>
      </c>
      <c r="C47" s="37">
        <v>0</v>
      </c>
      <c r="D47" s="38">
        <f t="shared" si="1"/>
        <v>0</v>
      </c>
      <c r="E47" s="38">
        <v>30000000</v>
      </c>
      <c r="F47" s="38">
        <f>E47-D47</f>
        <v>30000000</v>
      </c>
      <c r="G47" s="27"/>
      <c r="H47" s="35">
        <f t="shared" si="9"/>
        <v>42</v>
      </c>
      <c r="I47" s="37">
        <v>0</v>
      </c>
      <c r="J47" s="12">
        <f t="shared" si="2"/>
        <v>0</v>
      </c>
      <c r="K47" s="12">
        <f>'سهم گستره ها'!J32</f>
        <v>30000000</v>
      </c>
      <c r="L47" s="12">
        <f t="shared" si="6"/>
        <v>30000000</v>
      </c>
      <c r="M47" s="39">
        <f t="shared" si="11"/>
        <v>14178404.793378755</v>
      </c>
      <c r="O47" s="35">
        <f t="shared" si="10"/>
        <v>42</v>
      </c>
      <c r="P47" s="37">
        <f t="shared" si="3"/>
        <v>0</v>
      </c>
      <c r="Q47" s="12">
        <f t="shared" si="4"/>
        <v>0</v>
      </c>
      <c r="R47" s="12">
        <f t="shared" si="13"/>
        <v>0</v>
      </c>
      <c r="S47" s="12">
        <f t="shared" si="7"/>
        <v>0</v>
      </c>
      <c r="T47" s="27">
        <f t="shared" si="14"/>
        <v>0</v>
      </c>
    </row>
    <row r="48" spans="2:20" x14ac:dyDescent="0.25">
      <c r="B48" s="40"/>
      <c r="C48" s="40"/>
      <c r="D48" s="41">
        <f>SUM(D6:D47)</f>
        <v>1617000000</v>
      </c>
      <c r="E48" s="41">
        <f>SUM(E6:E47)</f>
        <v>2280000000</v>
      </c>
      <c r="F48" s="40"/>
      <c r="I48" s="37">
        <f>SUM(I6:I47)</f>
        <v>0.63729999999999998</v>
      </c>
      <c r="J48" s="12">
        <f>SUM(J6:J47)</f>
        <v>1030514100</v>
      </c>
      <c r="K48" s="12">
        <f>SUM(K6:K47)</f>
        <v>1488659361</v>
      </c>
      <c r="L48" s="12"/>
      <c r="O48" s="35"/>
      <c r="P48" s="37">
        <f>SUM(P6:P47)</f>
        <v>0.36269999999999997</v>
      </c>
      <c r="Q48" s="12">
        <f>SUM(Q6:Q47)</f>
        <v>586485900</v>
      </c>
      <c r="R48" s="12">
        <f>SUM(R6:R47)</f>
        <v>791340639</v>
      </c>
      <c r="S48" s="12"/>
    </row>
    <row r="49" spans="5:20" x14ac:dyDescent="0.25">
      <c r="M49" s="39">
        <f>SUM(M19:M48)</f>
        <v>908459071.1232897</v>
      </c>
      <c r="T49" s="27">
        <f>SUM(T30:T48)</f>
        <v>445215711.93172979</v>
      </c>
    </row>
    <row r="50" spans="5:20" x14ac:dyDescent="0.25">
      <c r="E50" s="17">
        <f>(1+F50)^12</f>
        <v>1.2387916016433629</v>
      </c>
      <c r="F50" s="42">
        <f>IRR(F6:F47)</f>
        <v>1.8004867080235964E-2</v>
      </c>
      <c r="G50" s="42"/>
      <c r="H50" s="42"/>
      <c r="I50" s="42"/>
      <c r="J50" s="27"/>
      <c r="K50" s="27">
        <f>K48+R48</f>
        <v>2280000000</v>
      </c>
      <c r="L50" s="42">
        <f>IRR(L6:L47)</f>
        <v>1.8004956337880573E-2</v>
      </c>
      <c r="M50" s="17">
        <f>M49/(M49+T49)</f>
        <v>0.67110585385438615</v>
      </c>
      <c r="P50" s="43"/>
      <c r="Q50" s="43"/>
      <c r="R50" s="43"/>
      <c r="S50" s="43">
        <f>IRR(S6:S47)</f>
        <v>1.8004648521622313E-2</v>
      </c>
      <c r="T50" s="17">
        <f>T49/(T49+M49)</f>
        <v>0.32889414614561396</v>
      </c>
    </row>
    <row r="51" spans="5:20" x14ac:dyDescent="0.25">
      <c r="E51" s="17">
        <f>(1+F51/12)^12</f>
        <v>1.2387916016433629</v>
      </c>
      <c r="F51" s="26">
        <f>F50*12</f>
        <v>0.21605840496283157</v>
      </c>
      <c r="G51" s="26"/>
      <c r="H51" s="26"/>
      <c r="I51" s="26"/>
      <c r="J51" s="26"/>
      <c r="K51" s="26">
        <f>K48/K50</f>
        <v>0.65292077236842105</v>
      </c>
      <c r="L51" s="26">
        <f>L50*12</f>
        <v>0.21605947605456688</v>
      </c>
      <c r="P51" s="44"/>
      <c r="Q51" s="44"/>
      <c r="R51" s="44">
        <f>R48/K50</f>
        <v>0.34707922763157895</v>
      </c>
      <c r="S51" s="44">
        <f>S50*12</f>
        <v>0.21605578225946775</v>
      </c>
    </row>
    <row r="52" spans="5:20" x14ac:dyDescent="0.25">
      <c r="E52" s="45">
        <f>F52/12</f>
        <v>1.9899300136946907E-2</v>
      </c>
      <c r="F52" s="45">
        <f>EFFECT(F51,12)</f>
        <v>0.23879160164336288</v>
      </c>
      <c r="G52" s="45">
        <f>((1+F52)^(1/12))-1</f>
        <v>1.8004867080235964E-2</v>
      </c>
      <c r="H52" s="45"/>
      <c r="I52" s="45"/>
      <c r="J52" s="45"/>
      <c r="K52" s="45"/>
      <c r="L52" s="46">
        <f>EFFECT(L51,12)</f>
        <v>0.23879290503603778</v>
      </c>
      <c r="P52" s="47"/>
      <c r="Q52" s="47"/>
      <c r="R52" s="47"/>
      <c r="S52" s="48">
        <f>EFFECT(S51,12)</f>
        <v>0.23878841012712426</v>
      </c>
    </row>
    <row r="53" spans="5:20" x14ac:dyDescent="0.25">
      <c r="F53" s="17">
        <f>(1+F50)^12</f>
        <v>1.2387916016433629</v>
      </c>
    </row>
  </sheetData>
  <mergeCells count="3">
    <mergeCell ref="B4:F4"/>
    <mergeCell ref="H4:L4"/>
    <mergeCell ref="O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سهم گستره ها</vt:lpstr>
      <vt:lpstr>Sheet2</vt:lpstr>
      <vt:lpstr>Total_investment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خانم المیرا اصل روستا</dc:creator>
  <cp:lastModifiedBy>خانم المیرا اصل روستا</cp:lastModifiedBy>
  <dcterms:created xsi:type="dcterms:W3CDTF">2019-06-15T06:23:22Z</dcterms:created>
  <dcterms:modified xsi:type="dcterms:W3CDTF">2019-06-15T06:25:43Z</dcterms:modified>
</cp:coreProperties>
</file>