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UMD Files\GEF\Fall23\Axon\"/>
    </mc:Choice>
  </mc:AlternateContent>
  <xr:revisionPtr revIDLastSave="0" documentId="13_ncr:1_{BF01EAF9-6799-439D-8BD2-50CCC4A3C660}" xr6:coauthVersionLast="47" xr6:coauthVersionMax="47" xr10:uidLastSave="{00000000-0000-0000-0000-000000000000}"/>
  <bookViews>
    <workbookView xWindow="-120" yWindow="-120" windowWidth="29040" windowHeight="15720" tabRatio="827" activeTab="1" xr2:uid="{00000000-000D-0000-FFFF-FFFF00000000}"/>
  </bookViews>
  <sheets>
    <sheet name="Index" sheetId="11" r:id="rId1"/>
    <sheet name="Scenario Analysis" sheetId="10" r:id="rId2"/>
    <sheet name="DCF FCFE" sheetId="9" r:id="rId3"/>
    <sheet name="Ke" sheetId="8" r:id="rId4"/>
    <sheet name="Revenue model" sheetId="5" r:id="rId5"/>
    <sheet name="IS" sheetId="1" r:id="rId6"/>
    <sheet name="BS" sheetId="2" r:id="rId7"/>
    <sheet name="Derived Cash Flow" sheetId="7" r:id="rId8"/>
    <sheet name="CF" sheetId="3" r:id="rId9"/>
    <sheet name="Ratios" sheetId="4" r:id="rId10"/>
    <sheet name="Schedules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8" l="1"/>
  <c r="D29" i="4"/>
  <c r="E29" i="4"/>
  <c r="F29" i="4"/>
  <c r="C29" i="4"/>
  <c r="D28" i="4"/>
  <c r="E28" i="4"/>
  <c r="F28" i="4"/>
  <c r="C28" i="4"/>
  <c r="D26" i="4"/>
  <c r="E26" i="4"/>
  <c r="F26" i="4"/>
  <c r="C26" i="4"/>
  <c r="D25" i="4"/>
  <c r="E25" i="4"/>
  <c r="F25" i="4"/>
  <c r="C25" i="4"/>
  <c r="D24" i="4"/>
  <c r="E24" i="4"/>
  <c r="F24" i="4"/>
  <c r="C24" i="4"/>
  <c r="D21" i="4"/>
  <c r="E21" i="4"/>
  <c r="F21" i="4"/>
  <c r="C21" i="4"/>
  <c r="C18" i="4"/>
  <c r="D18" i="4"/>
  <c r="E18" i="4"/>
  <c r="F18" i="4"/>
  <c r="B18" i="4"/>
  <c r="C17" i="4"/>
  <c r="D17" i="4"/>
  <c r="E17" i="4"/>
  <c r="F17" i="4"/>
  <c r="B17" i="4"/>
  <c r="C16" i="4"/>
  <c r="D16" i="4"/>
  <c r="E16" i="4"/>
  <c r="F16" i="4"/>
  <c r="B16" i="4"/>
  <c r="C13" i="4"/>
  <c r="D13" i="4"/>
  <c r="E13" i="4"/>
  <c r="F13" i="4"/>
  <c r="B13" i="4"/>
  <c r="C12" i="4"/>
  <c r="D12" i="4"/>
  <c r="E12" i="4"/>
  <c r="F12" i="4"/>
  <c r="B12" i="4"/>
  <c r="C9" i="4"/>
  <c r="D9" i="4"/>
  <c r="E9" i="4"/>
  <c r="F9" i="4"/>
  <c r="B9" i="4"/>
  <c r="C8" i="4"/>
  <c r="D8" i="4"/>
  <c r="E8" i="4"/>
  <c r="F8" i="4"/>
  <c r="B8" i="4"/>
  <c r="C7" i="4"/>
  <c r="D7" i="4"/>
  <c r="E7" i="4"/>
  <c r="F7" i="4"/>
  <c r="B7" i="4"/>
  <c r="H10" i="3"/>
  <c r="I10" i="3"/>
  <c r="J10" i="3"/>
  <c r="K10" i="3"/>
  <c r="L10" i="3"/>
  <c r="G10" i="3"/>
  <c r="C6" i="4"/>
  <c r="D6" i="4"/>
  <c r="E6" i="4"/>
  <c r="F6" i="4"/>
  <c r="B6" i="4"/>
  <c r="C5" i="4"/>
  <c r="D5" i="4"/>
  <c r="E5" i="4"/>
  <c r="F5" i="4"/>
  <c r="B5" i="4"/>
  <c r="L31" i="1" l="1"/>
  <c r="J31" i="1"/>
  <c r="H31" i="1"/>
  <c r="I24" i="1"/>
  <c r="J24" i="1"/>
  <c r="H23" i="1"/>
  <c r="I42" i="5"/>
  <c r="J42" i="5" s="1"/>
  <c r="K42" i="5" s="1"/>
  <c r="L42" i="5" s="1"/>
  <c r="H42" i="5"/>
  <c r="H41" i="5" s="1"/>
  <c r="I35" i="5"/>
  <c r="J35" i="5"/>
  <c r="K35" i="5" s="1"/>
  <c r="L35" i="5" s="1"/>
  <c r="H35" i="5"/>
  <c r="I14" i="5"/>
  <c r="J14" i="5"/>
  <c r="K14" i="5"/>
  <c r="L14" i="5"/>
  <c r="H14" i="5"/>
  <c r="G14" i="5"/>
  <c r="I12" i="5"/>
  <c r="J12" i="5"/>
  <c r="K12" i="5"/>
  <c r="L12" i="5"/>
  <c r="H12" i="5"/>
  <c r="G12" i="5"/>
  <c r="G41" i="5"/>
  <c r="G42" i="5"/>
  <c r="H36" i="5"/>
  <c r="G36" i="5"/>
  <c r="H34" i="5"/>
  <c r="G34" i="5"/>
  <c r="H49" i="5"/>
  <c r="I49" i="5" s="1"/>
  <c r="J49" i="5" s="1"/>
  <c r="K49" i="5" s="1"/>
  <c r="L49" i="5" s="1"/>
  <c r="G50" i="5"/>
  <c r="G48" i="5"/>
  <c r="H53" i="5"/>
  <c r="I53" i="5" s="1"/>
  <c r="J53" i="5" s="1"/>
  <c r="K53" i="5" s="1"/>
  <c r="L53" i="5" s="1"/>
  <c r="I23" i="5"/>
  <c r="J23" i="5"/>
  <c r="K23" i="5" s="1"/>
  <c r="L23" i="5" s="1"/>
  <c r="H23" i="5"/>
  <c r="I36" i="1"/>
  <c r="J36" i="1"/>
  <c r="K36" i="1"/>
  <c r="L36" i="1"/>
  <c r="H36" i="1"/>
  <c r="G36" i="1"/>
  <c r="H30" i="1"/>
  <c r="G30" i="1"/>
  <c r="H26" i="5"/>
  <c r="I26" i="5" s="1"/>
  <c r="J26" i="5" s="1"/>
  <c r="K26" i="5" s="1"/>
  <c r="L26" i="5" s="1"/>
  <c r="I17" i="5"/>
  <c r="J17" i="5" s="1"/>
  <c r="K17" i="5" s="1"/>
  <c r="L17" i="5" s="1"/>
  <c r="H17" i="5"/>
  <c r="L56" i="2"/>
  <c r="G21" i="1"/>
  <c r="G23" i="1"/>
  <c r="H37" i="1"/>
  <c r="I37" i="1" s="1"/>
  <c r="J37" i="1" s="1"/>
  <c r="K37" i="1" s="1"/>
  <c r="L37" i="1" s="1"/>
  <c r="L44" i="2"/>
  <c r="G45" i="7" s="1"/>
  <c r="C45" i="7"/>
  <c r="D45" i="7"/>
  <c r="E45" i="7"/>
  <c r="F45" i="7"/>
  <c r="B45" i="7"/>
  <c r="L8" i="6"/>
  <c r="I7" i="9"/>
  <c r="I6" i="9"/>
  <c r="I5" i="9"/>
  <c r="C17" i="1"/>
  <c r="D17" i="1"/>
  <c r="E17" i="1"/>
  <c r="F17" i="1"/>
  <c r="B17" i="1"/>
  <c r="C4" i="6"/>
  <c r="G8" i="6" s="1"/>
  <c r="H8" i="6" s="1"/>
  <c r="I8" i="6" s="1"/>
  <c r="J8" i="6" s="1"/>
  <c r="K8" i="6" s="1"/>
  <c r="A4" i="6"/>
  <c r="F40" i="1"/>
  <c r="B40" i="1"/>
  <c r="C40" i="1"/>
  <c r="D40" i="1"/>
  <c r="E40" i="1"/>
  <c r="L30" i="1" l="1"/>
  <c r="K30" i="1"/>
  <c r="J30" i="1"/>
  <c r="I30" i="1"/>
  <c r="H21" i="1"/>
  <c r="I34" i="5"/>
  <c r="J34" i="5"/>
  <c r="J36" i="5"/>
  <c r="I36" i="5"/>
  <c r="H50" i="5"/>
  <c r="H48" i="5"/>
  <c r="H46" i="5"/>
  <c r="J23" i="1"/>
  <c r="J21" i="1"/>
  <c r="I21" i="1"/>
  <c r="I23" i="1"/>
  <c r="G25" i="1"/>
  <c r="H25" i="1"/>
  <c r="G40" i="1"/>
  <c r="H40" i="1"/>
  <c r="H34" i="1"/>
  <c r="L34" i="1"/>
  <c r="G34" i="1"/>
  <c r="I34" i="1"/>
  <c r="J34" i="1"/>
  <c r="L38" i="1"/>
  <c r="K38" i="1"/>
  <c r="H38" i="1"/>
  <c r="G38" i="1"/>
  <c r="K34" i="1"/>
  <c r="I32" i="1"/>
  <c r="J32" i="1"/>
  <c r="K32" i="1"/>
  <c r="H32" i="1"/>
  <c r="G32" i="1"/>
  <c r="I28" i="1"/>
  <c r="J28" i="1"/>
  <c r="K28" i="1"/>
  <c r="H28" i="1"/>
  <c r="G28" i="1"/>
  <c r="I56" i="5"/>
  <c r="J56" i="5" s="1"/>
  <c r="K56" i="5" s="1"/>
  <c r="L56" i="5" s="1"/>
  <c r="H56" i="5"/>
  <c r="G46" i="5"/>
  <c r="G43" i="5"/>
  <c r="G39" i="5" s="1"/>
  <c r="H43" i="5"/>
  <c r="I10" i="5"/>
  <c r="J10" i="5"/>
  <c r="K10" i="5"/>
  <c r="L10" i="5"/>
  <c r="H10" i="5"/>
  <c r="L28" i="1" l="1"/>
  <c r="L32" i="1"/>
  <c r="I41" i="5"/>
  <c r="I43" i="5"/>
  <c r="K34" i="5"/>
  <c r="K36" i="5"/>
  <c r="I46" i="5"/>
  <c r="I50" i="5"/>
  <c r="I48" i="5"/>
  <c r="J48" i="5"/>
  <c r="J50" i="5"/>
  <c r="J46" i="5"/>
  <c r="K21" i="1"/>
  <c r="K23" i="1"/>
  <c r="I25" i="1"/>
  <c r="I40" i="1"/>
  <c r="J40" i="1"/>
  <c r="I39" i="5"/>
  <c r="H39" i="5"/>
  <c r="I38" i="1"/>
  <c r="J38" i="1"/>
  <c r="J41" i="5" l="1"/>
  <c r="J43" i="5"/>
  <c r="J39" i="5"/>
  <c r="L36" i="5"/>
  <c r="L34" i="5"/>
  <c r="K50" i="5"/>
  <c r="K48" i="5"/>
  <c r="K46" i="5"/>
  <c r="L21" i="1"/>
  <c r="L23" i="1"/>
  <c r="J25" i="1"/>
  <c r="K40" i="1"/>
  <c r="H20" i="5"/>
  <c r="I20" i="5" s="1"/>
  <c r="J20" i="5" s="1"/>
  <c r="K20" i="5" s="1"/>
  <c r="L20" i="5" s="1"/>
  <c r="H54" i="2"/>
  <c r="I54" i="2" s="1"/>
  <c r="N24" i="2"/>
  <c r="N41" i="2"/>
  <c r="H69" i="2"/>
  <c r="I69" i="2" s="1"/>
  <c r="J69" i="2" s="1"/>
  <c r="K69" i="2" s="1"/>
  <c r="L69" i="2" s="1"/>
  <c r="H58" i="2"/>
  <c r="I58" i="2" s="1"/>
  <c r="I57" i="2"/>
  <c r="J57" i="2" s="1"/>
  <c r="K57" i="2" s="1"/>
  <c r="L57" i="2" s="1"/>
  <c r="H57" i="2"/>
  <c r="H56" i="2"/>
  <c r="I56" i="2" s="1"/>
  <c r="J56" i="2" s="1"/>
  <c r="K56" i="2" s="1"/>
  <c r="K41" i="5" l="1"/>
  <c r="K43" i="5"/>
  <c r="K39" i="5" s="1"/>
  <c r="L50" i="5"/>
  <c r="L48" i="5"/>
  <c r="L46" i="5"/>
  <c r="K25" i="1"/>
  <c r="L40" i="1"/>
  <c r="L41" i="5" l="1"/>
  <c r="L43" i="5"/>
  <c r="L39" i="5"/>
  <c r="L25" i="1"/>
  <c r="C11" i="10" l="1"/>
  <c r="B55" i="9"/>
  <c r="B56" i="9" s="1"/>
  <c r="B57" i="9" s="1"/>
  <c r="B53" i="9"/>
  <c r="B52" i="9" s="1"/>
  <c r="B51" i="9" s="1"/>
  <c r="G50" i="9"/>
  <c r="H50" i="9" s="1"/>
  <c r="I50" i="9" s="1"/>
  <c r="E50" i="9"/>
  <c r="D50" i="9"/>
  <c r="C50" i="9"/>
  <c r="G28" i="9"/>
  <c r="H28" i="9" s="1"/>
  <c r="I28" i="9" s="1"/>
  <c r="E28" i="9"/>
  <c r="D28" i="9" s="1"/>
  <c r="C28" i="9" s="1"/>
  <c r="G5" i="9"/>
  <c r="C17" i="9" s="1"/>
  <c r="D27" i="8"/>
  <c r="D24" i="8"/>
  <c r="D14" i="8"/>
  <c r="D16" i="8" s="1"/>
  <c r="D7" i="8"/>
  <c r="D8" i="8" s="1"/>
  <c r="G35" i="2"/>
  <c r="B36" i="7" s="1"/>
  <c r="B60" i="7"/>
  <c r="F16" i="6"/>
  <c r="G45" i="2"/>
  <c r="B38" i="7"/>
  <c r="C75" i="2"/>
  <c r="D75" i="2"/>
  <c r="E75" i="2"/>
  <c r="F75" i="2"/>
  <c r="G75" i="2" s="1"/>
  <c r="H75" i="2" s="1"/>
  <c r="I75" i="2" s="1"/>
  <c r="B75" i="2"/>
  <c r="C74" i="2"/>
  <c r="D74" i="2"/>
  <c r="E74" i="2"/>
  <c r="F74" i="2"/>
  <c r="B74" i="2"/>
  <c r="C34" i="6"/>
  <c r="C35" i="6" s="1"/>
  <c r="C39" i="6" s="1"/>
  <c r="C31" i="6"/>
  <c r="C32" i="6" s="1"/>
  <c r="C40" i="6" s="1"/>
  <c r="B37" i="6"/>
  <c r="C37" i="6"/>
  <c r="D37" i="6"/>
  <c r="E37" i="6"/>
  <c r="F37" i="6"/>
  <c r="B35" i="6"/>
  <c r="B39" i="6" s="1"/>
  <c r="D34" i="6"/>
  <c r="D35" i="6" s="1"/>
  <c r="D39" i="6" s="1"/>
  <c r="E34" i="6"/>
  <c r="E35" i="6" s="1"/>
  <c r="E39" i="6" s="1"/>
  <c r="G34" i="6"/>
  <c r="F34" i="6"/>
  <c r="F35" i="6" s="1"/>
  <c r="F39" i="6" s="1"/>
  <c r="D31" i="6"/>
  <c r="D32" i="6" s="1"/>
  <c r="D40" i="6" s="1"/>
  <c r="E31" i="6"/>
  <c r="E32" i="6" s="1"/>
  <c r="E40" i="6" s="1"/>
  <c r="B32" i="6"/>
  <c r="B40" i="6" s="1"/>
  <c r="G31" i="6"/>
  <c r="F31" i="6"/>
  <c r="F32" i="6" s="1"/>
  <c r="F40" i="6" s="1"/>
  <c r="H35" i="2" l="1"/>
  <c r="I35" i="2" s="1"/>
  <c r="J35" i="2" s="1"/>
  <c r="K35" i="2" s="1"/>
  <c r="L35" i="2" s="1"/>
  <c r="H45" i="2"/>
  <c r="I45" i="2" s="1"/>
  <c r="J45" i="2" s="1"/>
  <c r="K45" i="2" s="1"/>
  <c r="G74" i="2"/>
  <c r="H74" i="2" s="1"/>
  <c r="I74" i="2" s="1"/>
  <c r="J74" i="2" s="1"/>
  <c r="K74" i="2" s="1"/>
  <c r="L74" i="2" s="1"/>
  <c r="D17" i="9"/>
  <c r="G17" i="9"/>
  <c r="H17" i="9"/>
  <c r="G6" i="9"/>
  <c r="E17" i="9"/>
  <c r="F17" i="9"/>
  <c r="D18" i="8"/>
  <c r="D23" i="8" s="1"/>
  <c r="D25" i="8" s="1"/>
  <c r="G39" i="6"/>
  <c r="H39" i="6" s="1"/>
  <c r="I39" i="6" s="1"/>
  <c r="J39" i="6" s="1"/>
  <c r="K39" i="6" s="1"/>
  <c r="L39" i="6" s="1"/>
  <c r="G40" i="6"/>
  <c r="H40" i="6" s="1"/>
  <c r="I40" i="6" s="1"/>
  <c r="J40" i="6" s="1"/>
  <c r="K40" i="6" s="1"/>
  <c r="L40" i="6" s="1"/>
  <c r="J75" i="2"/>
  <c r="B33" i="9" l="1"/>
  <c r="B34" i="9" s="1"/>
  <c r="B35" i="9" s="1"/>
  <c r="B5" i="9"/>
  <c r="B31" i="9"/>
  <c r="B30" i="9" s="1"/>
  <c r="B29" i="9" s="1"/>
  <c r="D41" i="9"/>
  <c r="F41" i="9"/>
  <c r="E41" i="9"/>
  <c r="C41" i="9"/>
  <c r="H41" i="9"/>
  <c r="G41" i="9"/>
  <c r="G7" i="9"/>
  <c r="G32" i="6"/>
  <c r="G33" i="6" s="1"/>
  <c r="L45" i="2"/>
  <c r="K75" i="2"/>
  <c r="H31" i="6" l="1"/>
  <c r="G35" i="6"/>
  <c r="G36" i="6" s="1"/>
  <c r="H34" i="6" s="1"/>
  <c r="L75" i="2"/>
  <c r="G37" i="6" l="1"/>
  <c r="G17" i="2" s="1"/>
  <c r="H32" i="6"/>
  <c r="H33" i="6" s="1"/>
  <c r="I31" i="6" l="1"/>
  <c r="I32" i="6" s="1"/>
  <c r="I33" i="6" s="1"/>
  <c r="H35" i="6"/>
  <c r="H36" i="6" s="1"/>
  <c r="I34" i="6" s="1"/>
  <c r="B18" i="7"/>
  <c r="H37" i="6" l="1"/>
  <c r="H17" i="2" s="1"/>
  <c r="J31" i="6"/>
  <c r="I35" i="6"/>
  <c r="I36" i="6" s="1"/>
  <c r="J34" i="6" s="1"/>
  <c r="C18" i="7" l="1"/>
  <c r="J32" i="6"/>
  <c r="J33" i="6" s="1"/>
  <c r="I37" i="6"/>
  <c r="I17" i="2" s="1"/>
  <c r="J35" i="6" l="1"/>
  <c r="J36" i="6" s="1"/>
  <c r="K34" i="6" s="1"/>
  <c r="K31" i="6"/>
  <c r="D18" i="7"/>
  <c r="J37" i="6" l="1"/>
  <c r="J17" i="2" s="1"/>
  <c r="K32" i="6"/>
  <c r="K33" i="6" s="1"/>
  <c r="K35" i="6" l="1"/>
  <c r="K36" i="6" s="1"/>
  <c r="L34" i="6" s="1"/>
  <c r="L31" i="6"/>
  <c r="E18" i="7"/>
  <c r="K37" i="6" l="1"/>
  <c r="K17" i="2" s="1"/>
  <c r="L32" i="6"/>
  <c r="L33" i="6" s="1"/>
  <c r="L35" i="6" l="1"/>
  <c r="L36" i="6" s="1"/>
  <c r="L37" i="6" s="1"/>
  <c r="L17" i="2" s="1"/>
  <c r="G18" i="7" s="1"/>
  <c r="F18" i="7"/>
  <c r="G16" i="2" l="1"/>
  <c r="B25" i="6"/>
  <c r="C25" i="6"/>
  <c r="D25" i="6"/>
  <c r="E25" i="6"/>
  <c r="B23" i="6"/>
  <c r="B28" i="6" s="1"/>
  <c r="C22" i="6"/>
  <c r="C23" i="6" s="1"/>
  <c r="C28" i="6" s="1"/>
  <c r="D22" i="6"/>
  <c r="D23" i="6" s="1"/>
  <c r="D28" i="6" s="1"/>
  <c r="E22" i="6"/>
  <c r="E23" i="6" s="1"/>
  <c r="E28" i="6" s="1"/>
  <c r="B20" i="6"/>
  <c r="B27" i="6" s="1"/>
  <c r="C19" i="6"/>
  <c r="C20" i="6" s="1"/>
  <c r="C27" i="6" s="1"/>
  <c r="D19" i="6"/>
  <c r="D20" i="6" s="1"/>
  <c r="D27" i="6" s="1"/>
  <c r="E19" i="6"/>
  <c r="E20" i="6" s="1"/>
  <c r="E27" i="6" s="1"/>
  <c r="G22" i="6"/>
  <c r="G19" i="6"/>
  <c r="F25" i="6"/>
  <c r="F22" i="6"/>
  <c r="F23" i="6" s="1"/>
  <c r="F28" i="6" s="1"/>
  <c r="G28" i="6" s="1"/>
  <c r="H28" i="6" s="1"/>
  <c r="I28" i="6" s="1"/>
  <c r="J28" i="6" s="1"/>
  <c r="K28" i="6" s="1"/>
  <c r="L28" i="6" s="1"/>
  <c r="F19" i="6"/>
  <c r="F20" i="6" s="1"/>
  <c r="F27" i="6" s="1"/>
  <c r="G27" i="6" s="1"/>
  <c r="H27" i="6" s="1"/>
  <c r="I27" i="6" s="1"/>
  <c r="J27" i="6" s="1"/>
  <c r="K27" i="6" s="1"/>
  <c r="L27" i="6" s="1"/>
  <c r="F12" i="6"/>
  <c r="F13" i="6"/>
  <c r="G44" i="2"/>
  <c r="G137" i="2"/>
  <c r="H137" i="2"/>
  <c r="I137" i="2"/>
  <c r="J137" i="2"/>
  <c r="K137" i="2"/>
  <c r="L137" i="2"/>
  <c r="G47" i="2"/>
  <c r="C38" i="7"/>
  <c r="C36" i="7"/>
  <c r="G22" i="2"/>
  <c r="G18" i="2"/>
  <c r="C73" i="2"/>
  <c r="D73" i="2"/>
  <c r="E73" i="2"/>
  <c r="F73" i="2"/>
  <c r="C72" i="2"/>
  <c r="D72" i="2"/>
  <c r="E72" i="2"/>
  <c r="F72" i="2"/>
  <c r="G72" i="2" s="1"/>
  <c r="B72" i="2"/>
  <c r="C71" i="2"/>
  <c r="D71" i="2"/>
  <c r="E71" i="2"/>
  <c r="F71" i="2"/>
  <c r="G71" i="2" s="1"/>
  <c r="H71" i="2" s="1"/>
  <c r="I71" i="2" s="1"/>
  <c r="J71" i="2" s="1"/>
  <c r="K71" i="2" s="1"/>
  <c r="L71" i="2" s="1"/>
  <c r="B71" i="2"/>
  <c r="C70" i="2"/>
  <c r="D70" i="2"/>
  <c r="E70" i="2"/>
  <c r="F70" i="2"/>
  <c r="B70" i="2"/>
  <c r="C69" i="2"/>
  <c r="D69" i="2"/>
  <c r="E69" i="2"/>
  <c r="F69" i="2"/>
  <c r="B69" i="2"/>
  <c r="C68" i="2"/>
  <c r="D68" i="2"/>
  <c r="E68" i="2"/>
  <c r="F68" i="2"/>
  <c r="G68" i="2" s="1"/>
  <c r="H68" i="2" s="1"/>
  <c r="I68" i="2" s="1"/>
  <c r="J68" i="2" s="1"/>
  <c r="K68" i="2" s="1"/>
  <c r="L68" i="2" s="1"/>
  <c r="B68" i="2"/>
  <c r="C67" i="2"/>
  <c r="D67" i="2"/>
  <c r="E67" i="2"/>
  <c r="F67" i="2"/>
  <c r="G67" i="2" s="1"/>
  <c r="H67" i="2" s="1"/>
  <c r="I67" i="2" s="1"/>
  <c r="J67" i="2" s="1"/>
  <c r="K67" i="2" s="1"/>
  <c r="L67" i="2" s="1"/>
  <c r="B67" i="2"/>
  <c r="C66" i="2"/>
  <c r="D66" i="2"/>
  <c r="E66" i="2"/>
  <c r="F66" i="2"/>
  <c r="G66" i="2" s="1"/>
  <c r="H66" i="2" s="1"/>
  <c r="I66" i="2" s="1"/>
  <c r="J66" i="2" s="1"/>
  <c r="K66" i="2" s="1"/>
  <c r="L66" i="2" s="1"/>
  <c r="B66" i="2"/>
  <c r="C63" i="2"/>
  <c r="D63" i="2"/>
  <c r="E63" i="2"/>
  <c r="F63" i="2"/>
  <c r="B63" i="2"/>
  <c r="C62" i="2"/>
  <c r="D62" i="2"/>
  <c r="E62" i="2"/>
  <c r="F62" i="2"/>
  <c r="B62" i="2"/>
  <c r="C61" i="2"/>
  <c r="D61" i="2"/>
  <c r="E61" i="2"/>
  <c r="F61" i="2"/>
  <c r="G61" i="2" s="1"/>
  <c r="B61" i="2"/>
  <c r="C60" i="2"/>
  <c r="D60" i="2"/>
  <c r="E60" i="2"/>
  <c r="F60" i="2"/>
  <c r="B60" i="2"/>
  <c r="C59" i="2"/>
  <c r="D59" i="2"/>
  <c r="E59" i="2"/>
  <c r="F59" i="2"/>
  <c r="B59" i="2"/>
  <c r="G63" i="2" l="1"/>
  <c r="H44" i="2"/>
  <c r="H47" i="2"/>
  <c r="H18" i="2"/>
  <c r="B19" i="7"/>
  <c r="C19" i="7"/>
  <c r="G62" i="2"/>
  <c r="H62" i="2" s="1"/>
  <c r="H22" i="2"/>
  <c r="I22" i="2" s="1"/>
  <c r="B23" i="7"/>
  <c r="G60" i="2"/>
  <c r="H60" i="2" s="1"/>
  <c r="I60" i="2" s="1"/>
  <c r="G14" i="6"/>
  <c r="B56" i="7" s="1"/>
  <c r="I14" i="6"/>
  <c r="D56" i="7" s="1"/>
  <c r="J14" i="6"/>
  <c r="E56" i="7" s="1"/>
  <c r="G12" i="6"/>
  <c r="H14" i="6"/>
  <c r="C56" i="7" s="1"/>
  <c r="G20" i="6"/>
  <c r="G21" i="6" s="1"/>
  <c r="H19" i="6" s="1"/>
  <c r="H16" i="2"/>
  <c r="H136" i="2" s="1"/>
  <c r="B17" i="7"/>
  <c r="G59" i="2"/>
  <c r="H59" i="2" s="1"/>
  <c r="G155" i="2"/>
  <c r="G142" i="2"/>
  <c r="G138" i="2"/>
  <c r="G70" i="2"/>
  <c r="H70" i="2" s="1"/>
  <c r="H138" i="2"/>
  <c r="H72" i="2"/>
  <c r="H63" i="2"/>
  <c r="H155" i="2"/>
  <c r="D36" i="7"/>
  <c r="H61" i="2"/>
  <c r="H73" i="2"/>
  <c r="G136" i="2"/>
  <c r="I47" i="2" l="1"/>
  <c r="I18" i="2"/>
  <c r="I44" i="2"/>
  <c r="D23" i="7"/>
  <c r="H142" i="2"/>
  <c r="C23" i="7"/>
  <c r="J22" i="2"/>
  <c r="J142" i="2" s="1"/>
  <c r="E23" i="7"/>
  <c r="D38" i="7"/>
  <c r="H20" i="6"/>
  <c r="H21" i="6" s="1"/>
  <c r="C17" i="7"/>
  <c r="G23" i="6"/>
  <c r="G24" i="6" s="1"/>
  <c r="I16" i="2"/>
  <c r="I142" i="2"/>
  <c r="I62" i="2"/>
  <c r="I70" i="2"/>
  <c r="I73" i="2"/>
  <c r="I138" i="2"/>
  <c r="J18" i="2"/>
  <c r="I63" i="2"/>
  <c r="I59" i="2"/>
  <c r="I61" i="2"/>
  <c r="I72" i="2"/>
  <c r="E36" i="7"/>
  <c r="I155" i="2"/>
  <c r="J60" i="2"/>
  <c r="E19" i="7" l="1"/>
  <c r="J44" i="2"/>
  <c r="J47" i="2"/>
  <c r="D19" i="7"/>
  <c r="K22" i="2"/>
  <c r="F23" i="7"/>
  <c r="E38" i="7"/>
  <c r="H23" i="6"/>
  <c r="I19" i="6"/>
  <c r="I20" i="6" s="1"/>
  <c r="H22" i="6"/>
  <c r="G25" i="6"/>
  <c r="G15" i="2" s="1"/>
  <c r="J16" i="2"/>
  <c r="E17" i="7" s="1"/>
  <c r="I136" i="2"/>
  <c r="D17" i="7"/>
  <c r="K60" i="2"/>
  <c r="J61" i="2"/>
  <c r="K18" i="2"/>
  <c r="J138" i="2"/>
  <c r="J73" i="2"/>
  <c r="J59" i="2"/>
  <c r="J70" i="2"/>
  <c r="J63" i="2"/>
  <c r="F36" i="7"/>
  <c r="J155" i="2"/>
  <c r="J72" i="2"/>
  <c r="J62" i="2"/>
  <c r="K47" i="2" l="1"/>
  <c r="K44" i="2"/>
  <c r="F19" i="7"/>
  <c r="L22" i="2"/>
  <c r="L142" i="2" s="1"/>
  <c r="K142" i="2"/>
  <c r="G38" i="7"/>
  <c r="F38" i="7"/>
  <c r="I21" i="6"/>
  <c r="G135" i="2"/>
  <c r="B16" i="7"/>
  <c r="H24" i="6"/>
  <c r="J136" i="2"/>
  <c r="K16" i="2"/>
  <c r="F17" i="7" s="1"/>
  <c r="K138" i="2"/>
  <c r="L18" i="2"/>
  <c r="L138" i="2" s="1"/>
  <c r="K59" i="2"/>
  <c r="K63" i="2"/>
  <c r="K61" i="2"/>
  <c r="K70" i="2"/>
  <c r="L60" i="2"/>
  <c r="K73" i="2"/>
  <c r="K62" i="2"/>
  <c r="K72" i="2"/>
  <c r="K155" i="2"/>
  <c r="G19" i="7" l="1"/>
  <c r="L47" i="2"/>
  <c r="G23" i="7"/>
  <c r="J19" i="6"/>
  <c r="J20" i="6" s="1"/>
  <c r="J21" i="6" s="1"/>
  <c r="I23" i="6"/>
  <c r="L155" i="2"/>
  <c r="G36" i="7"/>
  <c r="I22" i="6"/>
  <c r="H25" i="6"/>
  <c r="H15" i="2" s="1"/>
  <c r="L16" i="2"/>
  <c r="L136" i="2" s="1"/>
  <c r="K136" i="2"/>
  <c r="L72" i="2"/>
  <c r="L73" i="2"/>
  <c r="L63" i="2"/>
  <c r="L70" i="2"/>
  <c r="L61" i="2"/>
  <c r="L59" i="2"/>
  <c r="L62" i="2"/>
  <c r="G17" i="7" l="1"/>
  <c r="I24" i="6"/>
  <c r="J22" i="6" s="1"/>
  <c r="J23" i="6"/>
  <c r="K19" i="6"/>
  <c r="K20" i="6" s="1"/>
  <c r="K21" i="6" s="1"/>
  <c r="K23" i="6" s="1"/>
  <c r="H135" i="2"/>
  <c r="C16" i="7"/>
  <c r="L19" i="6" l="1"/>
  <c r="L20" i="6" s="1"/>
  <c r="L21" i="6" s="1"/>
  <c r="I25" i="6"/>
  <c r="I15" i="2" s="1"/>
  <c r="I135" i="2" s="1"/>
  <c r="J24" i="6"/>
  <c r="J25" i="6" s="1"/>
  <c r="J15" i="2" s="1"/>
  <c r="D16" i="7" l="1"/>
  <c r="K22" i="6"/>
  <c r="K24" i="6" s="1"/>
  <c r="K25" i="6" s="1"/>
  <c r="K15" i="2" s="1"/>
  <c r="J135" i="2"/>
  <c r="E16" i="7"/>
  <c r="L23" i="6"/>
  <c r="L22" i="6" l="1"/>
  <c r="L24" i="6" s="1"/>
  <c r="L25" i="6" s="1"/>
  <c r="L15" i="2" s="1"/>
  <c r="G16" i="7" s="1"/>
  <c r="K135" i="2"/>
  <c r="F16" i="7"/>
  <c r="C58" i="2"/>
  <c r="D58" i="2"/>
  <c r="E58" i="2"/>
  <c r="F58" i="2"/>
  <c r="B58" i="2"/>
  <c r="C57" i="2"/>
  <c r="D57" i="2"/>
  <c r="E57" i="2"/>
  <c r="F57" i="2"/>
  <c r="B57" i="2"/>
  <c r="C56" i="2"/>
  <c r="D56" i="2"/>
  <c r="E56" i="2"/>
  <c r="F56" i="2"/>
  <c r="B56" i="2"/>
  <c r="C55" i="2"/>
  <c r="D55" i="2"/>
  <c r="E55" i="2"/>
  <c r="F55" i="2"/>
  <c r="C54" i="2"/>
  <c r="D54" i="2"/>
  <c r="E54" i="2"/>
  <c r="F54" i="2"/>
  <c r="C54" i="1"/>
  <c r="D54" i="1"/>
  <c r="E54" i="1"/>
  <c r="F54" i="1"/>
  <c r="B54" i="1"/>
  <c r="C41" i="1"/>
  <c r="D41" i="1"/>
  <c r="E41" i="1"/>
  <c r="F41" i="1"/>
  <c r="G41" i="1" s="1"/>
  <c r="H41" i="1" s="1"/>
  <c r="I41" i="1" s="1"/>
  <c r="J41" i="1" s="1"/>
  <c r="K41" i="1" s="1"/>
  <c r="L41" i="1" s="1"/>
  <c r="B41" i="1"/>
  <c r="C34" i="1"/>
  <c r="D34" i="1"/>
  <c r="E34" i="1"/>
  <c r="F34" i="1"/>
  <c r="B34" i="1"/>
  <c r="C28" i="1"/>
  <c r="D28" i="1"/>
  <c r="E28" i="1"/>
  <c r="F28" i="1"/>
  <c r="B28" i="1"/>
  <c r="C21" i="1"/>
  <c r="D21" i="1"/>
  <c r="E21" i="1"/>
  <c r="F21" i="1"/>
  <c r="B21" i="1"/>
  <c r="G55" i="5"/>
  <c r="H55" i="5" s="1"/>
  <c r="I55" i="5" s="1"/>
  <c r="J55" i="5" s="1"/>
  <c r="K55" i="5" s="1"/>
  <c r="L55" i="5" s="1"/>
  <c r="G38" i="5"/>
  <c r="H38" i="5" s="1"/>
  <c r="I38" i="5" s="1"/>
  <c r="J38" i="5" s="1"/>
  <c r="K38" i="5" s="1"/>
  <c r="L38" i="5" s="1"/>
  <c r="L135" i="2" l="1"/>
  <c r="H55" i="2" l="1"/>
  <c r="G25" i="5"/>
  <c r="H25" i="5" s="1"/>
  <c r="I25" i="5" s="1"/>
  <c r="J25" i="5" s="1"/>
  <c r="K25" i="5" s="1"/>
  <c r="L25" i="5" s="1"/>
  <c r="G22" i="5"/>
  <c r="H22" i="5" s="1"/>
  <c r="G19" i="5"/>
  <c r="G16" i="5"/>
  <c r="C75" i="5"/>
  <c r="D75" i="5"/>
  <c r="E75" i="5"/>
  <c r="F75" i="5"/>
  <c r="B75" i="5"/>
  <c r="C74" i="5"/>
  <c r="D74" i="5"/>
  <c r="E74" i="5"/>
  <c r="F74" i="5"/>
  <c r="B74" i="5"/>
  <c r="C73" i="5"/>
  <c r="D73" i="5"/>
  <c r="E73" i="5"/>
  <c r="F73" i="5"/>
  <c r="B73" i="5"/>
  <c r="C72" i="5"/>
  <c r="D72" i="5"/>
  <c r="E72" i="5"/>
  <c r="F72" i="5"/>
  <c r="B72" i="5"/>
  <c r="C71" i="5"/>
  <c r="D71" i="5"/>
  <c r="E71" i="5"/>
  <c r="F71" i="5"/>
  <c r="B71" i="5"/>
  <c r="C70" i="5"/>
  <c r="D70" i="5"/>
  <c r="E70" i="5"/>
  <c r="F70" i="5"/>
  <c r="B70" i="5"/>
  <c r="C68" i="5"/>
  <c r="D68" i="5"/>
  <c r="E68" i="5"/>
  <c r="F68" i="5"/>
  <c r="B68" i="5"/>
  <c r="C67" i="5"/>
  <c r="D67" i="5"/>
  <c r="E67" i="5"/>
  <c r="F67" i="5"/>
  <c r="B67" i="5"/>
  <c r="C66" i="5"/>
  <c r="D66" i="5"/>
  <c r="E66" i="5"/>
  <c r="F66" i="5"/>
  <c r="B66" i="5"/>
  <c r="C65" i="5"/>
  <c r="D65" i="5"/>
  <c r="E65" i="5"/>
  <c r="F65" i="5"/>
  <c r="C64" i="5"/>
  <c r="D64" i="5"/>
  <c r="E64" i="5"/>
  <c r="F64" i="5"/>
  <c r="B64" i="5"/>
  <c r="C63" i="5"/>
  <c r="D63" i="5"/>
  <c r="E63" i="5"/>
  <c r="F63" i="5"/>
  <c r="B63" i="5"/>
  <c r="D59" i="5"/>
  <c r="E59" i="5"/>
  <c r="F59" i="5"/>
  <c r="C59" i="5"/>
  <c r="D56" i="5"/>
  <c r="E56" i="5"/>
  <c r="F56" i="5"/>
  <c r="C56" i="5"/>
  <c r="D53" i="5"/>
  <c r="E53" i="5"/>
  <c r="F53" i="5"/>
  <c r="C53" i="5"/>
  <c r="D46" i="5"/>
  <c r="E46" i="5"/>
  <c r="F46" i="5"/>
  <c r="C46" i="5"/>
  <c r="D39" i="5"/>
  <c r="E39" i="5"/>
  <c r="F39" i="5"/>
  <c r="C39" i="5"/>
  <c r="D32" i="5"/>
  <c r="E32" i="5"/>
  <c r="F32" i="5"/>
  <c r="C32" i="5"/>
  <c r="D29" i="5"/>
  <c r="E29" i="5"/>
  <c r="F29" i="5"/>
  <c r="C29" i="5"/>
  <c r="D26" i="5"/>
  <c r="E26" i="5"/>
  <c r="F26" i="5"/>
  <c r="C26" i="5"/>
  <c r="D23" i="5"/>
  <c r="E23" i="5"/>
  <c r="F23" i="5"/>
  <c r="C23" i="5"/>
  <c r="E20" i="5"/>
  <c r="F20" i="5"/>
  <c r="D20" i="5"/>
  <c r="D17" i="5"/>
  <c r="E17" i="5"/>
  <c r="F17" i="5"/>
  <c r="C17" i="5"/>
  <c r="D10" i="5"/>
  <c r="E10" i="5"/>
  <c r="F10" i="5"/>
  <c r="C10" i="5"/>
  <c r="D6" i="5"/>
  <c r="E6" i="5"/>
  <c r="F6" i="5"/>
  <c r="C6" i="5"/>
  <c r="G52" i="5" l="1"/>
  <c r="I55" i="2"/>
  <c r="I22" i="5"/>
  <c r="J22" i="5" s="1"/>
  <c r="K22" i="5" s="1"/>
  <c r="L22" i="5" s="1"/>
  <c r="H19" i="5"/>
  <c r="I19" i="5" s="1"/>
  <c r="J19" i="5" s="1"/>
  <c r="K19" i="5" s="1"/>
  <c r="H16" i="5"/>
  <c r="H52" i="5" l="1"/>
  <c r="L19" i="5"/>
  <c r="J55" i="2"/>
  <c r="I16" i="5"/>
  <c r="I52" i="5" l="1"/>
  <c r="K55" i="2"/>
  <c r="J16" i="5"/>
  <c r="J52" i="5" l="1"/>
  <c r="L55" i="2"/>
  <c r="K16" i="5"/>
  <c r="K52" i="5" l="1"/>
  <c r="L16" i="5"/>
  <c r="L52" i="5" l="1"/>
  <c r="B117" i="2" l="1"/>
  <c r="C117" i="2"/>
  <c r="D117" i="2"/>
  <c r="E117" i="2"/>
  <c r="F117" i="2"/>
  <c r="B118" i="2"/>
  <c r="C118" i="2"/>
  <c r="D118" i="2"/>
  <c r="E118" i="2"/>
  <c r="F118" i="2"/>
  <c r="B119" i="2"/>
  <c r="C119" i="2"/>
  <c r="D119" i="2"/>
  <c r="E119" i="2"/>
  <c r="F119" i="2"/>
  <c r="B120" i="2"/>
  <c r="C120" i="2"/>
  <c r="D120" i="2"/>
  <c r="E120" i="2"/>
  <c r="F120" i="2"/>
  <c r="B121" i="2"/>
  <c r="C121" i="2"/>
  <c r="D121" i="2"/>
  <c r="E121" i="2"/>
  <c r="F121" i="2"/>
  <c r="C116" i="3"/>
  <c r="D116" i="3"/>
  <c r="E116" i="3"/>
  <c r="F116" i="3"/>
  <c r="C117" i="3"/>
  <c r="D117" i="3"/>
  <c r="E117" i="3"/>
  <c r="F117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D125" i="3"/>
  <c r="E125" i="3"/>
  <c r="F125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5" i="3"/>
  <c r="D135" i="3"/>
  <c r="E135" i="3"/>
  <c r="F135" i="3"/>
  <c r="C136" i="3"/>
  <c r="D136" i="3"/>
  <c r="E136" i="3"/>
  <c r="F136" i="3"/>
  <c r="F138" i="3"/>
  <c r="C139" i="3"/>
  <c r="D139" i="3"/>
  <c r="E139" i="3"/>
  <c r="F139" i="3"/>
  <c r="C140" i="3"/>
  <c r="D140" i="3"/>
  <c r="E140" i="3"/>
  <c r="F140" i="3"/>
  <c r="E141" i="3"/>
  <c r="F141" i="3"/>
  <c r="E142" i="3"/>
  <c r="F142" i="3"/>
  <c r="C143" i="3"/>
  <c r="F143" i="3"/>
  <c r="C144" i="3"/>
  <c r="D144" i="3"/>
  <c r="E144" i="3"/>
  <c r="F144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D114" i="3"/>
  <c r="E114" i="3"/>
  <c r="F114" i="3"/>
  <c r="C114" i="3"/>
  <c r="B63" i="3"/>
  <c r="C63" i="3"/>
  <c r="D63" i="3"/>
  <c r="E63" i="3"/>
  <c r="F63" i="3"/>
  <c r="B64" i="3"/>
  <c r="C64" i="3"/>
  <c r="D64" i="3"/>
  <c r="E64" i="3"/>
  <c r="F64" i="3"/>
  <c r="C65" i="3"/>
  <c r="D65" i="3"/>
  <c r="E65" i="3"/>
  <c r="F65" i="3"/>
  <c r="B66" i="3"/>
  <c r="C66" i="3"/>
  <c r="D66" i="3"/>
  <c r="E66" i="3"/>
  <c r="F66" i="3"/>
  <c r="B67" i="3"/>
  <c r="C67" i="3"/>
  <c r="D67" i="3"/>
  <c r="E67" i="3"/>
  <c r="F67" i="3"/>
  <c r="C68" i="3"/>
  <c r="D68" i="3"/>
  <c r="E68" i="3"/>
  <c r="F68" i="3"/>
  <c r="B69" i="3"/>
  <c r="C69" i="3"/>
  <c r="D69" i="3"/>
  <c r="E69" i="3"/>
  <c r="F69" i="3"/>
  <c r="C70" i="3"/>
  <c r="D70" i="3"/>
  <c r="E70" i="3"/>
  <c r="F70" i="3"/>
  <c r="C71" i="3"/>
  <c r="D71" i="3"/>
  <c r="E71" i="3"/>
  <c r="F71" i="3"/>
  <c r="C72" i="3"/>
  <c r="D72" i="3"/>
  <c r="E72" i="3"/>
  <c r="F72" i="3"/>
  <c r="B73" i="3"/>
  <c r="C73" i="3"/>
  <c r="D73" i="3"/>
  <c r="E73" i="3"/>
  <c r="F73" i="3"/>
  <c r="B74" i="3"/>
  <c r="C74" i="3"/>
  <c r="D74" i="3"/>
  <c r="E74" i="3"/>
  <c r="F74" i="3"/>
  <c r="B75" i="3"/>
  <c r="C75" i="3"/>
  <c r="D75" i="3"/>
  <c r="E75" i="3"/>
  <c r="F75" i="3"/>
  <c r="B76" i="3"/>
  <c r="C76" i="3"/>
  <c r="D76" i="3"/>
  <c r="E76" i="3"/>
  <c r="F76" i="3"/>
  <c r="B77" i="3"/>
  <c r="C77" i="3"/>
  <c r="D77" i="3"/>
  <c r="E77" i="3"/>
  <c r="F77" i="3"/>
  <c r="B78" i="3"/>
  <c r="C78" i="3"/>
  <c r="D78" i="3"/>
  <c r="E78" i="3"/>
  <c r="F78" i="3"/>
  <c r="B79" i="3"/>
  <c r="C79" i="3"/>
  <c r="D79" i="3"/>
  <c r="E79" i="3"/>
  <c r="F79" i="3"/>
  <c r="B82" i="3"/>
  <c r="C82" i="3"/>
  <c r="D82" i="3"/>
  <c r="E82" i="3"/>
  <c r="F82" i="3"/>
  <c r="B83" i="3"/>
  <c r="C83" i="3"/>
  <c r="D83" i="3"/>
  <c r="E83" i="3"/>
  <c r="F83" i="3"/>
  <c r="C84" i="3"/>
  <c r="D84" i="3"/>
  <c r="E84" i="3"/>
  <c r="F84" i="3"/>
  <c r="B85" i="3"/>
  <c r="C85" i="3"/>
  <c r="D85" i="3"/>
  <c r="E85" i="3"/>
  <c r="F85" i="3"/>
  <c r="B86" i="3"/>
  <c r="C86" i="3"/>
  <c r="D86" i="3"/>
  <c r="E86" i="3"/>
  <c r="F86" i="3"/>
  <c r="B87" i="3"/>
  <c r="C87" i="3"/>
  <c r="D87" i="3"/>
  <c r="E87" i="3"/>
  <c r="F87" i="3"/>
  <c r="C88" i="3"/>
  <c r="D88" i="3"/>
  <c r="E88" i="3"/>
  <c r="F88" i="3"/>
  <c r="C89" i="3"/>
  <c r="D89" i="3"/>
  <c r="E89" i="3"/>
  <c r="F89" i="3"/>
  <c r="B90" i="3"/>
  <c r="C90" i="3"/>
  <c r="D90" i="3"/>
  <c r="E90" i="3"/>
  <c r="F90" i="3"/>
  <c r="B91" i="3"/>
  <c r="C91" i="3"/>
  <c r="D91" i="3"/>
  <c r="E91" i="3"/>
  <c r="F91" i="3"/>
  <c r="B94" i="3"/>
  <c r="C94" i="3"/>
  <c r="D94" i="3"/>
  <c r="E94" i="3"/>
  <c r="F94" i="3"/>
  <c r="B95" i="3"/>
  <c r="C95" i="3"/>
  <c r="D95" i="3"/>
  <c r="E95" i="3"/>
  <c r="F95" i="3"/>
  <c r="B96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B100" i="3"/>
  <c r="C100" i="3"/>
  <c r="D100" i="3"/>
  <c r="E100" i="3"/>
  <c r="F100" i="3"/>
  <c r="B101" i="3"/>
  <c r="C101" i="3"/>
  <c r="D101" i="3"/>
  <c r="E101" i="3"/>
  <c r="F101" i="3"/>
  <c r="B102" i="3"/>
  <c r="C102" i="3"/>
  <c r="D102" i="3"/>
  <c r="E102" i="3"/>
  <c r="F102" i="3"/>
  <c r="B103" i="3"/>
  <c r="C103" i="3"/>
  <c r="D103" i="3"/>
  <c r="E103" i="3"/>
  <c r="F103" i="3"/>
  <c r="B104" i="3"/>
  <c r="C104" i="3"/>
  <c r="D104" i="3"/>
  <c r="E104" i="3"/>
  <c r="F104" i="3"/>
  <c r="B107" i="3"/>
  <c r="C107" i="3"/>
  <c r="D107" i="3"/>
  <c r="E107" i="3"/>
  <c r="F107" i="3"/>
  <c r="B108" i="3"/>
  <c r="C108" i="3"/>
  <c r="D108" i="3"/>
  <c r="E108" i="3"/>
  <c r="F108" i="3"/>
  <c r="B109" i="3"/>
  <c r="C109" i="3"/>
  <c r="D109" i="3"/>
  <c r="E109" i="3"/>
  <c r="F109" i="3"/>
  <c r="B110" i="3"/>
  <c r="C110" i="3"/>
  <c r="D110" i="3"/>
  <c r="E110" i="3"/>
  <c r="F110" i="3"/>
  <c r="C61" i="3"/>
  <c r="D61" i="3"/>
  <c r="E61" i="3"/>
  <c r="F61" i="3"/>
  <c r="B61" i="3"/>
  <c r="D128" i="2"/>
  <c r="E128" i="2"/>
  <c r="F128" i="2"/>
  <c r="F129" i="2"/>
  <c r="C130" i="2"/>
  <c r="D130" i="2"/>
  <c r="E130" i="2"/>
  <c r="F130" i="2"/>
  <c r="C131" i="2"/>
  <c r="D131" i="2"/>
  <c r="E131" i="2"/>
  <c r="F131" i="2"/>
  <c r="C132" i="2"/>
  <c r="D132" i="2"/>
  <c r="E132" i="2"/>
  <c r="F132" i="2"/>
  <c r="C133" i="2"/>
  <c r="D133" i="2"/>
  <c r="E133" i="2"/>
  <c r="F133" i="2"/>
  <c r="C134" i="2"/>
  <c r="D134" i="2"/>
  <c r="E134" i="2"/>
  <c r="F134" i="2"/>
  <c r="C135" i="2"/>
  <c r="D135" i="2"/>
  <c r="E135" i="2"/>
  <c r="F135" i="2"/>
  <c r="C136" i="2"/>
  <c r="D136" i="2"/>
  <c r="E136" i="2"/>
  <c r="F136" i="2"/>
  <c r="C137" i="2"/>
  <c r="D137" i="2"/>
  <c r="E137" i="2"/>
  <c r="F137" i="2"/>
  <c r="C138" i="2"/>
  <c r="D138" i="2"/>
  <c r="E138" i="2"/>
  <c r="F138" i="2"/>
  <c r="D139" i="2"/>
  <c r="E139" i="2"/>
  <c r="F139" i="2"/>
  <c r="C140" i="2"/>
  <c r="D140" i="2"/>
  <c r="E140" i="2"/>
  <c r="F140" i="2"/>
  <c r="D141" i="2"/>
  <c r="E141" i="2"/>
  <c r="F141" i="2"/>
  <c r="F142" i="2"/>
  <c r="C143" i="2"/>
  <c r="D143" i="2"/>
  <c r="E143" i="2"/>
  <c r="F143" i="2"/>
  <c r="C144" i="2"/>
  <c r="D144" i="2"/>
  <c r="E144" i="2"/>
  <c r="F144" i="2"/>
  <c r="C148" i="2"/>
  <c r="D148" i="2"/>
  <c r="E148" i="2"/>
  <c r="F148" i="2"/>
  <c r="C149" i="2"/>
  <c r="D149" i="2"/>
  <c r="E149" i="2"/>
  <c r="F149" i="2"/>
  <c r="C150" i="2"/>
  <c r="D150" i="2"/>
  <c r="E150" i="2"/>
  <c r="F150" i="2"/>
  <c r="C151" i="2"/>
  <c r="D151" i="2"/>
  <c r="E151" i="2"/>
  <c r="F151" i="2"/>
  <c r="C152" i="2"/>
  <c r="D152" i="2"/>
  <c r="E152" i="2"/>
  <c r="F152" i="2"/>
  <c r="C153" i="2"/>
  <c r="D153" i="2"/>
  <c r="E153" i="2"/>
  <c r="F153" i="2"/>
  <c r="C154" i="2"/>
  <c r="D154" i="2"/>
  <c r="E154" i="2"/>
  <c r="F154" i="2"/>
  <c r="C155" i="2"/>
  <c r="D155" i="2"/>
  <c r="E155" i="2"/>
  <c r="F155" i="2"/>
  <c r="C156" i="2"/>
  <c r="D156" i="2"/>
  <c r="E156" i="2"/>
  <c r="F156" i="2"/>
  <c r="D158" i="2"/>
  <c r="E158" i="2"/>
  <c r="F158" i="2"/>
  <c r="D159" i="2"/>
  <c r="E159" i="2"/>
  <c r="F159" i="2"/>
  <c r="C160" i="2"/>
  <c r="D160" i="2"/>
  <c r="E160" i="2"/>
  <c r="F160" i="2"/>
  <c r="C161" i="2"/>
  <c r="D161" i="2"/>
  <c r="E161" i="2"/>
  <c r="F161" i="2"/>
  <c r="C163" i="2"/>
  <c r="D163" i="2"/>
  <c r="E163" i="2"/>
  <c r="F163" i="2"/>
  <c r="C164" i="2"/>
  <c r="D164" i="2"/>
  <c r="E164" i="2"/>
  <c r="F164" i="2"/>
  <c r="D127" i="2"/>
  <c r="E127" i="2"/>
  <c r="F127" i="2"/>
  <c r="C127" i="2"/>
  <c r="C81" i="2"/>
  <c r="D81" i="2"/>
  <c r="E81" i="2"/>
  <c r="F81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B86" i="2"/>
  <c r="C86" i="2"/>
  <c r="D86" i="2"/>
  <c r="E86" i="2"/>
  <c r="F86" i="2"/>
  <c r="B87" i="2"/>
  <c r="C87" i="2"/>
  <c r="D87" i="2"/>
  <c r="E87" i="2"/>
  <c r="F87" i="2"/>
  <c r="B88" i="2"/>
  <c r="C88" i="2"/>
  <c r="D88" i="2"/>
  <c r="E88" i="2"/>
  <c r="F88" i="2"/>
  <c r="B89" i="2"/>
  <c r="C89" i="2"/>
  <c r="D89" i="2"/>
  <c r="E89" i="2"/>
  <c r="F89" i="2"/>
  <c r="B90" i="2"/>
  <c r="C90" i="2"/>
  <c r="D90" i="2"/>
  <c r="E90" i="2"/>
  <c r="F90" i="2"/>
  <c r="B91" i="2"/>
  <c r="C91" i="2"/>
  <c r="D91" i="2"/>
  <c r="E91" i="2"/>
  <c r="F91" i="2"/>
  <c r="C92" i="2"/>
  <c r="D92" i="2"/>
  <c r="E92" i="2"/>
  <c r="F92" i="2"/>
  <c r="B93" i="2"/>
  <c r="C93" i="2"/>
  <c r="D93" i="2"/>
  <c r="E93" i="2"/>
  <c r="F93" i="2"/>
  <c r="C94" i="2"/>
  <c r="D94" i="2"/>
  <c r="E94" i="2"/>
  <c r="F94" i="2"/>
  <c r="C95" i="2"/>
  <c r="D95" i="2"/>
  <c r="E95" i="2"/>
  <c r="F95" i="2"/>
  <c r="B96" i="2"/>
  <c r="C96" i="2"/>
  <c r="D96" i="2"/>
  <c r="E96" i="2"/>
  <c r="F96" i="2"/>
  <c r="B101" i="2"/>
  <c r="C101" i="2"/>
  <c r="D101" i="2"/>
  <c r="E101" i="2"/>
  <c r="F101" i="2"/>
  <c r="B102" i="2"/>
  <c r="C102" i="2"/>
  <c r="D102" i="2"/>
  <c r="E102" i="2"/>
  <c r="F102" i="2"/>
  <c r="B103" i="2"/>
  <c r="C103" i="2"/>
  <c r="D103" i="2"/>
  <c r="E103" i="2"/>
  <c r="F103" i="2"/>
  <c r="B104" i="2"/>
  <c r="C104" i="2"/>
  <c r="D104" i="2"/>
  <c r="E104" i="2"/>
  <c r="F104" i="2"/>
  <c r="B105" i="2"/>
  <c r="C105" i="2"/>
  <c r="D105" i="2"/>
  <c r="E105" i="2"/>
  <c r="F105" i="2"/>
  <c r="B106" i="2"/>
  <c r="C106" i="2"/>
  <c r="D106" i="2"/>
  <c r="E106" i="2"/>
  <c r="F106" i="2"/>
  <c r="B107" i="2"/>
  <c r="C107" i="2"/>
  <c r="D107" i="2"/>
  <c r="E107" i="2"/>
  <c r="F107" i="2"/>
  <c r="B108" i="2"/>
  <c r="C108" i="2"/>
  <c r="D108" i="2"/>
  <c r="E108" i="2"/>
  <c r="F108" i="2"/>
  <c r="B109" i="2"/>
  <c r="C109" i="2"/>
  <c r="D109" i="2"/>
  <c r="E109" i="2"/>
  <c r="F109" i="2"/>
  <c r="C110" i="2"/>
  <c r="D110" i="2"/>
  <c r="E110" i="2"/>
  <c r="F110" i="2"/>
  <c r="C111" i="2"/>
  <c r="D111" i="2"/>
  <c r="E111" i="2"/>
  <c r="F111" i="2"/>
  <c r="B112" i="2"/>
  <c r="C112" i="2"/>
  <c r="D112" i="2"/>
  <c r="E112" i="2"/>
  <c r="F112" i="2"/>
  <c r="B113" i="2"/>
  <c r="C113" i="2"/>
  <c r="D113" i="2"/>
  <c r="E113" i="2"/>
  <c r="F113" i="2"/>
  <c r="B114" i="2"/>
  <c r="C114" i="2"/>
  <c r="D114" i="2"/>
  <c r="E114" i="2"/>
  <c r="F114" i="2"/>
  <c r="C80" i="2"/>
  <c r="D80" i="2"/>
  <c r="E80" i="2"/>
  <c r="F80" i="2"/>
  <c r="B80" i="2"/>
  <c r="C59" i="1" l="1"/>
  <c r="D59" i="1"/>
  <c r="E59" i="1"/>
  <c r="F59" i="1"/>
  <c r="C60" i="1"/>
  <c r="D60" i="1"/>
  <c r="E60" i="1"/>
  <c r="F60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D58" i="1"/>
  <c r="E58" i="1"/>
  <c r="F58" i="1"/>
  <c r="C58" i="1"/>
  <c r="B46" i="1"/>
  <c r="C46" i="1"/>
  <c r="D46" i="1"/>
  <c r="E46" i="1"/>
  <c r="F46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3" i="1"/>
  <c r="C53" i="1"/>
  <c r="D53" i="1"/>
  <c r="E53" i="1"/>
  <c r="F53" i="1"/>
  <c r="B55" i="1"/>
  <c r="C55" i="1"/>
  <c r="D55" i="1"/>
  <c r="E55" i="1"/>
  <c r="F55" i="1"/>
  <c r="C45" i="1"/>
  <c r="D45" i="1"/>
  <c r="E45" i="1"/>
  <c r="F45" i="1"/>
  <c r="B45" i="1"/>
  <c r="C18" i="1"/>
  <c r="D18" i="1"/>
  <c r="E18" i="1"/>
  <c r="F18" i="1"/>
  <c r="G18" i="1" s="1"/>
  <c r="H18" i="1" s="1"/>
  <c r="I18" i="1" s="1"/>
  <c r="J18" i="1" s="1"/>
  <c r="K18" i="1" s="1"/>
  <c r="L18" i="1" s="1"/>
  <c r="B18" i="1"/>
  <c r="G45" i="5" l="1"/>
  <c r="H45" i="5" s="1"/>
  <c r="I45" i="5" l="1"/>
  <c r="J45" i="5" l="1"/>
  <c r="K45" i="5" l="1"/>
  <c r="L45" i="5" l="1"/>
  <c r="H32" i="5" l="1"/>
  <c r="I32" i="5"/>
  <c r="K32" i="5"/>
  <c r="G32" i="5"/>
  <c r="G31" i="5" s="1"/>
  <c r="H31" i="5" l="1"/>
  <c r="I31" i="5" s="1"/>
  <c r="I58" i="5" s="1"/>
  <c r="G58" i="5"/>
  <c r="G4" i="5" s="1"/>
  <c r="L32" i="5"/>
  <c r="J32" i="5"/>
  <c r="H58" i="5" l="1"/>
  <c r="H4" i="5" s="1"/>
  <c r="J31" i="5"/>
  <c r="K31" i="5" s="1"/>
  <c r="G59" i="5"/>
  <c r="I4" i="5"/>
  <c r="I59" i="5" l="1"/>
  <c r="H59" i="5"/>
  <c r="J58" i="5"/>
  <c r="J59" i="5" s="1"/>
  <c r="K58" i="5"/>
  <c r="L31" i="5"/>
  <c r="J4" i="5" l="1"/>
  <c r="L58" i="5"/>
  <c r="K59" i="5"/>
  <c r="K4" i="5"/>
  <c r="L4" i="5" l="1"/>
  <c r="L59" i="5"/>
  <c r="G10" i="5"/>
  <c r="G9" i="5" s="1"/>
  <c r="H9" i="5" s="1"/>
  <c r="H28" i="5" l="1"/>
  <c r="H3" i="5" s="1"/>
  <c r="H5" i="5" s="1"/>
  <c r="I9" i="5"/>
  <c r="G28" i="5"/>
  <c r="I28" i="5" l="1"/>
  <c r="J9" i="5"/>
  <c r="H65" i="5"/>
  <c r="H74" i="5"/>
  <c r="H4" i="1"/>
  <c r="H67" i="5"/>
  <c r="H75" i="5"/>
  <c r="H66" i="5"/>
  <c r="H72" i="5"/>
  <c r="H73" i="5"/>
  <c r="H64" i="5"/>
  <c r="H71" i="5"/>
  <c r="H70" i="5"/>
  <c r="H63" i="5"/>
  <c r="H68" i="5"/>
  <c r="G3" i="5"/>
  <c r="G5" i="5" s="1"/>
  <c r="G68" i="5" s="1"/>
  <c r="G29" i="5"/>
  <c r="H29" i="5"/>
  <c r="K9" i="5" l="1"/>
  <c r="J28" i="5"/>
  <c r="I29" i="5"/>
  <c r="I3" i="5"/>
  <c r="I5" i="5" s="1"/>
  <c r="H6" i="5"/>
  <c r="G64" i="5"/>
  <c r="G67" i="5"/>
  <c r="G6" i="5"/>
  <c r="G70" i="5"/>
  <c r="G74" i="5"/>
  <c r="G75" i="5"/>
  <c r="G73" i="5"/>
  <c r="G66" i="5"/>
  <c r="G65" i="5"/>
  <c r="G71" i="5"/>
  <c r="G72" i="5"/>
  <c r="G4" i="1"/>
  <c r="G63" i="5"/>
  <c r="H40" i="2"/>
  <c r="H31" i="2"/>
  <c r="H5" i="1"/>
  <c r="H20" i="2"/>
  <c r="H9" i="2"/>
  <c r="H11" i="2"/>
  <c r="H8" i="2"/>
  <c r="H30" i="2"/>
  <c r="H38" i="2"/>
  <c r="H10" i="2"/>
  <c r="H23" i="2"/>
  <c r="H8" i="1"/>
  <c r="H19" i="2"/>
  <c r="H39" i="2"/>
  <c r="H21" i="2"/>
  <c r="H9" i="1"/>
  <c r="H34" i="2"/>
  <c r="J3" i="5" l="1"/>
  <c r="J5" i="5" s="1"/>
  <c r="J29" i="5"/>
  <c r="I74" i="5"/>
  <c r="I67" i="5"/>
  <c r="I73" i="5"/>
  <c r="I75" i="5"/>
  <c r="I6" i="5"/>
  <c r="I66" i="5"/>
  <c r="I72" i="5"/>
  <c r="I70" i="5"/>
  <c r="I65" i="5"/>
  <c r="I64" i="5"/>
  <c r="I68" i="5"/>
  <c r="I71" i="5"/>
  <c r="I63" i="5"/>
  <c r="I4" i="1"/>
  <c r="L9" i="5"/>
  <c r="K28" i="5"/>
  <c r="G8" i="2"/>
  <c r="H128" i="2" s="1"/>
  <c r="G9" i="1"/>
  <c r="H63" i="1" s="1"/>
  <c r="G19" i="2"/>
  <c r="H139" i="2" s="1"/>
  <c r="G21" i="2"/>
  <c r="H141" i="2" s="1"/>
  <c r="G10" i="2"/>
  <c r="G34" i="2"/>
  <c r="C35" i="7" s="1"/>
  <c r="G23" i="2"/>
  <c r="G11" i="2"/>
  <c r="H131" i="2" s="1"/>
  <c r="G39" i="2"/>
  <c r="G8" i="1"/>
  <c r="H62" i="1" s="1"/>
  <c r="G31" i="2"/>
  <c r="C32" i="7" s="1"/>
  <c r="G9" i="2"/>
  <c r="G5" i="1"/>
  <c r="H59" i="1" s="1"/>
  <c r="G58" i="1"/>
  <c r="G40" i="2"/>
  <c r="H160" i="2" s="1"/>
  <c r="G30" i="2"/>
  <c r="C31" i="7" s="1"/>
  <c r="G38" i="2"/>
  <c r="C39" i="7" s="1"/>
  <c r="G20" i="2"/>
  <c r="H12" i="1"/>
  <c r="H58" i="1"/>
  <c r="H49" i="1"/>
  <c r="H45" i="1"/>
  <c r="H12" i="2"/>
  <c r="H29" i="2"/>
  <c r="H28" i="2"/>
  <c r="H6" i="1"/>
  <c r="H5" i="4" s="1"/>
  <c r="H48" i="1"/>
  <c r="H10" i="1"/>
  <c r="H36" i="2"/>
  <c r="G6" i="1" l="1"/>
  <c r="G5" i="4" s="1"/>
  <c r="H130" i="2"/>
  <c r="H25" i="4"/>
  <c r="H28" i="4" s="1"/>
  <c r="G25" i="4"/>
  <c r="G28" i="4" s="1"/>
  <c r="H154" i="2"/>
  <c r="H158" i="2"/>
  <c r="L28" i="5"/>
  <c r="K3" i="5"/>
  <c r="K5" i="5" s="1"/>
  <c r="K68" i="5" s="1"/>
  <c r="K29" i="5"/>
  <c r="I20" i="2"/>
  <c r="I23" i="2"/>
  <c r="I19" i="2"/>
  <c r="I9" i="2"/>
  <c r="I10" i="2"/>
  <c r="I25" i="4" s="1"/>
  <c r="I28" i="4" s="1"/>
  <c r="I38" i="2"/>
  <c r="I11" i="2"/>
  <c r="I9" i="1"/>
  <c r="I5" i="1"/>
  <c r="I39" i="2"/>
  <c r="I8" i="2"/>
  <c r="I8" i="1"/>
  <c r="I21" i="2"/>
  <c r="I31" i="2"/>
  <c r="I58" i="1"/>
  <c r="I30" i="2"/>
  <c r="I34" i="2"/>
  <c r="I40" i="2"/>
  <c r="C41" i="7"/>
  <c r="J66" i="5"/>
  <c r="J63" i="5"/>
  <c r="J71" i="5"/>
  <c r="J65" i="5"/>
  <c r="J68" i="5"/>
  <c r="J75" i="5"/>
  <c r="J6" i="5"/>
  <c r="J4" i="1"/>
  <c r="J74" i="5"/>
  <c r="J70" i="5"/>
  <c r="J72" i="5"/>
  <c r="J73" i="5"/>
  <c r="J67" i="5"/>
  <c r="J64" i="5"/>
  <c r="G62" i="1"/>
  <c r="G48" i="1"/>
  <c r="G36" i="2"/>
  <c r="H156" i="2" s="1"/>
  <c r="G10" i="1"/>
  <c r="G159" i="2"/>
  <c r="B40" i="7"/>
  <c r="H151" i="2"/>
  <c r="C24" i="7"/>
  <c r="B24" i="7"/>
  <c r="G143" i="2"/>
  <c r="H143" i="2"/>
  <c r="H159" i="2"/>
  <c r="B39" i="7"/>
  <c r="G158" i="2"/>
  <c r="B11" i="7"/>
  <c r="C11" i="7"/>
  <c r="G130" i="2"/>
  <c r="C40" i="7"/>
  <c r="B41" i="7"/>
  <c r="G160" i="2"/>
  <c r="G49" i="1"/>
  <c r="G63" i="1"/>
  <c r="G129" i="2"/>
  <c r="C10" i="7"/>
  <c r="B10" i="7"/>
  <c r="G151" i="2"/>
  <c r="B32" i="7"/>
  <c r="B12" i="7"/>
  <c r="G131" i="2"/>
  <c r="C12" i="7"/>
  <c r="B21" i="7"/>
  <c r="G140" i="2"/>
  <c r="C21" i="7"/>
  <c r="G154" i="2"/>
  <c r="B35" i="7"/>
  <c r="H11" i="1"/>
  <c r="H7" i="4" s="1"/>
  <c r="H46" i="1"/>
  <c r="H129" i="2"/>
  <c r="G150" i="2"/>
  <c r="B31" i="7"/>
  <c r="B22" i="7"/>
  <c r="C22" i="7"/>
  <c r="G141" i="2"/>
  <c r="C20" i="7"/>
  <c r="G139" i="2"/>
  <c r="B20" i="7"/>
  <c r="H150" i="2"/>
  <c r="H13" i="2"/>
  <c r="H32" i="2"/>
  <c r="H50" i="1"/>
  <c r="H140" i="2"/>
  <c r="G28" i="2"/>
  <c r="H148" i="2" s="1"/>
  <c r="G12" i="2"/>
  <c r="G29" i="2"/>
  <c r="C30" i="7" s="1"/>
  <c r="G59" i="1"/>
  <c r="G45" i="1"/>
  <c r="G12" i="1"/>
  <c r="G66" i="1" s="1"/>
  <c r="C9" i="7"/>
  <c r="G128" i="2"/>
  <c r="B9" i="7"/>
  <c r="H60" i="1" l="1"/>
  <c r="I6" i="1"/>
  <c r="I60" i="1" s="1"/>
  <c r="H132" i="2"/>
  <c r="H26" i="4"/>
  <c r="H29" i="4" s="1"/>
  <c r="G60" i="1"/>
  <c r="G46" i="1"/>
  <c r="G26" i="4"/>
  <c r="G29" i="4" s="1"/>
  <c r="H149" i="2"/>
  <c r="D39" i="7"/>
  <c r="I158" i="2"/>
  <c r="D35" i="7"/>
  <c r="I154" i="2"/>
  <c r="D31" i="7"/>
  <c r="I150" i="2"/>
  <c r="D32" i="7"/>
  <c r="I151" i="2"/>
  <c r="I12" i="1"/>
  <c r="I66" i="1" s="1"/>
  <c r="I128" i="2"/>
  <c r="D9" i="7"/>
  <c r="I45" i="1"/>
  <c r="I29" i="2"/>
  <c r="I59" i="1"/>
  <c r="I12" i="2"/>
  <c r="I26" i="4" s="1"/>
  <c r="I29" i="4" s="1"/>
  <c r="I28" i="2"/>
  <c r="K73" i="5"/>
  <c r="K67" i="5"/>
  <c r="K75" i="5"/>
  <c r="K4" i="1"/>
  <c r="K74" i="5"/>
  <c r="K66" i="5"/>
  <c r="K72" i="5"/>
  <c r="K70" i="5"/>
  <c r="K6" i="5"/>
  <c r="K63" i="5"/>
  <c r="K65" i="5"/>
  <c r="K64" i="5"/>
  <c r="K71" i="5"/>
  <c r="J21" i="2"/>
  <c r="E22" i="7" s="1"/>
  <c r="J20" i="2"/>
  <c r="J58" i="1"/>
  <c r="J38" i="2"/>
  <c r="J23" i="2"/>
  <c r="E24" i="7" s="1"/>
  <c r="J9" i="1"/>
  <c r="J19" i="2"/>
  <c r="J9" i="2"/>
  <c r="J11" i="2"/>
  <c r="J8" i="1"/>
  <c r="J30" i="2"/>
  <c r="J39" i="2"/>
  <c r="J40" i="2"/>
  <c r="J10" i="2"/>
  <c r="J25" i="4" s="1"/>
  <c r="J28" i="4" s="1"/>
  <c r="J34" i="2"/>
  <c r="J8" i="2"/>
  <c r="J31" i="2"/>
  <c r="J5" i="1"/>
  <c r="D22" i="7"/>
  <c r="I141" i="2"/>
  <c r="I48" i="1"/>
  <c r="I10" i="1"/>
  <c r="I36" i="2"/>
  <c r="I62" i="1"/>
  <c r="I159" i="2"/>
  <c r="D40" i="7"/>
  <c r="I63" i="1"/>
  <c r="I49" i="1"/>
  <c r="I160" i="2"/>
  <c r="D41" i="7"/>
  <c r="D11" i="7"/>
  <c r="I130" i="2"/>
  <c r="I129" i="2"/>
  <c r="D10" i="7"/>
  <c r="D20" i="7"/>
  <c r="I139" i="2"/>
  <c r="I143" i="2"/>
  <c r="D24" i="7"/>
  <c r="D21" i="7"/>
  <c r="I140" i="2"/>
  <c r="I131" i="2"/>
  <c r="D12" i="7"/>
  <c r="L29" i="5"/>
  <c r="L3" i="5"/>
  <c r="L5" i="5" s="1"/>
  <c r="L68" i="5" s="1"/>
  <c r="G64" i="1"/>
  <c r="G32" i="2"/>
  <c r="H152" i="2" s="1"/>
  <c r="G50" i="1"/>
  <c r="G13" i="2"/>
  <c r="B30" i="7"/>
  <c r="G149" i="2"/>
  <c r="C13" i="7"/>
  <c r="G132" i="2"/>
  <c r="B13" i="7"/>
  <c r="G11" i="1"/>
  <c r="H66" i="1"/>
  <c r="G156" i="2"/>
  <c r="B37" i="7"/>
  <c r="H64" i="1"/>
  <c r="C37" i="7"/>
  <c r="B29" i="7"/>
  <c r="G148" i="2"/>
  <c r="H33" i="2"/>
  <c r="C29" i="7"/>
  <c r="H51" i="1"/>
  <c r="H13" i="1"/>
  <c r="H6" i="4" s="1"/>
  <c r="I11" i="1" l="1"/>
  <c r="I65" i="1" s="1"/>
  <c r="I21" i="4" s="1"/>
  <c r="H65" i="1"/>
  <c r="H21" i="4" s="1"/>
  <c r="G7" i="4"/>
  <c r="J6" i="1"/>
  <c r="J5" i="4" s="1"/>
  <c r="I46" i="1"/>
  <c r="I5" i="4"/>
  <c r="J28" i="2"/>
  <c r="J12" i="2"/>
  <c r="J26" i="4" s="1"/>
  <c r="J29" i="4" s="1"/>
  <c r="J59" i="1"/>
  <c r="J45" i="1"/>
  <c r="J29" i="2"/>
  <c r="J63" i="1"/>
  <c r="J49" i="1"/>
  <c r="J128" i="2"/>
  <c r="E9" i="7"/>
  <c r="J12" i="1"/>
  <c r="J66" i="1" s="1"/>
  <c r="E35" i="7"/>
  <c r="J154" i="2"/>
  <c r="K5" i="1"/>
  <c r="K6" i="1" s="1"/>
  <c r="K5" i="4" s="1"/>
  <c r="K20" i="2"/>
  <c r="K9" i="1"/>
  <c r="K8" i="2"/>
  <c r="F9" i="7" s="1"/>
  <c r="K30" i="2"/>
  <c r="K34" i="2"/>
  <c r="K39" i="2"/>
  <c r="K10" i="2"/>
  <c r="K25" i="4" s="1"/>
  <c r="K28" i="4" s="1"/>
  <c r="K23" i="2"/>
  <c r="K38" i="2"/>
  <c r="K8" i="1"/>
  <c r="K31" i="2"/>
  <c r="K11" i="2"/>
  <c r="F12" i="7" s="1"/>
  <c r="K21" i="2"/>
  <c r="F22" i="7" s="1"/>
  <c r="K58" i="1"/>
  <c r="K19" i="2"/>
  <c r="F20" i="7" s="1"/>
  <c r="K9" i="2"/>
  <c r="F10" i="7" s="1"/>
  <c r="K40" i="2"/>
  <c r="E11" i="7"/>
  <c r="J130" i="2"/>
  <c r="J141" i="2"/>
  <c r="I156" i="2"/>
  <c r="D37" i="7"/>
  <c r="G33" i="2"/>
  <c r="H153" i="2" s="1"/>
  <c r="D29" i="7"/>
  <c r="I148" i="2"/>
  <c r="C33" i="7"/>
  <c r="J48" i="1"/>
  <c r="J10" i="1"/>
  <c r="J36" i="2"/>
  <c r="J62" i="1"/>
  <c r="I132" i="2"/>
  <c r="D13" i="7"/>
  <c r="E20" i="7"/>
  <c r="J139" i="2"/>
  <c r="J151" i="2"/>
  <c r="E32" i="7"/>
  <c r="L75" i="5"/>
  <c r="L71" i="5"/>
  <c r="L6" i="5"/>
  <c r="L73" i="5"/>
  <c r="L64" i="5"/>
  <c r="L74" i="5"/>
  <c r="L72" i="5"/>
  <c r="L66" i="5"/>
  <c r="L4" i="1"/>
  <c r="L65" i="5"/>
  <c r="L67" i="5"/>
  <c r="L70" i="5"/>
  <c r="L63" i="5"/>
  <c r="J160" i="2"/>
  <c r="E41" i="7"/>
  <c r="I32" i="2"/>
  <c r="I33" i="2" s="1"/>
  <c r="I50" i="1"/>
  <c r="I13" i="2"/>
  <c r="I64" i="1"/>
  <c r="E12" i="7"/>
  <c r="J131" i="2"/>
  <c r="J143" i="2"/>
  <c r="E39" i="7"/>
  <c r="J158" i="2"/>
  <c r="J140" i="2"/>
  <c r="E21" i="7"/>
  <c r="E40" i="7"/>
  <c r="J159" i="2"/>
  <c r="J150" i="2"/>
  <c r="E31" i="7"/>
  <c r="E10" i="7"/>
  <c r="J129" i="2"/>
  <c r="D30" i="7"/>
  <c r="I149" i="2"/>
  <c r="G152" i="2"/>
  <c r="B33" i="7"/>
  <c r="H41" i="2"/>
  <c r="G133" i="2"/>
  <c r="B14" i="7"/>
  <c r="C14" i="7"/>
  <c r="H53" i="1"/>
  <c r="H14" i="1"/>
  <c r="H15" i="1" s="1"/>
  <c r="G65" i="1"/>
  <c r="G21" i="4" s="1"/>
  <c r="G13" i="1"/>
  <c r="G51" i="1"/>
  <c r="H133" i="2"/>
  <c r="I13" i="1" l="1"/>
  <c r="I67" i="1" s="1"/>
  <c r="I7" i="4"/>
  <c r="I51" i="1"/>
  <c r="J46" i="1"/>
  <c r="J60" i="1"/>
  <c r="H67" i="1"/>
  <c r="G6" i="4"/>
  <c r="H8" i="4"/>
  <c r="G41" i="2"/>
  <c r="G153" i="2"/>
  <c r="I153" i="2"/>
  <c r="I41" i="2"/>
  <c r="J156" i="2"/>
  <c r="E37" i="7"/>
  <c r="K158" i="2"/>
  <c r="F39" i="7"/>
  <c r="J13" i="2"/>
  <c r="J32" i="2"/>
  <c r="J64" i="1"/>
  <c r="J50" i="1"/>
  <c r="K143" i="2"/>
  <c r="F24" i="7"/>
  <c r="K154" i="2"/>
  <c r="F35" i="7"/>
  <c r="F31" i="7"/>
  <c r="K150" i="2"/>
  <c r="E30" i="7"/>
  <c r="J149" i="2"/>
  <c r="K140" i="2"/>
  <c r="I133" i="2"/>
  <c r="D14" i="7"/>
  <c r="K46" i="1"/>
  <c r="K60" i="1"/>
  <c r="K45" i="1"/>
  <c r="K59" i="1"/>
  <c r="K29" i="2"/>
  <c r="K12" i="2"/>
  <c r="F13" i="7" s="1"/>
  <c r="K28" i="2"/>
  <c r="E13" i="7"/>
  <c r="J132" i="2"/>
  <c r="K159" i="2"/>
  <c r="F40" i="7"/>
  <c r="K63" i="1"/>
  <c r="K49" i="1"/>
  <c r="F21" i="7"/>
  <c r="F32" i="7"/>
  <c r="K151" i="2"/>
  <c r="E29" i="7"/>
  <c r="J148" i="2"/>
  <c r="K130" i="2"/>
  <c r="F41" i="7"/>
  <c r="K160" i="2"/>
  <c r="K129" i="2"/>
  <c r="K139" i="2"/>
  <c r="L39" i="2"/>
  <c r="L23" i="2"/>
  <c r="L143" i="2" s="1"/>
  <c r="L8" i="2"/>
  <c r="G9" i="7" s="1"/>
  <c r="L5" i="1"/>
  <c r="L9" i="2"/>
  <c r="L129" i="2" s="1"/>
  <c r="L10" i="2"/>
  <c r="L130" i="2" s="1"/>
  <c r="L19" i="2"/>
  <c r="L139" i="2" s="1"/>
  <c r="L30" i="2"/>
  <c r="L11" i="2"/>
  <c r="L131" i="2" s="1"/>
  <c r="L21" i="2"/>
  <c r="L141" i="2" s="1"/>
  <c r="L9" i="1"/>
  <c r="L34" i="2"/>
  <c r="L58" i="1"/>
  <c r="L38" i="2"/>
  <c r="L40" i="2"/>
  <c r="L8" i="1"/>
  <c r="L20" i="2"/>
  <c r="L140" i="2" s="1"/>
  <c r="L31" i="2"/>
  <c r="K12" i="1"/>
  <c r="K66" i="1" s="1"/>
  <c r="K128" i="2"/>
  <c r="K141" i="2"/>
  <c r="K131" i="2"/>
  <c r="I152" i="2"/>
  <c r="D33" i="7"/>
  <c r="F11" i="7"/>
  <c r="K36" i="2"/>
  <c r="K48" i="1"/>
  <c r="K62" i="1"/>
  <c r="K10" i="1"/>
  <c r="J11" i="1"/>
  <c r="J7" i="4" s="1"/>
  <c r="C4" i="7"/>
  <c r="C58" i="7" s="1"/>
  <c r="H13" i="6"/>
  <c r="H17" i="1"/>
  <c r="H55" i="1"/>
  <c r="H54" i="1"/>
  <c r="G14" i="1"/>
  <c r="G67" i="1"/>
  <c r="G53" i="1"/>
  <c r="K26" i="4" l="1"/>
  <c r="K29" i="4" s="1"/>
  <c r="I6" i="4"/>
  <c r="I14" i="1"/>
  <c r="I15" i="1" s="1"/>
  <c r="I17" i="1" s="1"/>
  <c r="I53" i="1"/>
  <c r="L25" i="4"/>
  <c r="L28" i="4" s="1"/>
  <c r="G22" i="7"/>
  <c r="I13" i="6"/>
  <c r="I55" i="1"/>
  <c r="I54" i="1"/>
  <c r="I68" i="1"/>
  <c r="G161" i="2"/>
  <c r="I161" i="2"/>
  <c r="H161" i="2"/>
  <c r="G24" i="7"/>
  <c r="G20" i="7"/>
  <c r="G10" i="7"/>
  <c r="J13" i="1"/>
  <c r="J6" i="4" s="1"/>
  <c r="J65" i="1"/>
  <c r="J21" i="4" s="1"/>
  <c r="J51" i="1"/>
  <c r="L150" i="2"/>
  <c r="G31" i="7"/>
  <c r="F37" i="7"/>
  <c r="K156" i="2"/>
  <c r="J152" i="2"/>
  <c r="E33" i="7"/>
  <c r="L62" i="1"/>
  <c r="L48" i="1"/>
  <c r="L10" i="1"/>
  <c r="L36" i="2"/>
  <c r="L128" i="2"/>
  <c r="L12" i="1"/>
  <c r="L66" i="1" s="1"/>
  <c r="L158" i="2"/>
  <c r="G39" i="7"/>
  <c r="J33" i="2"/>
  <c r="K132" i="2"/>
  <c r="L151" i="2"/>
  <c r="G32" i="7"/>
  <c r="G21" i="7"/>
  <c r="L6" i="1"/>
  <c r="L5" i="4" s="1"/>
  <c r="L29" i="2"/>
  <c r="L45" i="1"/>
  <c r="L12" i="2"/>
  <c r="L132" i="2" s="1"/>
  <c r="L28" i="2"/>
  <c r="L59" i="1"/>
  <c r="E14" i="7"/>
  <c r="J133" i="2"/>
  <c r="G41" i="7"/>
  <c r="L160" i="2"/>
  <c r="F29" i="7"/>
  <c r="K148" i="2"/>
  <c r="L159" i="2"/>
  <c r="G40" i="7"/>
  <c r="F30" i="7"/>
  <c r="K149" i="2"/>
  <c r="L49" i="1"/>
  <c r="L63" i="1"/>
  <c r="K11" i="1"/>
  <c r="K7" i="4" s="1"/>
  <c r="K13" i="2"/>
  <c r="K50" i="1"/>
  <c r="K32" i="2"/>
  <c r="K64" i="1"/>
  <c r="G11" i="7"/>
  <c r="G12" i="7"/>
  <c r="G35" i="7"/>
  <c r="L154" i="2"/>
  <c r="C63" i="7"/>
  <c r="D18" i="9" s="1"/>
  <c r="G54" i="1"/>
  <c r="G68" i="1"/>
  <c r="G15" i="1"/>
  <c r="H68" i="1"/>
  <c r="I8" i="4" l="1"/>
  <c r="D4" i="7"/>
  <c r="D58" i="7" s="1"/>
  <c r="D63" i="7" s="1"/>
  <c r="E18" i="9" s="1"/>
  <c r="E42" i="9" s="1"/>
  <c r="E43" i="9" s="1"/>
  <c r="I69" i="1"/>
  <c r="G8" i="4"/>
  <c r="L26" i="4"/>
  <c r="L29" i="4" s="1"/>
  <c r="G13" i="7"/>
  <c r="L46" i="1"/>
  <c r="L60" i="1"/>
  <c r="L11" i="1"/>
  <c r="L7" i="4" s="1"/>
  <c r="L50" i="1"/>
  <c r="L32" i="2"/>
  <c r="L33" i="2" s="1"/>
  <c r="L64" i="1"/>
  <c r="L13" i="2"/>
  <c r="L133" i="2" s="1"/>
  <c r="K33" i="2"/>
  <c r="F33" i="7"/>
  <c r="K152" i="2"/>
  <c r="K133" i="2"/>
  <c r="F14" i="7"/>
  <c r="K51" i="1"/>
  <c r="K13" i="1"/>
  <c r="K6" i="4" s="1"/>
  <c r="K65" i="1"/>
  <c r="K21" i="4" s="1"/>
  <c r="J153" i="2"/>
  <c r="J41" i="2"/>
  <c r="L148" i="2"/>
  <c r="G29" i="7"/>
  <c r="G30" i="7"/>
  <c r="L149" i="2"/>
  <c r="L156" i="2"/>
  <c r="G37" i="7"/>
  <c r="J14" i="1"/>
  <c r="J67" i="1"/>
  <c r="J53" i="1"/>
  <c r="G55" i="1"/>
  <c r="G13" i="6"/>
  <c r="G16" i="6" s="1"/>
  <c r="G69" i="1"/>
  <c r="G17" i="1"/>
  <c r="B4" i="7"/>
  <c r="B58" i="7" s="1"/>
  <c r="H69" i="1"/>
  <c r="D19" i="9"/>
  <c r="D42" i="9"/>
  <c r="D43" i="9" s="1"/>
  <c r="E19" i="9" l="1"/>
  <c r="J161" i="2"/>
  <c r="G14" i="7"/>
  <c r="J54" i="1"/>
  <c r="J68" i="1"/>
  <c r="L13" i="1"/>
  <c r="L6" i="4" s="1"/>
  <c r="L51" i="1"/>
  <c r="L65" i="1"/>
  <c r="L21" i="4" s="1"/>
  <c r="J15" i="1"/>
  <c r="L41" i="2"/>
  <c r="L153" i="2"/>
  <c r="K153" i="2"/>
  <c r="K41" i="2"/>
  <c r="G33" i="7"/>
  <c r="L152" i="2"/>
  <c r="K14" i="1"/>
  <c r="K54" i="1" s="1"/>
  <c r="K53" i="1"/>
  <c r="K67" i="1"/>
  <c r="B61" i="7"/>
  <c r="B63" i="7"/>
  <c r="C18" i="9" s="1"/>
  <c r="G46" i="2"/>
  <c r="H12" i="6"/>
  <c r="H16" i="6" s="1"/>
  <c r="J8" i="4" l="1"/>
  <c r="K161" i="2"/>
  <c r="J69" i="1"/>
  <c r="J55" i="1"/>
  <c r="J13" i="6"/>
  <c r="E4" i="7"/>
  <c r="E58" i="7" s="1"/>
  <c r="E63" i="7" s="1"/>
  <c r="F18" i="9" s="1"/>
  <c r="J17" i="1"/>
  <c r="L14" i="1"/>
  <c r="L15" i="1" s="1"/>
  <c r="L67" i="1"/>
  <c r="L53" i="1"/>
  <c r="L161" i="2"/>
  <c r="N42" i="2"/>
  <c r="K15" i="1"/>
  <c r="K68" i="1"/>
  <c r="H46" i="2"/>
  <c r="I12" i="6"/>
  <c r="I16" i="6" s="1"/>
  <c r="G48" i="2"/>
  <c r="C19" i="9"/>
  <c r="C42" i="9"/>
  <c r="C43" i="9" s="1"/>
  <c r="G7" i="2"/>
  <c r="G13" i="4" s="1"/>
  <c r="C60" i="7"/>
  <c r="C61" i="7" s="1"/>
  <c r="L8" i="4" l="1"/>
  <c r="G17" i="4"/>
  <c r="G9" i="4"/>
  <c r="K8" i="4"/>
  <c r="L69" i="1"/>
  <c r="L13" i="6"/>
  <c r="N15" i="1"/>
  <c r="L55" i="1"/>
  <c r="G4" i="7"/>
  <c r="G58" i="7" s="1"/>
  <c r="G63" i="7" s="1"/>
  <c r="H18" i="9" s="1"/>
  <c r="L17" i="1"/>
  <c r="L68" i="1"/>
  <c r="L54" i="1"/>
  <c r="F42" i="9"/>
  <c r="F43" i="9" s="1"/>
  <c r="F19" i="9"/>
  <c r="F4" i="7"/>
  <c r="F58" i="7" s="1"/>
  <c r="F63" i="7" s="1"/>
  <c r="G18" i="9" s="1"/>
  <c r="K17" i="1"/>
  <c r="K13" i="6"/>
  <c r="K69" i="1"/>
  <c r="K55" i="1"/>
  <c r="D60" i="7"/>
  <c r="D61" i="7" s="1"/>
  <c r="H7" i="2"/>
  <c r="H13" i="4" s="1"/>
  <c r="G14" i="2"/>
  <c r="G127" i="2"/>
  <c r="G163" i="2"/>
  <c r="G49" i="2"/>
  <c r="G164" i="2" s="1"/>
  <c r="J12" i="6"/>
  <c r="J16" i="6" s="1"/>
  <c r="I46" i="2"/>
  <c r="H48" i="2"/>
  <c r="G12" i="4" l="1"/>
  <c r="G18" i="4"/>
  <c r="H9" i="4"/>
  <c r="H17" i="4"/>
  <c r="G19" i="9"/>
  <c r="G42" i="9"/>
  <c r="G43" i="9" s="1"/>
  <c r="B23" i="9"/>
  <c r="H19" i="9"/>
  <c r="H42" i="9"/>
  <c r="H163" i="2"/>
  <c r="H49" i="2"/>
  <c r="H164" i="2" s="1"/>
  <c r="J46" i="2"/>
  <c r="K12" i="6"/>
  <c r="K16" i="6" s="1"/>
  <c r="G134" i="2"/>
  <c r="G24" i="2"/>
  <c r="H127" i="2"/>
  <c r="H14" i="2"/>
  <c r="I48" i="2"/>
  <c r="I7" i="2"/>
  <c r="I13" i="4" s="1"/>
  <c r="E60" i="7"/>
  <c r="E61" i="7" s="1"/>
  <c r="I17" i="4" l="1"/>
  <c r="I9" i="4"/>
  <c r="H12" i="4"/>
  <c r="H18" i="4"/>
  <c r="G16" i="4"/>
  <c r="G24" i="4"/>
  <c r="H43" i="9"/>
  <c r="B45" i="9"/>
  <c r="B46" i="9" s="1"/>
  <c r="B24" i="9"/>
  <c r="B25" i="9" s="1"/>
  <c r="B26" i="9" s="1"/>
  <c r="G144" i="2"/>
  <c r="G95" i="2"/>
  <c r="G91" i="2"/>
  <c r="G108" i="2"/>
  <c r="G88" i="2"/>
  <c r="G120" i="2"/>
  <c r="G90" i="2"/>
  <c r="G110" i="2"/>
  <c r="G89" i="2"/>
  <c r="G117" i="2"/>
  <c r="G118" i="2"/>
  <c r="B65" i="7"/>
  <c r="G113" i="2"/>
  <c r="G94" i="2"/>
  <c r="G82" i="2"/>
  <c r="G104" i="2"/>
  <c r="G92" i="2"/>
  <c r="G81" i="2"/>
  <c r="G103" i="2"/>
  <c r="G83" i="2"/>
  <c r="G96" i="2"/>
  <c r="G112" i="2"/>
  <c r="G111" i="2"/>
  <c r="G107" i="2"/>
  <c r="G84" i="2"/>
  <c r="G93" i="2"/>
  <c r="G101" i="2"/>
  <c r="G85" i="2"/>
  <c r="G102" i="2"/>
  <c r="G109" i="2"/>
  <c r="G106" i="2"/>
  <c r="G105" i="2"/>
  <c r="G86" i="2"/>
  <c r="G114" i="2"/>
  <c r="G119" i="2"/>
  <c r="G80" i="2"/>
  <c r="G121" i="2"/>
  <c r="J48" i="2"/>
  <c r="G87" i="2"/>
  <c r="J7" i="2"/>
  <c r="J13" i="4" s="1"/>
  <c r="F60" i="7"/>
  <c r="F61" i="7" s="1"/>
  <c r="I14" i="2"/>
  <c r="I127" i="2"/>
  <c r="L12" i="6"/>
  <c r="L16" i="6" s="1"/>
  <c r="L46" i="2" s="1"/>
  <c r="K46" i="2"/>
  <c r="I163" i="2"/>
  <c r="I49" i="2"/>
  <c r="I164" i="2" s="1"/>
  <c r="H134" i="2"/>
  <c r="H24" i="2"/>
  <c r="H87" i="2" l="1"/>
  <c r="H16" i="4"/>
  <c r="H24" i="4"/>
  <c r="I12" i="4"/>
  <c r="I18" i="4"/>
  <c r="J17" i="4"/>
  <c r="J9" i="4"/>
  <c r="B47" i="9"/>
  <c r="B48" i="9" s="1"/>
  <c r="B28" i="9"/>
  <c r="B10" i="9"/>
  <c r="C12" i="10" s="1"/>
  <c r="C14" i="10" s="1"/>
  <c r="L48" i="2"/>
  <c r="K7" i="2"/>
  <c r="K13" i="4" s="1"/>
  <c r="G60" i="7"/>
  <c r="G61" i="7" s="1"/>
  <c r="L7" i="2" s="1"/>
  <c r="L13" i="4" s="1"/>
  <c r="H144" i="2"/>
  <c r="H118" i="2"/>
  <c r="H110" i="2"/>
  <c r="C65" i="7"/>
  <c r="H89" i="2"/>
  <c r="H108" i="2"/>
  <c r="H95" i="2"/>
  <c r="H117" i="2"/>
  <c r="H90" i="2"/>
  <c r="H91" i="2"/>
  <c r="H120" i="2"/>
  <c r="H88" i="2"/>
  <c r="H103" i="2"/>
  <c r="H93" i="2"/>
  <c r="H113" i="2"/>
  <c r="H94" i="2"/>
  <c r="H104" i="2"/>
  <c r="H111" i="2"/>
  <c r="H107" i="2"/>
  <c r="H84" i="2"/>
  <c r="H92" i="2"/>
  <c r="H81" i="2"/>
  <c r="H83" i="2"/>
  <c r="H96" i="2"/>
  <c r="H112" i="2"/>
  <c r="H82" i="2"/>
  <c r="H102" i="2"/>
  <c r="H101" i="2"/>
  <c r="H109" i="2"/>
  <c r="H85" i="2"/>
  <c r="H105" i="2"/>
  <c r="H86" i="2"/>
  <c r="H106" i="2"/>
  <c r="H114" i="2"/>
  <c r="H119" i="2"/>
  <c r="H121" i="2"/>
  <c r="H80" i="2"/>
  <c r="J14" i="2"/>
  <c r="J127" i="2"/>
  <c r="K48" i="2"/>
  <c r="I24" i="2"/>
  <c r="I134" i="2"/>
  <c r="J163" i="2"/>
  <c r="J49" i="2"/>
  <c r="J164" i="2" s="1"/>
  <c r="L17" i="4" l="1"/>
  <c r="L9" i="4"/>
  <c r="I87" i="2"/>
  <c r="I16" i="4"/>
  <c r="K17" i="4"/>
  <c r="K9" i="4"/>
  <c r="J12" i="4"/>
  <c r="J18" i="4"/>
  <c r="I24" i="4"/>
  <c r="B11" i="9"/>
  <c r="B50" i="9"/>
  <c r="K14" i="2"/>
  <c r="K127" i="2"/>
  <c r="D65" i="7"/>
  <c r="I88" i="2"/>
  <c r="I89" i="2"/>
  <c r="I108" i="2"/>
  <c r="I95" i="2"/>
  <c r="I120" i="2"/>
  <c r="I110" i="2"/>
  <c r="I144" i="2"/>
  <c r="I118" i="2"/>
  <c r="I91" i="2"/>
  <c r="I117" i="2"/>
  <c r="I90" i="2"/>
  <c r="I111" i="2"/>
  <c r="I104" i="2"/>
  <c r="I84" i="2"/>
  <c r="I107" i="2"/>
  <c r="I82" i="2"/>
  <c r="I94" i="2"/>
  <c r="I93" i="2"/>
  <c r="I96" i="2"/>
  <c r="I92" i="2"/>
  <c r="I113" i="2"/>
  <c r="I81" i="2"/>
  <c r="I103" i="2"/>
  <c r="I112" i="2"/>
  <c r="I83" i="2"/>
  <c r="I101" i="2"/>
  <c r="I102" i="2"/>
  <c r="I109" i="2"/>
  <c r="I85" i="2"/>
  <c r="I86" i="2"/>
  <c r="I105" i="2"/>
  <c r="I106" i="2"/>
  <c r="I114" i="2"/>
  <c r="I119" i="2"/>
  <c r="I121" i="2"/>
  <c r="I80" i="2"/>
  <c r="L14" i="2"/>
  <c r="L127" i="2"/>
  <c r="K163" i="2"/>
  <c r="K49" i="2"/>
  <c r="K164" i="2" s="1"/>
  <c r="J134" i="2"/>
  <c r="J24" i="2"/>
  <c r="L163" i="2"/>
  <c r="L49" i="2"/>
  <c r="J87" i="2" l="1"/>
  <c r="J16" i="4"/>
  <c r="J24" i="4"/>
  <c r="L12" i="4"/>
  <c r="L18" i="4"/>
  <c r="K12" i="4"/>
  <c r="K18" i="4"/>
  <c r="I10" i="9"/>
  <c r="I11" i="9" s="1"/>
  <c r="C13" i="10"/>
  <c r="C15" i="10" s="1"/>
  <c r="L164" i="2"/>
  <c r="J110" i="2"/>
  <c r="J118" i="2"/>
  <c r="J88" i="2"/>
  <c r="J91" i="2"/>
  <c r="J144" i="2"/>
  <c r="J120" i="2"/>
  <c r="J117" i="2"/>
  <c r="J108" i="2"/>
  <c r="J90" i="2"/>
  <c r="J95" i="2"/>
  <c r="E65" i="7"/>
  <c r="J89" i="2"/>
  <c r="J81" i="2"/>
  <c r="J104" i="2"/>
  <c r="J113" i="2"/>
  <c r="J103" i="2"/>
  <c r="J111" i="2"/>
  <c r="J83" i="2"/>
  <c r="J94" i="2"/>
  <c r="J96" i="2"/>
  <c r="J84" i="2"/>
  <c r="J82" i="2"/>
  <c r="J92" i="2"/>
  <c r="J93" i="2"/>
  <c r="J107" i="2"/>
  <c r="J112" i="2"/>
  <c r="J85" i="2"/>
  <c r="J102" i="2"/>
  <c r="J109" i="2"/>
  <c r="J101" i="2"/>
  <c r="J106" i="2"/>
  <c r="J86" i="2"/>
  <c r="J105" i="2"/>
  <c r="J114" i="2"/>
  <c r="J119" i="2"/>
  <c r="J121" i="2"/>
  <c r="J80" i="2"/>
  <c r="L134" i="2"/>
  <c r="L24" i="2"/>
  <c r="L16" i="4" s="1"/>
  <c r="K134" i="2"/>
  <c r="K24" i="2"/>
  <c r="K16" i="4" l="1"/>
  <c r="L24" i="4"/>
  <c r="K24" i="4"/>
  <c r="K90" i="2"/>
  <c r="K95" i="2"/>
  <c r="K118" i="2"/>
  <c r="K89" i="2"/>
  <c r="K88" i="2"/>
  <c r="K91" i="2"/>
  <c r="F65" i="7"/>
  <c r="K117" i="2"/>
  <c r="K110" i="2"/>
  <c r="K144" i="2"/>
  <c r="K120" i="2"/>
  <c r="K108" i="2"/>
  <c r="K94" i="2"/>
  <c r="K83" i="2"/>
  <c r="K112" i="2"/>
  <c r="K93" i="2"/>
  <c r="K81" i="2"/>
  <c r="K84" i="2"/>
  <c r="K107" i="2"/>
  <c r="K104" i="2"/>
  <c r="K113" i="2"/>
  <c r="K103" i="2"/>
  <c r="K92" i="2"/>
  <c r="K82" i="2"/>
  <c r="K96" i="2"/>
  <c r="K111" i="2"/>
  <c r="K85" i="2"/>
  <c r="K102" i="2"/>
  <c r="K109" i="2"/>
  <c r="K101" i="2"/>
  <c r="K86" i="2"/>
  <c r="K105" i="2"/>
  <c r="K106" i="2"/>
  <c r="K114" i="2"/>
  <c r="K119" i="2"/>
  <c r="K80" i="2"/>
  <c r="K121" i="2"/>
  <c r="K87" i="2"/>
  <c r="L110" i="2"/>
  <c r="L90" i="2"/>
  <c r="N25" i="2"/>
  <c r="L117" i="2"/>
  <c r="L91" i="2"/>
  <c r="G65" i="7"/>
  <c r="L88" i="2"/>
  <c r="L95" i="2"/>
  <c r="L118" i="2"/>
  <c r="L89" i="2"/>
  <c r="L144" i="2"/>
  <c r="L108" i="2"/>
  <c r="L120" i="2"/>
  <c r="L81" i="2"/>
  <c r="L96" i="2"/>
  <c r="L83" i="2"/>
  <c r="L93" i="2"/>
  <c r="L84" i="2"/>
  <c r="L111" i="2"/>
  <c r="L92" i="2"/>
  <c r="L103" i="2"/>
  <c r="L113" i="2"/>
  <c r="L82" i="2"/>
  <c r="L94" i="2"/>
  <c r="L112" i="2"/>
  <c r="L104" i="2"/>
  <c r="L107" i="2"/>
  <c r="L85" i="2"/>
  <c r="L102" i="2"/>
  <c r="L101" i="2"/>
  <c r="L109" i="2"/>
  <c r="L86" i="2"/>
  <c r="L105" i="2"/>
  <c r="L106" i="2"/>
  <c r="L114" i="2"/>
  <c r="L119" i="2"/>
  <c r="L80" i="2"/>
  <c r="L121" i="2"/>
  <c r="L8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Siddhesh Gore</author>
  </authors>
  <commentList>
    <comment ref="G5" authorId="0" shapeId="0" xr:uid="{5BBB8071-5022-4986-BF2B-A021239B366F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1.55 billion target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Siddhesh Gore</author>
  </authors>
  <commentList>
    <comment ref="A11" authorId="0" shapeId="0" xr:uid="{2D0A58A7-CCE6-4C27-B674-1D03E5D2151E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We record a contract assetwhen revenue is recognized prior to invoicing, or a contract liability (deferred revenue) when revenue will berecognized subsequent to invoicing.</t>
        </r>
      </text>
    </comment>
    <comment ref="A35" authorId="0" shapeId="0" xr:uid="{E418A155-BB71-4D01-84A2-EF40B150BC9D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We expect the amount of the unrecognized tax benefit to increase by approximately $0.9 million within thenext 12 months.</t>
        </r>
      </text>
    </comment>
    <comment ref="A37" authorId="0" shapeId="0" xr:uid="{2CB60EDB-A3B8-48DE-A095-5498475D0108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$690 million on 2027</t>
        </r>
      </text>
    </comment>
    <comment ref="A68" authorId="0" shapeId="0" xr:uid="{C26CAF44-694B-4C5A-A9A2-9C8E439DDE0B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Revenue related to separately-priced extended warranties is initially recorded as deferred revenue at its allocatedamount and subsequently recognized as net sales on a straight-line basis over the warranty service period.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Siddhesh Gore</author>
  </authors>
  <commentList>
    <comment ref="A12" authorId="0" shapeId="0" xr:uid="{F519CA5C-CF97-480C-B60E-16BB135FA813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We record a contract assetwhen revenue is recognized prior to invoicing, or a contract liability (deferred revenue) when revenue will berecognized subsequent to invoicing.</t>
        </r>
      </text>
    </comment>
    <comment ref="A36" authorId="0" shapeId="0" xr:uid="{3A9E20C6-6EA9-4457-A55F-52CBD7E771BB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We expect the amount of the unrecognized tax benefit to increase by approximately $0.9 million within thenext 12 months.</t>
        </r>
      </text>
    </comment>
    <comment ref="A38" authorId="0" shapeId="0" xr:uid="{B1AFDB4B-51BA-4F36-ACF9-49ECEEC55D45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$690 million on 2027</t>
        </r>
      </text>
    </comment>
    <comment ref="A70" authorId="0" shapeId="0" xr:uid="{493A1BBB-E54F-46BA-B13F-8D37C1E72E42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Revenue related to separately-priced extended warranties is initially recorded as deferred revenue at its allocatedamount and subsequently recognized as net sales on a straight-line basis over the warranty service period.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Siddhesh Gore</author>
  </authors>
  <commentList>
    <comment ref="L8" authorId="0" shapeId="0" xr:uid="{32A4D509-4A53-407B-8D09-5AD9E952AFDB}">
      <text>
        <r>
          <rPr>
            <b/>
            <sz val="9"/>
            <color indexed="81"/>
            <rFont val="Tahoma"/>
            <family val="2"/>
          </rPr>
          <t>Siddhesh Gore:</t>
        </r>
        <r>
          <rPr>
            <sz val="9"/>
            <color indexed="81"/>
            <rFont val="Tahoma"/>
            <family val="2"/>
          </rPr>
          <t xml:space="preserve">
3,016,680 shares that would be issued upon full conversion, as provided in the excerpt.</t>
        </r>
      </text>
    </comment>
  </commentList>
</comments>
</file>

<file path=xl/sharedStrings.xml><?xml version="1.0" encoding="utf-8"?>
<sst xmlns="http://schemas.openxmlformats.org/spreadsheetml/2006/main" count="866" uniqueCount="358">
  <si>
    <t>Axon Enterprise, Inc. (NASDAQ:AXON)</t>
  </si>
  <si>
    <t>FY'2019</t>
  </si>
  <si>
    <t>FY'2020</t>
  </si>
  <si>
    <t>FY'2021</t>
  </si>
  <si>
    <t>FY'2022</t>
  </si>
  <si>
    <t>Consolidated Income Statement</t>
  </si>
  <si>
    <t>Net sales ('000)</t>
  </si>
  <si>
    <t>Cost of products sold and services delivered</t>
  </si>
  <si>
    <t>Gross margin</t>
  </si>
  <si>
    <t>Operating expenses:</t>
  </si>
  <si>
    <t xml:space="preserve">   Sales, general and administrative</t>
  </si>
  <si>
    <t xml:space="preserve">   Research and development</t>
  </si>
  <si>
    <t>Total operating expenses</t>
  </si>
  <si>
    <t>Income (loss) from operations</t>
  </si>
  <si>
    <t>Interest and other income (expense), net</t>
  </si>
  <si>
    <t>Income (loss) before provision for income taxes</t>
  </si>
  <si>
    <t>Provision for (benefit from) income taxes</t>
  </si>
  <si>
    <t>Net income (loss)</t>
  </si>
  <si>
    <t>Non-GAAP Metrics</t>
  </si>
  <si>
    <t>GAAP to Non-GAAP reconciliation</t>
  </si>
  <si>
    <t>GAAP net income (loss)</t>
  </si>
  <si>
    <t>Non-GAAP adjustments</t>
  </si>
  <si>
    <t>Stock-based compensation expense</t>
  </si>
  <si>
    <t>Loss on disposal, abandonment, and impairment of property, equipment and intangible assets, net</t>
  </si>
  <si>
    <t>Costs related to FTC litigation</t>
  </si>
  <si>
    <t>Transaction costs related to strategic investments and acquisitions</t>
  </si>
  <si>
    <t>Insurance recoveries</t>
  </si>
  <si>
    <t xml:space="preserve">Net realized and unrealized (gains) loss on strategic investments and marketable securities </t>
  </si>
  <si>
    <t>Payroll taxes related to XSPP vesting and CEO Award option exercises</t>
  </si>
  <si>
    <t>Income tax effects</t>
  </si>
  <si>
    <r>
      <t xml:space="preserve">Non-GAAP net income (loss) </t>
    </r>
    <r>
      <rPr>
        <vertAlign val="superscript"/>
        <sz val="11"/>
        <color rgb="FF000000"/>
        <rFont val="Calibri"/>
        <family val="2"/>
        <scheme val="minor"/>
      </rPr>
      <t>(1)</t>
    </r>
  </si>
  <si>
    <r>
      <t xml:space="preserve">Non-GAAP EPS </t>
    </r>
    <r>
      <rPr>
        <vertAlign val="superscript"/>
        <sz val="11"/>
        <color rgb="FF000000"/>
        <rFont val="Calibri"/>
        <family val="2"/>
        <scheme val="minor"/>
      </rPr>
      <t>(2)</t>
    </r>
  </si>
  <si>
    <t>Diluted share count used to calculate non-GAAP EPS</t>
  </si>
  <si>
    <t>Adjusted EBITDA</t>
  </si>
  <si>
    <t>Net Income (loss)</t>
  </si>
  <si>
    <t>Depreciation and amortization</t>
  </si>
  <si>
    <t>Interest Expense (Income), Net</t>
  </si>
  <si>
    <r>
      <t xml:space="preserve">EBITDA </t>
    </r>
    <r>
      <rPr>
        <vertAlign val="superscript"/>
        <sz val="11"/>
        <color rgb="FF000000"/>
        <rFont val="Calibri"/>
        <family val="2"/>
        <scheme val="minor"/>
      </rPr>
      <t>(3)</t>
    </r>
  </si>
  <si>
    <t>Net realized and unrealized (gains) losses on strategic investments and marketable securities</t>
  </si>
  <si>
    <r>
      <t xml:space="preserve">Adjusted EBITDA </t>
    </r>
    <r>
      <rPr>
        <vertAlign val="superscript"/>
        <sz val="11"/>
        <color rgb="FF000000"/>
        <rFont val="Calibri"/>
        <family val="2"/>
        <scheme val="minor"/>
      </rPr>
      <t>(4)</t>
    </r>
  </si>
  <si>
    <t>Adjusted EBITDA margin %</t>
  </si>
  <si>
    <t>Composition of stock compensation expense</t>
  </si>
  <si>
    <t>Cost of product and service sales</t>
  </si>
  <si>
    <t>Sales, general and administrative</t>
  </si>
  <si>
    <t>Research and development</t>
  </si>
  <si>
    <t>Total stock compensation expense</t>
  </si>
  <si>
    <t>FY'2018</t>
  </si>
  <si>
    <t xml:space="preserve"> - </t>
  </si>
  <si>
    <t xml:space="preserve">- </t>
  </si>
  <si>
    <t>Consolidated Balance Sheet</t>
  </si>
  <si>
    <t>Assets</t>
  </si>
  <si>
    <t>Current assets:</t>
  </si>
  <si>
    <t xml:space="preserve">   Cash and cash equivalents</t>
  </si>
  <si>
    <t xml:space="preserve">   Short-term investments</t>
  </si>
  <si>
    <t xml:space="preserve">   Marketable securities</t>
  </si>
  <si>
    <t xml:space="preserve">   Accounts and notes receivable, net</t>
  </si>
  <si>
    <t xml:space="preserve">   Contract assets, net</t>
  </si>
  <si>
    <t xml:space="preserve">   Inventory, net</t>
  </si>
  <si>
    <t xml:space="preserve">   Prepaid expenses and other current assets</t>
  </si>
  <si>
    <t xml:space="preserve">     Total current assets</t>
  </si>
  <si>
    <t xml:space="preserve">   Property and equipment, net</t>
  </si>
  <si>
    <t xml:space="preserve">   Deferred tax assets, net</t>
  </si>
  <si>
    <t xml:space="preserve">   Intangible assets, net</t>
  </si>
  <si>
    <t xml:space="preserve">   Goodwill</t>
  </si>
  <si>
    <t xml:space="preserve">   Long-term investments</t>
  </si>
  <si>
    <t xml:space="preserve">   Long-term notes receivable, net</t>
  </si>
  <si>
    <t xml:space="preserve">   Long-term contract assets, net</t>
  </si>
  <si>
    <t xml:space="preserve">   Strategic investments</t>
  </si>
  <si>
    <t xml:space="preserve">   Other long-term assets</t>
  </si>
  <si>
    <t>Total assets</t>
  </si>
  <si>
    <t>Liabilities and stockholder's equity</t>
  </si>
  <si>
    <t>Current liabilities:</t>
  </si>
  <si>
    <t xml:space="preserve">   Accounts payable</t>
  </si>
  <si>
    <t xml:space="preserve">   Accrued liabilities</t>
  </si>
  <si>
    <t xml:space="preserve">   Current portion of deferred revenue</t>
  </si>
  <si>
    <t xml:space="preserve">   Customer deposits</t>
  </si>
  <si>
    <t xml:space="preserve">   Other current liabilities</t>
  </si>
  <si>
    <t xml:space="preserve">     Total current liabilities</t>
  </si>
  <si>
    <t xml:space="preserve">   Deferred revenue, net of current portion</t>
  </si>
  <si>
    <t xml:space="preserve">   Liability for unrecognized tax benefits</t>
  </si>
  <si>
    <t xml:space="preserve">   Long-term deferred compensation</t>
  </si>
  <si>
    <t xml:space="preserve">   Convertible notes, net</t>
  </si>
  <si>
    <t xml:space="preserve">   Deferred tax liability, net</t>
  </si>
  <si>
    <t xml:space="preserve">   Long-term lease liabilities </t>
  </si>
  <si>
    <t xml:space="preserve">   Other long-term liabilities</t>
  </si>
  <si>
    <t xml:space="preserve">     Total liabilities</t>
  </si>
  <si>
    <t>Total stock holders equity</t>
  </si>
  <si>
    <t>Total liabilities &amp; stockholders equity</t>
  </si>
  <si>
    <t>Consolidated Cash Flow Statement</t>
  </si>
  <si>
    <t>Operating cash flow:</t>
  </si>
  <si>
    <t>Adjustments to reconcile net income (loss) to net cash provided by operating activities:</t>
  </si>
  <si>
    <t xml:space="preserve">   Stock-based compensation</t>
  </si>
  <si>
    <t xml:space="preserve">   Deferred income taxes</t>
  </si>
  <si>
    <t xml:space="preserve">   Realized and unrealized (gains) loss on strategic investments and marketable securities, net</t>
  </si>
  <si>
    <t xml:space="preserve">   Depreciation and amortization</t>
  </si>
  <si>
    <t xml:space="preserve">   Bond amortization</t>
  </si>
  <si>
    <t xml:space="preserve">   Noncash lease expense</t>
  </si>
  <si>
    <t xml:space="preserve">   Unrecognized tax benefits</t>
  </si>
  <si>
    <t xml:space="preserve">   Amortization of debt issuance cost</t>
  </si>
  <si>
    <t xml:space="preserve">   Coupon interest expense</t>
  </si>
  <si>
    <t xml:space="preserve">   Other noncash items</t>
  </si>
  <si>
    <t>Change in assets and liabilities</t>
  </si>
  <si>
    <t xml:space="preserve">   Accounts and notes receivable and contract assets</t>
  </si>
  <si>
    <t xml:space="preserve">   Inventory</t>
  </si>
  <si>
    <t xml:space="preserve">   Prepaid expenses and other assets</t>
  </si>
  <si>
    <t xml:space="preserve">   Accounts payable, accrued and other liabilities</t>
  </si>
  <si>
    <t xml:space="preserve">   Deferred revenue</t>
  </si>
  <si>
    <t>Net cash provided by (used in) operating activities</t>
  </si>
  <si>
    <t>Investing cash flow:</t>
  </si>
  <si>
    <t xml:space="preserve">   Purchases of investments</t>
  </si>
  <si>
    <t xml:space="preserve">   Proceeds from call / maturity of investments</t>
  </si>
  <si>
    <t>Exercise of warrants from strategic investments</t>
  </si>
  <si>
    <t xml:space="preserve">   Proceeds from sale of strategic investments</t>
  </si>
  <si>
    <t xml:space="preserve">   Purchases of property and equipment</t>
  </si>
  <si>
    <t xml:space="preserve">   Purchases of intangible assets</t>
  </si>
  <si>
    <t xml:space="preserve">   Proceeds from disposal of property and equipment</t>
  </si>
  <si>
    <t xml:space="preserve">   Business acquisitions, net of cash acquired</t>
  </si>
  <si>
    <t>Net cash provided by (used in) investing activities</t>
  </si>
  <si>
    <t>Financing cash flow</t>
  </si>
  <si>
    <t xml:space="preserve">   Net proceeds from equity offering</t>
  </si>
  <si>
    <t xml:space="preserve">   Proceeds from options exercised</t>
  </si>
  <si>
    <t xml:space="preserve">   Income and payroll tax payments for net-settled stock awards</t>
  </si>
  <si>
    <t xml:space="preserve">   Proceeds from issuance of convertible senior notes</t>
  </si>
  <si>
    <t xml:space="preserve">   Proceeds from issuance of warrants</t>
  </si>
  <si>
    <t xml:space="preserve">   Purchase of convertible note hedge</t>
  </si>
  <si>
    <t>Net cash provided by (used in) financing activities</t>
  </si>
  <si>
    <t>Effect of exchange rate changes on cash and cash equivalents</t>
  </si>
  <si>
    <t>Net increase (decrease) in cash and cash equivalents</t>
  </si>
  <si>
    <t>Cash and cash equivalents, beginning of period</t>
  </si>
  <si>
    <t>Cash and cash equivalents, end of period</t>
  </si>
  <si>
    <t>Free cash flow</t>
  </si>
  <si>
    <t>Purchases of property and equipment</t>
  </si>
  <si>
    <t>Purchases of intangible assets</t>
  </si>
  <si>
    <r>
      <t xml:space="preserve">Free cash flow, a non-GAAP measure </t>
    </r>
    <r>
      <rPr>
        <vertAlign val="superscript"/>
        <sz val="11"/>
        <color rgb="FF000000"/>
        <rFont val="Calibri"/>
        <family val="2"/>
        <scheme val="minor"/>
      </rPr>
      <t>(5)</t>
    </r>
  </si>
  <si>
    <t xml:space="preserve"> Bond premium amortization</t>
  </si>
  <si>
    <t xml:space="preserve">Net campus investment </t>
  </si>
  <si>
    <r>
      <t xml:space="preserve">Adjusted free cash flow, a non-GAAP measure </t>
    </r>
    <r>
      <rPr>
        <vertAlign val="superscript"/>
        <sz val="11"/>
        <color rgb="FF000000"/>
        <rFont val="Calibri"/>
        <family val="2"/>
        <scheme val="minor"/>
      </rPr>
      <t>(6)</t>
    </r>
  </si>
  <si>
    <t>Tax Rate</t>
  </si>
  <si>
    <t>Common Size Income Statement</t>
  </si>
  <si>
    <t>Percentage Change Income Statement</t>
  </si>
  <si>
    <t>Common Size Balance Sheet</t>
  </si>
  <si>
    <t>Percentage Change Balance Sheet</t>
  </si>
  <si>
    <t>Common Size Cash Flow</t>
  </si>
  <si>
    <t>Percentage Change Cash Flows</t>
  </si>
  <si>
    <t>Stockholder's equity:</t>
  </si>
  <si>
    <t>Additional paid-in capital</t>
  </si>
  <si>
    <t>Treasury Stock</t>
  </si>
  <si>
    <t>Retained Earnings</t>
  </si>
  <si>
    <t>Accumulated other comprehensive loss</t>
  </si>
  <si>
    <t>Balance Sheet (in '000)</t>
  </si>
  <si>
    <t>Net Sales by Product Line (in '000)</t>
  </si>
  <si>
    <t>TASER Devices (Professional)</t>
  </si>
  <si>
    <t>Cartridges</t>
  </si>
  <si>
    <t>Axon Evidence and Cloud Services</t>
  </si>
  <si>
    <t>Extended Warranties</t>
  </si>
  <si>
    <t>Other</t>
  </si>
  <si>
    <t>Total TASER segment</t>
  </si>
  <si>
    <t>Axon Body Cameras and Accessories</t>
  </si>
  <si>
    <t>Axon Fleet Systems</t>
  </si>
  <si>
    <t>Axon Evidence and Cloud services</t>
  </si>
  <si>
    <t>Total Software &amp; Sensors segment</t>
  </si>
  <si>
    <t>Net Sales</t>
  </si>
  <si>
    <t>-</t>
  </si>
  <si>
    <t>TASER Segment</t>
  </si>
  <si>
    <t>Software &amp; Sensors segment</t>
  </si>
  <si>
    <t>% change in Net Sales</t>
  </si>
  <si>
    <t>Assumptions</t>
  </si>
  <si>
    <t>% Change</t>
  </si>
  <si>
    <t>FY'2023E</t>
  </si>
  <si>
    <t>FY'2024E</t>
  </si>
  <si>
    <t>FY'2025E</t>
  </si>
  <si>
    <t>FY'2026E</t>
  </si>
  <si>
    <t>FY'2027E</t>
  </si>
  <si>
    <t>FY'2028E</t>
  </si>
  <si>
    <t>Product Line as % of Net Sales</t>
  </si>
  <si>
    <t>Assumtions</t>
  </si>
  <si>
    <t>Cartridge sales remain stable as the demand is present even after TASERS are purchased</t>
  </si>
  <si>
    <t>Increasing component as a % of Net Sales</t>
  </si>
  <si>
    <t>Decreasing component for TASER segment compared to Net Sales</t>
  </si>
  <si>
    <t>No significant growth in previous 5Y</t>
  </si>
  <si>
    <t>Wide growth opportunities in US and International Markets</t>
  </si>
  <si>
    <t>Increasing subscriptions and growth in SaaS majorly in US and additional potential in International markets</t>
  </si>
  <si>
    <t>Warranties on S&amp;S segment has seen strong increase as a % of Net Sales</t>
  </si>
  <si>
    <t>no significant change</t>
  </si>
  <si>
    <t>COGS decline as Supply chain improves and SaaS delivery becomes efficient</t>
  </si>
  <si>
    <t>declining trend</t>
  </si>
  <si>
    <t>stock based compensation expenses going down</t>
  </si>
  <si>
    <t>High interest till 2027 notes</t>
  </si>
  <si>
    <t>constant trend</t>
  </si>
  <si>
    <t>% of revenue</t>
  </si>
  <si>
    <t>% of COGS</t>
  </si>
  <si>
    <t>% of Total Operating Expenses</t>
  </si>
  <si>
    <t>% of Revenue</t>
  </si>
  <si>
    <t>Constant</t>
  </si>
  <si>
    <t>Average</t>
  </si>
  <si>
    <t>Same as FY22 then constant</t>
  </si>
  <si>
    <t>average</t>
  </si>
  <si>
    <t>increasing trend</t>
  </si>
  <si>
    <t>Eventual decrease as per management guidance</t>
  </si>
  <si>
    <t>% of Total Operating Expense</t>
  </si>
  <si>
    <t>increase by $0.9 million for FY23 then constant</t>
  </si>
  <si>
    <t>Convertible notes</t>
  </si>
  <si>
    <t>$16.3 million repurchase remaining till FY2026 so we assume it will be divided equally for each year</t>
  </si>
  <si>
    <t>from Schedules</t>
  </si>
  <si>
    <t>constant</t>
  </si>
  <si>
    <t>Beginning Retained Earnings</t>
  </si>
  <si>
    <t>+ Net Income</t>
  </si>
  <si>
    <t>- Dividends</t>
  </si>
  <si>
    <t>= Ending Retained Earnings</t>
  </si>
  <si>
    <t>Property, Plant &amp; Equipment</t>
  </si>
  <si>
    <t>Beginning Gross PP&amp;E</t>
  </si>
  <si>
    <t>+ Changes</t>
  </si>
  <si>
    <t>= Ending Gross PP&amp;E</t>
  </si>
  <si>
    <t>Beginning Accum Depreciation</t>
  </si>
  <si>
    <t>- Depreciation expense</t>
  </si>
  <si>
    <t>= Ending Accum Depreciation</t>
  </si>
  <si>
    <t>Property, plant and equipment, net</t>
  </si>
  <si>
    <t>Capex</t>
  </si>
  <si>
    <t>Depreciation Expense</t>
  </si>
  <si>
    <t xml:space="preserve">most of PP&amp;E have life of 3-5 years </t>
  </si>
  <si>
    <t>growth can be associated to upcoming growth in VR training centres</t>
  </si>
  <si>
    <t>Intangible Assets</t>
  </si>
  <si>
    <t>Beginning Gross Intangibles</t>
  </si>
  <si>
    <t>= Ending Gross Intangibles</t>
  </si>
  <si>
    <t>Beginning Accum Ammortization</t>
  </si>
  <si>
    <t>- Ammortization expense</t>
  </si>
  <si>
    <t>= Ending Accum Ammortization</t>
  </si>
  <si>
    <t>Intangible Assets, net</t>
  </si>
  <si>
    <t>Ammortization expense as a % of Accum</t>
  </si>
  <si>
    <t>Increases in Intangible Assets</t>
  </si>
  <si>
    <t>schedule</t>
  </si>
  <si>
    <t>Dividends</t>
  </si>
  <si>
    <t>Change in Cash</t>
  </si>
  <si>
    <t>- repurchases</t>
  </si>
  <si>
    <t>Repurchases</t>
  </si>
  <si>
    <t>Net Income</t>
  </si>
  <si>
    <t>Cash at beginning of period</t>
  </si>
  <si>
    <t>Cash at end of period</t>
  </si>
  <si>
    <t>FCFE</t>
  </si>
  <si>
    <t>Balance Sheet check</t>
  </si>
  <si>
    <t>S&amp;P 500 data</t>
  </si>
  <si>
    <t>S&amp;P500 Forward P/E</t>
  </si>
  <si>
    <t>WSJ</t>
  </si>
  <si>
    <r>
      <rPr>
        <sz val="11"/>
        <color theme="1"/>
        <rFont val="Calibri"/>
        <family val="2"/>
        <scheme val="minor"/>
      </rPr>
      <t xml:space="preserve">Projected EPS growth rate (g </t>
    </r>
    <r>
      <rPr>
        <vertAlign val="subscript"/>
        <sz val="11"/>
        <color theme="1"/>
        <rFont val="Calibri"/>
        <family val="2"/>
        <scheme val="minor"/>
      </rPr>
      <t>S&amp;P</t>
    </r>
    <r>
      <rPr>
        <sz val="11"/>
        <color theme="1"/>
        <rFont val="Calibri"/>
        <family val="2"/>
        <scheme val="minor"/>
      </rPr>
      <t>)</t>
    </r>
  </si>
  <si>
    <t>Yahoo Finance</t>
  </si>
  <si>
    <r>
      <rPr>
        <sz val="11"/>
        <color theme="1"/>
        <rFont val="Calibri"/>
        <family val="2"/>
        <scheme val="minor"/>
      </rPr>
      <t>Risk-free rate (R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</si>
  <si>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t>CNBC</t>
  </si>
  <si>
    <r>
      <rPr>
        <sz val="11"/>
        <color theme="1"/>
        <rFont val="Calibri"/>
        <family val="2"/>
        <scheme val="minor"/>
      </rPr>
      <t>Implied required return on equity (R</t>
    </r>
    <r>
      <rPr>
        <vertAlign val="subscript"/>
        <sz val="11"/>
        <color theme="1"/>
        <rFont val="Calibri"/>
        <family val="2"/>
        <scheme val="minor"/>
      </rPr>
      <t>s&amp;p500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</si>
  <si>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>Implied equity risk premium (R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</si>
  <si>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t>Forward Beta calculation:</t>
  </si>
  <si>
    <t>Current Price (P)</t>
  </si>
  <si>
    <t>Forward EPS (E)</t>
  </si>
  <si>
    <t>P/E ratio</t>
  </si>
  <si>
    <t>Projected EPS growth rate (g)</t>
  </si>
  <si>
    <t>Implied required return on equity (Re)</t>
  </si>
  <si>
    <t>Beta</t>
  </si>
  <si>
    <t>Forward (Bf)</t>
  </si>
  <si>
    <t>Historic (Bh)</t>
  </si>
  <si>
    <t>Cost of Equity:</t>
  </si>
  <si>
    <t>Historic equity risk premium</t>
  </si>
  <si>
    <t>Using Forward Beta</t>
  </si>
  <si>
    <t>Using Historic Beta</t>
  </si>
  <si>
    <t>Weighted COE</t>
  </si>
  <si>
    <t>Market COE (beta = 1)</t>
  </si>
  <si>
    <t>Axon Enterprise Cost of Equity</t>
  </si>
  <si>
    <t>Axon data</t>
  </si>
  <si>
    <t>For US</t>
  </si>
  <si>
    <t>Share count</t>
  </si>
  <si>
    <t>Cost of Equity</t>
  </si>
  <si>
    <t>Today</t>
  </si>
  <si>
    <t>Number of Shares:</t>
  </si>
  <si>
    <t>One year</t>
  </si>
  <si>
    <t>Two year</t>
  </si>
  <si>
    <t>Actual Price:</t>
  </si>
  <si>
    <t>Thomson Mean Price Target</t>
  </si>
  <si>
    <t>12 month</t>
  </si>
  <si>
    <t>Model Valuation:</t>
  </si>
  <si>
    <t>Price Appreciation</t>
  </si>
  <si>
    <t>Model 12 Month Price Target:</t>
  </si>
  <si>
    <t>Price Appreciation / current beta</t>
  </si>
  <si>
    <t>Model Current Valuation with Sensitivity of Ke</t>
  </si>
  <si>
    <t>Time period (years)</t>
  </si>
  <si>
    <t>Nominal FCFE:</t>
  </si>
  <si>
    <t>PV FCFE:</t>
  </si>
  <si>
    <t>Terminal Growth Rate</t>
  </si>
  <si>
    <t>Terminal Value in 2027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</si>
  <si>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</si>
  <si>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</si>
  <si>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</si>
  <si>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</si>
  <si>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</si>
  <si>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</si>
  <si>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</si>
  <si>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</si>
  <si>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Axon Enterprise [AXON]</t>
  </si>
  <si>
    <t>Axon Enterprise Valuation</t>
  </si>
  <si>
    <t>Strong Growth in this segment due to TASER 10 based on guidance</t>
  </si>
  <si>
    <t>CAGR 6Y</t>
  </si>
  <si>
    <t>First 4Y experience higher growth through Axon Body 4 cameras to potential Federal and possible military contracts</t>
  </si>
  <si>
    <t>Company invests highly in R&amp;D so high initial years then decline as SaaS take over Hardware</t>
  </si>
  <si>
    <t>Conservative</t>
  </si>
  <si>
    <t>Average excluding FY18 and FY21</t>
  </si>
  <si>
    <t>high in first 2Y then declines as S&amp;S segment increases and hardware decreases</t>
  </si>
  <si>
    <t>gradual decrease</t>
  </si>
  <si>
    <t>gradual increase</t>
  </si>
  <si>
    <t>Same as FY22 then gradual increase</t>
  </si>
  <si>
    <t>Best</t>
  </si>
  <si>
    <t>Base</t>
  </si>
  <si>
    <t>Worst</t>
  </si>
  <si>
    <t>Case Selected</t>
  </si>
  <si>
    <t>Current Price</t>
  </si>
  <si>
    <t>Valuation Price</t>
  </si>
  <si>
    <t>12-month Valuation Price</t>
  </si>
  <si>
    <t>Valuation Appreciation</t>
  </si>
  <si>
    <t>12-mo Valuation Appreciation</t>
  </si>
  <si>
    <t>TASER Sales</t>
  </si>
  <si>
    <t>Fleet Systems Sales</t>
  </si>
  <si>
    <t>Body Cameras &amp; Accessories Sales</t>
  </si>
  <si>
    <t>Evidence &amp; Cloud Services Sales</t>
  </si>
  <si>
    <t>SG&amp;A</t>
  </si>
  <si>
    <t>R&amp;D</t>
  </si>
  <si>
    <t>INDEX:</t>
  </si>
  <si>
    <t>1. Scenario Analysis</t>
  </si>
  <si>
    <t>2. DCF FCFE</t>
  </si>
  <si>
    <t>3. Cost of Equity (Ke)</t>
  </si>
  <si>
    <t>4. Revenue Model</t>
  </si>
  <si>
    <t>5. Income Statement</t>
  </si>
  <si>
    <t>6. Balance Sheet</t>
  </si>
  <si>
    <t>7. Derived Cash Flow</t>
  </si>
  <si>
    <t>8. Historical Cash Flow</t>
  </si>
  <si>
    <t>9. Ratios</t>
  </si>
  <si>
    <t>10. Schedules</t>
  </si>
  <si>
    <t>Index</t>
  </si>
  <si>
    <t>Yahoo Finance (5Y Monthly)</t>
  </si>
  <si>
    <t>EPS</t>
  </si>
  <si>
    <t>Outstanding Shares</t>
  </si>
  <si>
    <t>shares every year till FY26 (assuming share repurchase at $220 per share)</t>
  </si>
  <si>
    <t>APIC28 ​= APIC27 ​ +BookValueConvertibleNotes​</t>
  </si>
  <si>
    <t>Cost of Goods Sold</t>
  </si>
  <si>
    <t>Profitability</t>
  </si>
  <si>
    <t>Pre-tax operating profit margin</t>
  </si>
  <si>
    <t>EBITDA margin</t>
  </si>
  <si>
    <t>Net profit margin</t>
  </si>
  <si>
    <t>ROE</t>
  </si>
  <si>
    <t>Liquidity</t>
  </si>
  <si>
    <t>Current Ratio</t>
  </si>
  <si>
    <t>Quick Ratio</t>
  </si>
  <si>
    <t>Financial Leverage</t>
  </si>
  <si>
    <t>Capital Structure Leverage</t>
  </si>
  <si>
    <t>Liabilities to Equity</t>
  </si>
  <si>
    <t>Working capital to total capital</t>
  </si>
  <si>
    <t>Operating Leverage</t>
  </si>
  <si>
    <t>Efficiency/Activity</t>
  </si>
  <si>
    <t>Asset turnover</t>
  </si>
  <si>
    <t>Receivables turnover</t>
  </si>
  <si>
    <t>Inventory turnover</t>
  </si>
  <si>
    <t>Days sales outstanding</t>
  </si>
  <si>
    <t>Days inventory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</si>
</sst>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 &quot;* #,##0&quot; &quot;;&quot; &quot;* &quot;(&quot;#,##0&quot;)&quot;;&quot; &quot;* &quot;-&quot;#&quot; &quot;;&quot; &quot;@&quot; &quot;"/>
    <numFmt numFmtId="165" formatCode="&quot; &quot;* #,##0.00&quot; &quot;;&quot; &quot;* &quot;(&quot;#,##0.00&quot;)&quot;;&quot; &quot;* &quot;-&quot;#&quot; &quot;;&quot; &quot;@&quot; &quot;"/>
    <numFmt numFmtId="166" formatCode="0.0%"/>
    <numFmt numFmtId="167" formatCode="_(* #,##0.0_);_(* \(#,##0.0\);_(* &quot;-&quot;??_);_(@_)"/>
    <numFmt numFmtId="168" formatCode="_(* #,##0_);_(* \(#,##0\);_(* &quot;-&quot;??_);_(@_)"/>
    <numFmt numFmtId="169" formatCode="0.000%"/>
    <numFmt numFmtId="170" formatCode="0.00\x"/>
    <numFmt numFmtId="171" formatCode="0.0\x"/>
    <numFmt numFmtId="172" formatCode="0.000"/>
    <numFmt numFmtId="173" formatCode="m/d/yy;@"/>
    <numFmt numFmtId="174" formatCode="&quot;$&quot;#,##0.00"/>
  </numFmts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DE00"/>
      <name val="Calibri"/>
      <family val="2"/>
      <scheme val="minor"/>
    </font>
    <font>
      <b/>
      <sz val="11"/>
      <color rgb="FFFFDE00"/>
      <name val="Calibri"/>
      <family val="2"/>
    </font>
    <font>
      <b/>
      <sz val="10"/>
      <color rgb="FFFFDE00"/>
      <name val="Calibri"/>
      <family val="2"/>
      <scheme val="minor"/>
    </font>
    <font>
      <sz val="10"/>
      <color rgb="FFFFDE00"/>
      <name val="Calibri"/>
      <family val="2"/>
      <scheme val="minor"/>
    </font>
    <font>
      <b/>
      <sz val="11"/>
      <color rgb="FFFFDE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2F2F2"/>
      </patternFill>
    </fill>
    <fill>
      <patternFill patternType="solid">
        <fgColor theme="1" tint="0.49998474074526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C94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1"/>
        <bgColor rgb="FF0085F2"/>
      </patternFill>
    </fill>
    <fill>
      <patternFill patternType="solid">
        <fgColor theme="1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E00"/>
        <bgColor rgb="FFFFFFFF"/>
      </patternFill>
    </fill>
    <fill>
      <patternFill patternType="solid">
        <fgColor rgb="FFFFDE00"/>
        <bgColor rgb="FFF2F2F2"/>
      </patternFill>
    </fill>
    <fill>
      <patternFill patternType="solid">
        <fgColor theme="1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000000"/>
      </left>
      <right/>
      <top style="thin">
        <color indexed="64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</cellStyleXfs>
  <cellXfs count="372">
    <xf numFmtId="0" fontId="0" fillId="0" borderId="0" xfId="0"/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5" fillId="2" borderId="0" xfId="1" applyFont="1" applyFill="1"/>
    <xf numFmtId="0" fontId="6" fillId="3" borderId="1" xfId="1" applyFont="1" applyFill="1" applyBorder="1"/>
    <xf numFmtId="0" fontId="6" fillId="3" borderId="0" xfId="1" applyFont="1" applyFill="1"/>
    <xf numFmtId="0" fontId="6" fillId="3" borderId="0" xfId="1" applyFont="1" applyFill="1" applyAlignment="1">
      <alignment horizontal="center"/>
    </xf>
    <xf numFmtId="0" fontId="6" fillId="2" borderId="0" xfId="1" applyFont="1" applyFill="1"/>
    <xf numFmtId="164" fontId="5" fillId="2" borderId="1" xfId="2" applyNumberFormat="1" applyFont="1" applyFill="1" applyBorder="1"/>
    <xf numFmtId="164" fontId="5" fillId="4" borderId="0" xfId="2" applyNumberFormat="1" applyFont="1" applyFill="1"/>
    <xf numFmtId="164" fontId="5" fillId="2" borderId="0" xfId="2" applyNumberFormat="1" applyFont="1" applyFill="1" applyBorder="1"/>
    <xf numFmtId="164" fontId="5" fillId="4" borderId="0" xfId="2" applyNumberFormat="1" applyFont="1" applyFill="1" applyBorder="1"/>
    <xf numFmtId="164" fontId="5" fillId="5" borderId="0" xfId="2" applyNumberFormat="1" applyFont="1" applyFill="1" applyBorder="1"/>
    <xf numFmtId="164" fontId="4" fillId="2" borderId="0" xfId="2" applyNumberFormat="1" applyFont="1" applyFill="1"/>
    <xf numFmtId="164" fontId="4" fillId="2" borderId="0" xfId="2" applyNumberFormat="1" applyFont="1" applyFill="1" applyBorder="1"/>
    <xf numFmtId="164" fontId="5" fillId="2" borderId="2" xfId="2" applyNumberFormat="1" applyFont="1" applyFill="1" applyBorder="1"/>
    <xf numFmtId="164" fontId="5" fillId="4" borderId="3" xfId="2" applyNumberFormat="1" applyFont="1" applyFill="1" applyBorder="1"/>
    <xf numFmtId="164" fontId="5" fillId="4" borderId="4" xfId="2" applyNumberFormat="1" applyFont="1" applyFill="1" applyBorder="1"/>
    <xf numFmtId="164" fontId="5" fillId="5" borderId="4" xfId="2" applyNumberFormat="1" applyFont="1" applyFill="1" applyBorder="1"/>
    <xf numFmtId="164" fontId="1" fillId="4" borderId="0" xfId="2" applyNumberFormat="1" applyFont="1" applyFill="1"/>
    <xf numFmtId="164" fontId="1" fillId="4" borderId="0" xfId="2" applyNumberFormat="1" applyFont="1" applyFill="1" applyBorder="1"/>
    <xf numFmtId="164" fontId="5" fillId="2" borderId="6" xfId="2" applyNumberFormat="1" applyFont="1" applyFill="1" applyBorder="1"/>
    <xf numFmtId="164" fontId="5" fillId="4" borderId="7" xfId="2" applyNumberFormat="1" applyFont="1" applyFill="1" applyBorder="1"/>
    <xf numFmtId="164" fontId="5" fillId="4" borderId="8" xfId="2" applyNumberFormat="1" applyFont="1" applyFill="1" applyBorder="1"/>
    <xf numFmtId="0" fontId="5" fillId="2" borderId="1" xfId="1" applyFont="1" applyFill="1" applyBorder="1"/>
    <xf numFmtId="0" fontId="1" fillId="4" borderId="0" xfId="1" applyFont="1" applyFill="1"/>
    <xf numFmtId="0" fontId="5" fillId="4" borderId="0" xfId="1" applyFont="1" applyFill="1"/>
    <xf numFmtId="0" fontId="6" fillId="3" borderId="1" xfId="1" applyFont="1" applyFill="1" applyBorder="1" applyAlignment="1">
      <alignment horizontal="left"/>
    </xf>
    <xf numFmtId="0" fontId="8" fillId="2" borderId="1" xfId="1" applyFont="1" applyFill="1" applyBorder="1"/>
    <xf numFmtId="0" fontId="9" fillId="2" borderId="1" xfId="1" applyFont="1" applyFill="1" applyBorder="1"/>
    <xf numFmtId="164" fontId="5" fillId="4" borderId="0" xfId="1" applyNumberFormat="1" applyFont="1" applyFill="1"/>
    <xf numFmtId="164" fontId="5" fillId="2" borderId="1" xfId="2" applyNumberFormat="1" applyFont="1" applyFill="1" applyBorder="1" applyAlignment="1">
      <alignment horizontal="left" indent="1"/>
    </xf>
    <xf numFmtId="164" fontId="5" fillId="2" borderId="1" xfId="2" applyNumberFormat="1" applyFont="1" applyFill="1" applyBorder="1" applyAlignment="1">
      <alignment horizontal="left" wrapText="1" indent="1"/>
    </xf>
    <xf numFmtId="0" fontId="5" fillId="2" borderId="9" xfId="1" applyFont="1" applyFill="1" applyBorder="1"/>
    <xf numFmtId="164" fontId="5" fillId="4" borderId="8" xfId="3" applyNumberFormat="1" applyFont="1" applyFill="1" applyBorder="1"/>
    <xf numFmtId="0" fontId="5" fillId="2" borderId="10" xfId="1" applyFont="1" applyFill="1" applyBorder="1"/>
    <xf numFmtId="2" fontId="5" fillId="4" borderId="11" xfId="1" applyNumberFormat="1" applyFont="1" applyFill="1" applyBorder="1"/>
    <xf numFmtId="165" fontId="5" fillId="4" borderId="11" xfId="2" applyFont="1" applyFill="1" applyBorder="1"/>
    <xf numFmtId="165" fontId="5" fillId="4" borderId="12" xfId="2" applyFont="1" applyFill="1" applyBorder="1"/>
    <xf numFmtId="164" fontId="5" fillId="2" borderId="1" xfId="2" applyNumberFormat="1" applyFont="1" applyFill="1" applyBorder="1" applyAlignment="1">
      <alignment horizontal="left"/>
    </xf>
    <xf numFmtId="164" fontId="5" fillId="2" borderId="1" xfId="2" applyNumberFormat="1" applyFont="1" applyFill="1" applyBorder="1" applyAlignment="1">
      <alignment horizontal="right"/>
    </xf>
    <xf numFmtId="164" fontId="8" fillId="2" borderId="1" xfId="2" applyNumberFormat="1" applyFont="1" applyFill="1" applyBorder="1"/>
    <xf numFmtId="164" fontId="5" fillId="0" borderId="1" xfId="2" applyNumberFormat="1" applyFont="1" applyFill="1" applyBorder="1" applyAlignment="1">
      <alignment horizontal="left" indent="1"/>
    </xf>
    <xf numFmtId="164" fontId="5" fillId="2" borderId="13" xfId="2" applyNumberFormat="1" applyFont="1" applyFill="1" applyBorder="1" applyAlignment="1">
      <alignment horizontal="left" indent="1"/>
    </xf>
    <xf numFmtId="9" fontId="5" fillId="6" borderId="1" xfId="3" applyFont="1" applyFill="1" applyBorder="1"/>
    <xf numFmtId="164" fontId="12" fillId="2" borderId="0" xfId="2" applyNumberFormat="1" applyFont="1" applyFill="1" applyBorder="1"/>
    <xf numFmtId="9" fontId="5" fillId="2" borderId="14" xfId="3" applyFont="1" applyFill="1" applyBorder="1"/>
    <xf numFmtId="164" fontId="5" fillId="4" borderId="15" xfId="2" applyNumberFormat="1" applyFont="1" applyFill="1" applyBorder="1"/>
    <xf numFmtId="164" fontId="5" fillId="4" borderId="16" xfId="2" applyNumberFormat="1" applyFont="1" applyFill="1" applyBorder="1"/>
    <xf numFmtId="9" fontId="7" fillId="2" borderId="1" xfId="3" applyFont="1" applyFill="1" applyBorder="1"/>
    <xf numFmtId="166" fontId="7" fillId="4" borderId="0" xfId="3" applyNumberFormat="1" applyFont="1" applyFill="1"/>
    <xf numFmtId="166" fontId="7" fillId="4" borderId="0" xfId="3" applyNumberFormat="1" applyFont="1" applyFill="1" applyBorder="1"/>
    <xf numFmtId="9" fontId="7" fillId="2" borderId="0" xfId="3" applyFont="1" applyFill="1" applyBorder="1"/>
    <xf numFmtId="164" fontId="3" fillId="2" borderId="1" xfId="2" applyNumberFormat="1" applyFont="1" applyFill="1" applyBorder="1"/>
    <xf numFmtId="10" fontId="13" fillId="4" borderId="0" xfId="3" applyNumberFormat="1" applyFont="1" applyFill="1"/>
    <xf numFmtId="10" fontId="14" fillId="4" borderId="0" xfId="3" applyNumberFormat="1" applyFont="1" applyFill="1"/>
    <xf numFmtId="10" fontId="14" fillId="4" borderId="0" xfId="3" applyNumberFormat="1" applyFont="1" applyFill="1" applyBorder="1"/>
    <xf numFmtId="164" fontId="5" fillId="4" borderId="0" xfId="3" applyNumberFormat="1" applyFont="1" applyFill="1"/>
    <xf numFmtId="164" fontId="5" fillId="4" borderId="0" xfId="3" applyNumberFormat="1" applyFont="1" applyFill="1" applyBorder="1"/>
    <xf numFmtId="164" fontId="5" fillId="2" borderId="2" xfId="2" applyNumberFormat="1" applyFont="1" applyFill="1" applyBorder="1" applyAlignment="1">
      <alignment horizontal="left" indent="1"/>
    </xf>
    <xf numFmtId="3" fontId="5" fillId="4" borderId="17" xfId="0" applyNumberFormat="1" applyFont="1" applyFill="1" applyBorder="1"/>
    <xf numFmtId="3" fontId="5" fillId="4" borderId="18" xfId="0" applyNumberFormat="1" applyFont="1" applyFill="1" applyBorder="1"/>
    <xf numFmtId="0" fontId="5" fillId="4" borderId="17" xfId="0" applyFont="1" applyFill="1" applyBorder="1"/>
    <xf numFmtId="3" fontId="5" fillId="4" borderId="3" xfId="0" applyNumberFormat="1" applyFont="1" applyFill="1" applyBorder="1"/>
    <xf numFmtId="3" fontId="5" fillId="4" borderId="0" xfId="0" applyNumberFormat="1" applyFont="1" applyFill="1"/>
    <xf numFmtId="3" fontId="5" fillId="4" borderId="7" xfId="0" applyNumberFormat="1" applyFont="1" applyFill="1" applyBorder="1"/>
    <xf numFmtId="0" fontId="5" fillId="4" borderId="19" xfId="0" applyFont="1" applyFill="1" applyBorder="1"/>
    <xf numFmtId="0" fontId="5" fillId="4" borderId="18" xfId="0" applyFont="1" applyFill="1" applyBorder="1"/>
    <xf numFmtId="3" fontId="5" fillId="4" borderId="15" xfId="0" applyNumberFormat="1" applyFont="1" applyFill="1" applyBorder="1"/>
    <xf numFmtId="10" fontId="7" fillId="4" borderId="17" xfId="0" applyNumberFormat="1" applyFont="1" applyFill="1" applyBorder="1"/>
    <xf numFmtId="0" fontId="7" fillId="4" borderId="17" xfId="0" applyFont="1" applyFill="1" applyBorder="1"/>
    <xf numFmtId="164" fontId="5" fillId="2" borderId="13" xfId="2" applyNumberFormat="1" applyFont="1" applyFill="1" applyBorder="1"/>
    <xf numFmtId="3" fontId="5" fillId="7" borderId="0" xfId="0" applyNumberFormat="1" applyFont="1" applyFill="1"/>
    <xf numFmtId="164" fontId="6" fillId="3" borderId="1" xfId="2" applyNumberFormat="1" applyFont="1" applyFill="1" applyBorder="1"/>
    <xf numFmtId="0" fontId="16" fillId="3" borderId="0" xfId="1" applyFont="1" applyFill="1"/>
    <xf numFmtId="0" fontId="16" fillId="2" borderId="0" xfId="1" applyFont="1" applyFill="1"/>
    <xf numFmtId="164" fontId="5" fillId="0" borderId="1" xfId="2" applyNumberFormat="1" applyFont="1" applyFill="1" applyBorder="1"/>
    <xf numFmtId="164" fontId="5" fillId="8" borderId="20" xfId="2" applyNumberFormat="1" applyFont="1" applyFill="1" applyBorder="1"/>
    <xf numFmtId="164" fontId="5" fillId="6" borderId="20" xfId="2" applyNumberFormat="1" applyFont="1" applyFill="1" applyBorder="1" applyAlignment="1">
      <alignment horizontal="left"/>
    </xf>
    <xf numFmtId="167" fontId="1" fillId="4" borderId="0" xfId="2" applyNumberFormat="1" applyFont="1" applyFill="1"/>
    <xf numFmtId="164" fontId="11" fillId="0" borderId="13" xfId="2" applyNumberFormat="1" applyFont="1" applyFill="1" applyBorder="1"/>
    <xf numFmtId="164" fontId="11" fillId="4" borderId="4" xfId="2" applyNumberFormat="1" applyFont="1" applyFill="1" applyBorder="1"/>
    <xf numFmtId="164" fontId="11" fillId="2" borderId="0" xfId="2" applyNumberFormat="1" applyFont="1" applyFill="1" applyBorder="1"/>
    <xf numFmtId="164" fontId="5" fillId="4" borderId="0" xfId="2" applyNumberFormat="1" applyFont="1" applyFill="1" applyBorder="1" applyAlignment="1">
      <alignment horizontal="right"/>
    </xf>
    <xf numFmtId="9" fontId="5" fillId="2" borderId="6" xfId="3" applyFont="1" applyFill="1" applyBorder="1"/>
    <xf numFmtId="9" fontId="5" fillId="2" borderId="1" xfId="3" applyFont="1" applyFill="1" applyBorder="1"/>
    <xf numFmtId="164" fontId="5" fillId="9" borderId="8" xfId="2" applyNumberFormat="1" applyFont="1" applyFill="1" applyBorder="1"/>
    <xf numFmtId="166" fontId="1" fillId="4" borderId="0" xfId="4" applyNumberFormat="1" applyFont="1" applyFill="1"/>
    <xf numFmtId="10" fontId="1" fillId="4" borderId="0" xfId="4" applyNumberFormat="1" applyFont="1" applyFill="1"/>
    <xf numFmtId="166" fontId="0" fillId="0" borderId="0" xfId="4" applyNumberFormat="1" applyFont="1"/>
    <xf numFmtId="10" fontId="0" fillId="0" borderId="0" xfId="4" applyNumberFormat="1" applyFont="1"/>
    <xf numFmtId="164" fontId="0" fillId="0" borderId="0" xfId="0" applyNumberFormat="1"/>
    <xf numFmtId="0" fontId="0" fillId="0" borderId="0" xfId="0" applyAlignment="1">
      <alignment horizontal="left" indent="2"/>
    </xf>
    <xf numFmtId="0" fontId="6" fillId="3" borderId="22" xfId="1" applyFont="1" applyFill="1" applyBorder="1"/>
    <xf numFmtId="0" fontId="0" fillId="0" borderId="22" xfId="0" applyBorder="1"/>
    <xf numFmtId="10" fontId="11" fillId="4" borderId="0" xfId="4" applyNumberFormat="1" applyFont="1" applyFill="1"/>
    <xf numFmtId="166" fontId="11" fillId="4" borderId="0" xfId="4" applyNumberFormat="1" applyFont="1" applyFill="1"/>
    <xf numFmtId="166" fontId="20" fillId="4" borderId="0" xfId="1" applyNumberFormat="1" applyFont="1" applyFill="1"/>
    <xf numFmtId="0" fontId="20" fillId="4" borderId="0" xfId="1" applyFont="1" applyFill="1"/>
    <xf numFmtId="164" fontId="3" fillId="2" borderId="6" xfId="2" applyNumberFormat="1" applyFont="1" applyFill="1" applyBorder="1"/>
    <xf numFmtId="3" fontId="3" fillId="4" borderId="7" xfId="0" applyNumberFormat="1" applyFont="1" applyFill="1" applyBorder="1"/>
    <xf numFmtId="164" fontId="3" fillId="4" borderId="7" xfId="2" applyNumberFormat="1" applyFont="1" applyFill="1" applyBorder="1"/>
    <xf numFmtId="164" fontId="3" fillId="4" borderId="8" xfId="2" applyNumberFormat="1" applyFont="1" applyFill="1" applyBorder="1"/>
    <xf numFmtId="164" fontId="3" fillId="2" borderId="0" xfId="2" applyNumberFormat="1" applyFont="1" applyFill="1" applyBorder="1"/>
    <xf numFmtId="0" fontId="3" fillId="2" borderId="22" xfId="1" applyFont="1" applyFill="1" applyBorder="1" applyAlignment="1">
      <alignment horizontal="center"/>
    </xf>
    <xf numFmtId="164" fontId="5" fillId="4" borderId="22" xfId="2" applyNumberFormat="1" applyFont="1" applyFill="1" applyBorder="1"/>
    <xf numFmtId="164" fontId="5" fillId="4" borderId="24" xfId="2" applyNumberFormat="1" applyFont="1" applyFill="1" applyBorder="1"/>
    <xf numFmtId="164" fontId="1" fillId="4" borderId="22" xfId="2" applyNumberFormat="1" applyFont="1" applyFill="1" applyBorder="1"/>
    <xf numFmtId="164" fontId="3" fillId="4" borderId="25" xfId="2" applyNumberFormat="1" applyFont="1" applyFill="1" applyBorder="1"/>
    <xf numFmtId="0" fontId="5" fillId="4" borderId="22" xfId="1" applyFont="1" applyFill="1" applyBorder="1"/>
    <xf numFmtId="166" fontId="20" fillId="4" borderId="22" xfId="1" applyNumberFormat="1" applyFont="1" applyFill="1" applyBorder="1"/>
    <xf numFmtId="0" fontId="20" fillId="4" borderId="22" xfId="1" applyFont="1" applyFill="1" applyBorder="1"/>
    <xf numFmtId="166" fontId="11" fillId="4" borderId="22" xfId="4" applyNumberFormat="1" applyFont="1" applyFill="1" applyBorder="1"/>
    <xf numFmtId="164" fontId="5" fillId="4" borderId="22" xfId="1" applyNumberFormat="1" applyFont="1" applyFill="1" applyBorder="1"/>
    <xf numFmtId="164" fontId="5" fillId="4" borderId="25" xfId="3" applyNumberFormat="1" applyFont="1" applyFill="1" applyBorder="1"/>
    <xf numFmtId="165" fontId="5" fillId="4" borderId="26" xfId="2" applyFont="1" applyFill="1" applyBorder="1"/>
    <xf numFmtId="164" fontId="5" fillId="4" borderId="27" xfId="2" applyNumberFormat="1" applyFont="1" applyFill="1" applyBorder="1"/>
    <xf numFmtId="166" fontId="7" fillId="4" borderId="22" xfId="3" applyNumberFormat="1" applyFont="1" applyFill="1" applyBorder="1"/>
    <xf numFmtId="10" fontId="14" fillId="4" borderId="22" xfId="3" applyNumberFormat="1" applyFont="1" applyFill="1" applyBorder="1"/>
    <xf numFmtId="164" fontId="5" fillId="4" borderId="22" xfId="3" applyNumberFormat="1" applyFont="1" applyFill="1" applyBorder="1"/>
    <xf numFmtId="164" fontId="5" fillId="10" borderId="1" xfId="2" applyNumberFormat="1" applyFont="1" applyFill="1" applyBorder="1"/>
    <xf numFmtId="164" fontId="5" fillId="10" borderId="2" xfId="2" applyNumberFormat="1" applyFont="1" applyFill="1" applyBorder="1"/>
    <xf numFmtId="164" fontId="5" fillId="10" borderId="0" xfId="2" applyNumberFormat="1" applyFont="1" applyFill="1" applyBorder="1"/>
    <xf numFmtId="164" fontId="5" fillId="11" borderId="0" xfId="2" applyNumberFormat="1" applyFont="1" applyFill="1" applyBorder="1"/>
    <xf numFmtId="0" fontId="0" fillId="6" borderId="0" xfId="0" applyFill="1"/>
    <xf numFmtId="0" fontId="0" fillId="6" borderId="4" xfId="0" applyFill="1" applyBorder="1"/>
    <xf numFmtId="3" fontId="0" fillId="0" borderId="0" xfId="0" applyNumberFormat="1"/>
    <xf numFmtId="10" fontId="20" fillId="0" borderId="0" xfId="0" applyNumberFormat="1" applyFont="1"/>
    <xf numFmtId="164" fontId="5" fillId="0" borderId="2" xfId="2" applyNumberFormat="1" applyFont="1" applyFill="1" applyBorder="1"/>
    <xf numFmtId="164" fontId="5" fillId="12" borderId="0" xfId="2" applyNumberFormat="1" applyFont="1" applyFill="1" applyBorder="1"/>
    <xf numFmtId="164" fontId="5" fillId="12" borderId="4" xfId="2" applyNumberFormat="1" applyFont="1" applyFill="1" applyBorder="1"/>
    <xf numFmtId="0" fontId="0" fillId="0" borderId="0" xfId="4" applyNumberFormat="1" applyFont="1"/>
    <xf numFmtId="0" fontId="0" fillId="0" borderId="0" xfId="0" quotePrefix="1" applyAlignment="1">
      <alignment horizontal="left" indent="2"/>
    </xf>
    <xf numFmtId="0" fontId="24" fillId="13" borderId="0" xfId="0" applyFont="1" applyFill="1" applyAlignment="1">
      <alignment vertical="top" wrapText="1"/>
    </xf>
    <xf numFmtId="0" fontId="23" fillId="14" borderId="29" xfId="0" applyFont="1" applyFill="1" applyBorder="1" applyAlignment="1">
      <alignment vertical="top" wrapText="1"/>
    </xf>
    <xf numFmtId="0" fontId="24" fillId="13" borderId="3" xfId="0" applyFont="1" applyFill="1" applyBorder="1" applyAlignment="1">
      <alignment vertical="top" wrapText="1"/>
    </xf>
    <xf numFmtId="167" fontId="0" fillId="0" borderId="0" xfId="5" applyNumberFormat="1" applyFont="1"/>
    <xf numFmtId="168" fontId="0" fillId="0" borderId="0" xfId="5" applyNumberFormat="1" applyFont="1"/>
    <xf numFmtId="166" fontId="20" fillId="0" borderId="0" xfId="0" applyNumberFormat="1" applyFont="1"/>
    <xf numFmtId="170" fontId="26" fillId="15" borderId="0" xfId="0" applyNumberFormat="1" applyFont="1" applyFill="1" applyAlignment="1">
      <alignment horizontal="right"/>
    </xf>
    <xf numFmtId="0" fontId="27" fillId="6" borderId="32" xfId="0" applyFont="1" applyFill="1" applyBorder="1"/>
    <xf numFmtId="10" fontId="26" fillId="15" borderId="0" xfId="0" applyNumberFormat="1" applyFont="1" applyFill="1" applyAlignment="1">
      <alignment horizontal="right"/>
    </xf>
    <xf numFmtId="10" fontId="0" fillId="6" borderId="0" xfId="0" applyNumberFormat="1" applyFill="1"/>
    <xf numFmtId="169" fontId="26" fillId="15" borderId="0" xfId="0" applyNumberFormat="1" applyFont="1" applyFill="1" applyAlignment="1">
      <alignment horizontal="right"/>
    </xf>
    <xf numFmtId="10" fontId="22" fillId="6" borderId="0" xfId="0" applyNumberFormat="1" applyFont="1" applyFill="1" applyAlignment="1">
      <alignment horizontal="right"/>
    </xf>
    <xf numFmtId="166" fontId="0" fillId="6" borderId="0" xfId="0" applyNumberFormat="1" applyFill="1"/>
    <xf numFmtId="166" fontId="0" fillId="6" borderId="32" xfId="0" applyNumberFormat="1" applyFill="1" applyBorder="1"/>
    <xf numFmtId="10" fontId="22" fillId="6" borderId="4" xfId="0" applyNumberFormat="1" applyFont="1" applyFill="1" applyBorder="1" applyAlignment="1">
      <alignment horizontal="right"/>
    </xf>
    <xf numFmtId="166" fontId="0" fillId="6" borderId="4" xfId="0" applyNumberFormat="1" applyFill="1" applyBorder="1"/>
    <xf numFmtId="166" fontId="0" fillId="6" borderId="31" xfId="0" applyNumberFormat="1" applyFill="1" applyBorder="1"/>
    <xf numFmtId="0" fontId="22" fillId="6" borderId="0" xfId="0" applyFont="1" applyFill="1"/>
    <xf numFmtId="0" fontId="0" fillId="6" borderId="32" xfId="0" applyFill="1" applyBorder="1"/>
    <xf numFmtId="44" fontId="26" fillId="15" borderId="0" xfId="0" applyNumberFormat="1" applyFont="1" applyFill="1"/>
    <xf numFmtId="44" fontId="0" fillId="6" borderId="0" xfId="0" applyNumberFormat="1" applyFill="1"/>
    <xf numFmtId="44" fontId="26" fillId="15" borderId="0" xfId="0" applyNumberFormat="1" applyFont="1" applyFill="1" applyAlignment="1">
      <alignment horizontal="right"/>
    </xf>
    <xf numFmtId="171" fontId="22" fillId="6" borderId="0" xfId="0" applyNumberFormat="1" applyFont="1" applyFill="1" applyAlignment="1">
      <alignment horizontal="right"/>
    </xf>
    <xf numFmtId="43" fontId="0" fillId="6" borderId="0" xfId="0" applyNumberFormat="1" applyFill="1"/>
    <xf numFmtId="2" fontId="22" fillId="6" borderId="0" xfId="0" applyNumberFormat="1" applyFont="1" applyFill="1" applyAlignment="1">
      <alignment horizontal="right"/>
    </xf>
    <xf numFmtId="2" fontId="0" fillId="6" borderId="0" xfId="0" applyNumberFormat="1" applyFill="1"/>
    <xf numFmtId="2" fontId="0" fillId="6" borderId="32" xfId="0" applyNumberFormat="1" applyFill="1" applyBorder="1"/>
    <xf numFmtId="172" fontId="26" fillId="6" borderId="4" xfId="0" applyNumberFormat="1" applyFont="1" applyFill="1" applyBorder="1" applyAlignment="1">
      <alignment horizontal="right"/>
    </xf>
    <xf numFmtId="0" fontId="0" fillId="6" borderId="31" xfId="0" applyFill="1" applyBorder="1"/>
    <xf numFmtId="10" fontId="26" fillId="16" borderId="0" xfId="0" applyNumberFormat="1" applyFont="1" applyFill="1" applyAlignment="1">
      <alignment horizontal="right"/>
    </xf>
    <xf numFmtId="166" fontId="22" fillId="6" borderId="0" xfId="0" applyNumberFormat="1" applyFont="1" applyFill="1" applyAlignment="1">
      <alignment horizontal="right"/>
    </xf>
    <xf numFmtId="0" fontId="0" fillId="6" borderId="23" xfId="0" applyFill="1" applyBorder="1"/>
    <xf numFmtId="0" fontId="0" fillId="6" borderId="21" xfId="0" applyFill="1" applyBorder="1"/>
    <xf numFmtId="10" fontId="22" fillId="6" borderId="21" xfId="0" applyNumberFormat="1" applyFont="1" applyFill="1" applyBorder="1" applyAlignment="1">
      <alignment horizontal="right"/>
    </xf>
    <xf numFmtId="0" fontId="0" fillId="6" borderId="33" xfId="0" applyFill="1" applyBorder="1"/>
    <xf numFmtId="0" fontId="22" fillId="6" borderId="4" xfId="0" applyFont="1" applyFill="1" applyBorder="1"/>
    <xf numFmtId="0" fontId="25" fillId="6" borderId="32" xfId="7" applyFill="1" applyBorder="1"/>
    <xf numFmtId="0" fontId="30" fillId="6" borderId="0" xfId="8" applyFont="1" applyFill="1"/>
    <xf numFmtId="0" fontId="31" fillId="6" borderId="0" xfId="8" applyFont="1" applyFill="1"/>
    <xf numFmtId="0" fontId="31" fillId="6" borderId="0" xfId="8" applyFont="1" applyFill="1" applyAlignment="1">
      <alignment horizontal="centerContinuous"/>
    </xf>
    <xf numFmtId="0" fontId="30" fillId="6" borderId="4" xfId="8" applyFont="1" applyFill="1" applyBorder="1" applyAlignment="1">
      <alignment horizontal="right"/>
    </xf>
    <xf numFmtId="0" fontId="30" fillId="6" borderId="34" xfId="8" applyFont="1" applyFill="1" applyBorder="1"/>
    <xf numFmtId="10" fontId="30" fillId="6" borderId="35" xfId="8" applyNumberFormat="1" applyFont="1" applyFill="1" applyBorder="1"/>
    <xf numFmtId="10" fontId="30" fillId="6" borderId="0" xfId="8" applyNumberFormat="1" applyFont="1" applyFill="1"/>
    <xf numFmtId="14" fontId="31" fillId="6" borderId="0" xfId="8" applyNumberFormat="1" applyFont="1" applyFill="1"/>
    <xf numFmtId="3" fontId="5" fillId="0" borderId="0" xfId="0" applyNumberFormat="1" applyFont="1"/>
    <xf numFmtId="0" fontId="31" fillId="6" borderId="36" xfId="8" applyFont="1" applyFill="1" applyBorder="1"/>
    <xf numFmtId="3" fontId="32" fillId="6" borderId="37" xfId="8" applyNumberFormat="1" applyFont="1" applyFill="1" applyBorder="1"/>
    <xf numFmtId="14" fontId="31" fillId="6" borderId="0" xfId="8" applyNumberFormat="1" applyFont="1" applyFill="1" applyAlignment="1">
      <alignment horizontal="right"/>
    </xf>
    <xf numFmtId="3" fontId="31" fillId="6" borderId="0" xfId="8" applyNumberFormat="1" applyFont="1" applyFill="1"/>
    <xf numFmtId="3" fontId="17" fillId="6" borderId="0" xfId="8" applyNumberFormat="1" applyFont="1" applyFill="1"/>
    <xf numFmtId="0" fontId="31" fillId="6" borderId="37" xfId="8" applyFont="1" applyFill="1" applyBorder="1"/>
    <xf numFmtId="0" fontId="31" fillId="6" borderId="0" xfId="8" applyFont="1" applyFill="1" applyAlignment="1">
      <alignment wrapText="1"/>
    </xf>
    <xf numFmtId="44" fontId="33" fillId="6" borderId="37" xfId="8" applyNumberFormat="1" applyFont="1" applyFill="1" applyBorder="1"/>
    <xf numFmtId="0" fontId="31" fillId="6" borderId="34" xfId="8" applyFont="1" applyFill="1" applyBorder="1"/>
    <xf numFmtId="0" fontId="31" fillId="6" borderId="38" xfId="8" applyFont="1" applyFill="1" applyBorder="1"/>
    <xf numFmtId="10" fontId="31" fillId="6" borderId="35" xfId="8" applyNumberFormat="1" applyFont="1" applyFill="1" applyBorder="1"/>
    <xf numFmtId="0" fontId="31" fillId="6" borderId="39" xfId="8" applyFont="1" applyFill="1" applyBorder="1"/>
    <xf numFmtId="0" fontId="31" fillId="6" borderId="41" xfId="8" applyFont="1" applyFill="1" applyBorder="1"/>
    <xf numFmtId="10" fontId="31" fillId="6" borderId="40" xfId="3" applyNumberFormat="1" applyFont="1" applyFill="1" applyBorder="1"/>
    <xf numFmtId="2" fontId="30" fillId="6" borderId="0" xfId="8" applyNumberFormat="1" applyFont="1" applyFill="1"/>
    <xf numFmtId="0" fontId="30" fillId="6" borderId="0" xfId="8" applyFont="1" applyFill="1" applyAlignment="1">
      <alignment horizontal="centerContinuous"/>
    </xf>
    <xf numFmtId="173" fontId="30" fillId="6" borderId="4" xfId="8" applyNumberFormat="1" applyFont="1" applyFill="1" applyBorder="1"/>
    <xf numFmtId="2" fontId="31" fillId="6" borderId="0" xfId="8" applyNumberFormat="1" applyFont="1" applyFill="1"/>
    <xf numFmtId="0" fontId="30" fillId="6" borderId="4" xfId="8" applyFont="1" applyFill="1" applyBorder="1"/>
    <xf numFmtId="0" fontId="31" fillId="6" borderId="4" xfId="8" applyFont="1" applyFill="1" applyBorder="1"/>
    <xf numFmtId="37" fontId="31" fillId="6" borderId="4" xfId="8" applyNumberFormat="1" applyFont="1" applyFill="1" applyBorder="1"/>
    <xf numFmtId="37" fontId="31" fillId="6" borderId="0" xfId="8" applyNumberFormat="1" applyFont="1" applyFill="1"/>
    <xf numFmtId="166" fontId="30" fillId="6" borderId="42" xfId="8" applyNumberFormat="1" applyFont="1" applyFill="1" applyBorder="1"/>
    <xf numFmtId="166" fontId="30" fillId="6" borderId="0" xfId="8" applyNumberFormat="1" applyFont="1" applyFill="1"/>
    <xf numFmtId="171" fontId="31" fillId="6" borderId="0" xfId="8" applyNumberFormat="1" applyFont="1" applyFill="1"/>
    <xf numFmtId="4" fontId="31" fillId="6" borderId="0" xfId="8" applyNumberFormat="1" applyFont="1" applyFill="1"/>
    <xf numFmtId="3" fontId="31" fillId="6" borderId="4" xfId="8" applyNumberFormat="1" applyFont="1" applyFill="1" applyBorder="1"/>
    <xf numFmtId="0" fontId="30" fillId="6" borderId="16" xfId="8" applyFont="1" applyFill="1" applyBorder="1"/>
    <xf numFmtId="2" fontId="30" fillId="6" borderId="16" xfId="8" applyNumberFormat="1" applyFont="1" applyFill="1" applyBorder="1"/>
    <xf numFmtId="2" fontId="34" fillId="6" borderId="0" xfId="8" applyNumberFormat="1" applyFont="1" applyFill="1"/>
    <xf numFmtId="10" fontId="31" fillId="6" borderId="0" xfId="8" applyNumberFormat="1" applyFont="1" applyFill="1" applyAlignment="1">
      <alignment horizontal="center"/>
    </xf>
    <xf numFmtId="0" fontId="31" fillId="6" borderId="43" xfId="8" applyFont="1" applyFill="1" applyBorder="1"/>
    <xf numFmtId="10" fontId="31" fillId="6" borderId="44" xfId="8" applyNumberFormat="1" applyFont="1" applyFill="1" applyBorder="1"/>
    <xf numFmtId="174" fontId="31" fillId="6" borderId="45" xfId="8" applyNumberFormat="1" applyFont="1" applyFill="1" applyBorder="1" applyAlignment="1">
      <alignment horizontal="center"/>
    </xf>
    <xf numFmtId="174" fontId="31" fillId="6" borderId="46" xfId="8" applyNumberFormat="1" applyFont="1" applyFill="1" applyBorder="1" applyAlignment="1">
      <alignment horizontal="center"/>
    </xf>
    <xf numFmtId="174" fontId="31" fillId="6" borderId="47" xfId="8" applyNumberFormat="1" applyFont="1" applyFill="1" applyBorder="1" applyAlignment="1">
      <alignment horizontal="center"/>
    </xf>
    <xf numFmtId="174" fontId="31" fillId="6" borderId="48" xfId="8" applyNumberFormat="1" applyFont="1" applyFill="1" applyBorder="1" applyAlignment="1">
      <alignment horizontal="center"/>
    </xf>
    <xf numFmtId="174" fontId="31" fillId="6" borderId="0" xfId="8" applyNumberFormat="1" applyFont="1" applyFill="1" applyAlignment="1">
      <alignment horizontal="center"/>
    </xf>
    <xf numFmtId="174" fontId="31" fillId="6" borderId="49" xfId="8" applyNumberFormat="1" applyFont="1" applyFill="1" applyBorder="1" applyAlignment="1">
      <alignment horizontal="center"/>
    </xf>
    <xf numFmtId="0" fontId="31" fillId="6" borderId="0" xfId="8" applyFont="1" applyFill="1" applyAlignment="1">
      <alignment horizontal="center"/>
    </xf>
    <xf numFmtId="174" fontId="31" fillId="6" borderId="50" xfId="8" applyNumberFormat="1" applyFont="1" applyFill="1" applyBorder="1" applyAlignment="1">
      <alignment horizontal="center"/>
    </xf>
    <xf numFmtId="174" fontId="31" fillId="6" borderId="51" xfId="8" applyNumberFormat="1" applyFont="1" applyFill="1" applyBorder="1" applyAlignment="1">
      <alignment horizontal="center"/>
    </xf>
    <xf numFmtId="174" fontId="31" fillId="6" borderId="52" xfId="8" applyNumberFormat="1" applyFont="1" applyFill="1" applyBorder="1" applyAlignment="1">
      <alignment horizontal="center"/>
    </xf>
    <xf numFmtId="10" fontId="31" fillId="6" borderId="0" xfId="8" applyNumberFormat="1" applyFont="1" applyFill="1"/>
    <xf numFmtId="0" fontId="32" fillId="6" borderId="0" xfId="0" applyFont="1" applyFill="1"/>
    <xf numFmtId="4" fontId="31" fillId="6" borderId="0" xfId="8" quotePrefix="1" applyNumberFormat="1" applyFont="1" applyFill="1" applyAlignment="1">
      <alignment horizontal="center"/>
    </xf>
    <xf numFmtId="4" fontId="30" fillId="6" borderId="16" xfId="8" applyNumberFormat="1" applyFont="1" applyFill="1" applyBorder="1"/>
    <xf numFmtId="4" fontId="30" fillId="6" borderId="0" xfId="8" applyNumberFormat="1" applyFont="1" applyFill="1"/>
    <xf numFmtId="4" fontId="34" fillId="6" borderId="0" xfId="8" applyNumberFormat="1" applyFont="1" applyFill="1"/>
    <xf numFmtId="10" fontId="31" fillId="6" borderId="4" xfId="4" applyNumberFormat="1" applyFont="1" applyFill="1" applyBorder="1" applyAlignment="1">
      <alignment horizontal="center"/>
    </xf>
    <xf numFmtId="0" fontId="31" fillId="6" borderId="0" xfId="8" applyFont="1" applyFill="1" applyAlignment="1">
      <alignment horizontal="centerContinuous" vertical="center"/>
    </xf>
    <xf numFmtId="166" fontId="3" fillId="4" borderId="8" xfId="4" applyNumberFormat="1" applyFont="1" applyFill="1" applyBorder="1"/>
    <xf numFmtId="9" fontId="5" fillId="4" borderId="0" xfId="4" applyFont="1" applyFill="1"/>
    <xf numFmtId="9" fontId="5" fillId="4" borderId="0" xfId="4" applyFont="1" applyFill="1" applyBorder="1"/>
    <xf numFmtId="166" fontId="5" fillId="4" borderId="0" xfId="4" applyNumberFormat="1" applyFont="1" applyFill="1" applyBorder="1"/>
    <xf numFmtId="166" fontId="5" fillId="4" borderId="0" xfId="4" applyNumberFormat="1" applyFont="1" applyFill="1"/>
    <xf numFmtId="164" fontId="5" fillId="11" borderId="0" xfId="2" applyNumberFormat="1" applyFont="1" applyFill="1"/>
    <xf numFmtId="164" fontId="5" fillId="17" borderId="1" xfId="2" applyNumberFormat="1" applyFont="1" applyFill="1" applyBorder="1"/>
    <xf numFmtId="164" fontId="5" fillId="19" borderId="0" xfId="2" applyNumberFormat="1" applyFont="1" applyFill="1" applyBorder="1"/>
    <xf numFmtId="164" fontId="35" fillId="18" borderId="1" xfId="2" applyNumberFormat="1" applyFont="1" applyFill="1" applyBorder="1" applyAlignment="1">
      <alignment horizontal="right"/>
    </xf>
    <xf numFmtId="0" fontId="17" fillId="6" borderId="37" xfId="0" applyFont="1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9" xfId="0" applyFill="1" applyBorder="1"/>
    <xf numFmtId="0" fontId="0" fillId="6" borderId="41" xfId="0" applyFill="1" applyBorder="1"/>
    <xf numFmtId="0" fontId="17" fillId="6" borderId="40" xfId="0" applyFont="1" applyFill="1" applyBorder="1"/>
    <xf numFmtId="166" fontId="36" fillId="19" borderId="22" xfId="4" applyNumberFormat="1" applyFont="1" applyFill="1" applyBorder="1"/>
    <xf numFmtId="166" fontId="36" fillId="19" borderId="0" xfId="4" applyNumberFormat="1" applyFont="1" applyFill="1" applyBorder="1"/>
    <xf numFmtId="166" fontId="11" fillId="0" borderId="0" xfId="4" applyNumberFormat="1" applyFont="1" applyFill="1"/>
    <xf numFmtId="0" fontId="5" fillId="0" borderId="0" xfId="1" applyFont="1"/>
    <xf numFmtId="3" fontId="5" fillId="0" borderId="18" xfId="0" applyNumberFormat="1" applyFont="1" applyBorder="1"/>
    <xf numFmtId="164" fontId="5" fillId="0" borderId="3" xfId="2" applyNumberFormat="1" applyFont="1" applyFill="1" applyBorder="1"/>
    <xf numFmtId="164" fontId="5" fillId="0" borderId="4" xfId="2" applyNumberFormat="1" applyFont="1" applyFill="1" applyBorder="1"/>
    <xf numFmtId="164" fontId="5" fillId="0" borderId="0" xfId="2" applyNumberFormat="1" applyFont="1" applyFill="1" applyBorder="1"/>
    <xf numFmtId="10" fontId="36" fillId="4" borderId="22" xfId="4" applyNumberFormat="1" applyFont="1" applyFill="1" applyBorder="1"/>
    <xf numFmtId="10" fontId="36" fillId="4" borderId="0" xfId="4" applyNumberFormat="1" applyFont="1" applyFill="1"/>
    <xf numFmtId="166" fontId="36" fillId="4" borderId="22" xfId="1" applyNumberFormat="1" applyFont="1" applyFill="1" applyBorder="1"/>
    <xf numFmtId="166" fontId="36" fillId="4" borderId="0" xfId="1" applyNumberFormat="1" applyFont="1" applyFill="1"/>
    <xf numFmtId="166" fontId="21" fillId="4" borderId="22" xfId="1" applyNumberFormat="1" applyFont="1" applyFill="1" applyBorder="1"/>
    <xf numFmtId="166" fontId="21" fillId="4" borderId="0" xfId="1" applyNumberFormat="1" applyFont="1" applyFill="1"/>
    <xf numFmtId="0" fontId="25" fillId="0" borderId="0" xfId="7"/>
    <xf numFmtId="10" fontId="30" fillId="6" borderId="0" xfId="8" applyNumberFormat="1" applyFont="1" applyFill="1" applyAlignment="1">
      <alignment horizontal="center"/>
    </xf>
    <xf numFmtId="10" fontId="30" fillId="6" borderId="4" xfId="4" applyNumberFormat="1" applyFont="1" applyFill="1" applyBorder="1" applyAlignment="1">
      <alignment horizontal="center"/>
    </xf>
    <xf numFmtId="43" fontId="5" fillId="11" borderId="17" xfId="5" applyFont="1" applyFill="1" applyBorder="1"/>
    <xf numFmtId="43" fontId="5" fillId="4" borderId="17" xfId="5" applyFont="1" applyFill="1" applyBorder="1"/>
    <xf numFmtId="168" fontId="0" fillId="0" borderId="0" xfId="0" applyNumberFormat="1"/>
    <xf numFmtId="43" fontId="11" fillId="4" borderId="0" xfId="5" applyFont="1" applyFill="1"/>
    <xf numFmtId="0" fontId="25" fillId="6" borderId="0" xfId="7" applyFill="1"/>
    <xf numFmtId="0" fontId="37" fillId="21" borderId="28" xfId="0" applyFont="1" applyFill="1" applyBorder="1"/>
    <xf numFmtId="174" fontId="37" fillId="21" borderId="30" xfId="6" applyNumberFormat="1" applyFont="1" applyFill="1" applyBorder="1"/>
    <xf numFmtId="0" fontId="37" fillId="21" borderId="22" xfId="0" applyFont="1" applyFill="1" applyBorder="1"/>
    <xf numFmtId="174" fontId="37" fillId="21" borderId="32" xfId="6" applyNumberFormat="1" applyFont="1" applyFill="1" applyBorder="1"/>
    <xf numFmtId="10" fontId="37" fillId="21" borderId="32" xfId="4" applyNumberFormat="1" applyFont="1" applyFill="1" applyBorder="1"/>
    <xf numFmtId="0" fontId="37" fillId="21" borderId="24" xfId="0" applyFont="1" applyFill="1" applyBorder="1"/>
    <xf numFmtId="10" fontId="37" fillId="21" borderId="31" xfId="4" applyNumberFormat="1" applyFont="1" applyFill="1" applyBorder="1"/>
    <xf numFmtId="0" fontId="0" fillId="22" borderId="36" xfId="0" applyFill="1" applyBorder="1" applyAlignment="1">
      <alignment horizontal="right"/>
    </xf>
    <xf numFmtId="0" fontId="22" fillId="22" borderId="53" xfId="0" applyFont="1" applyFill="1" applyBorder="1"/>
    <xf numFmtId="0" fontId="37" fillId="6" borderId="0" xfId="0" applyFont="1" applyFill="1"/>
    <xf numFmtId="0" fontId="39" fillId="23" borderId="0" xfId="8" applyFont="1" applyFill="1" applyAlignment="1">
      <alignment horizontal="centerContinuous"/>
    </xf>
    <xf numFmtId="2" fontId="39" fillId="23" borderId="37" xfId="8" applyNumberFormat="1" applyFont="1" applyFill="1" applyBorder="1"/>
    <xf numFmtId="2" fontId="39" fillId="23" borderId="40" xfId="8" applyNumberFormat="1" applyFont="1" applyFill="1" applyBorder="1"/>
    <xf numFmtId="174" fontId="40" fillId="24" borderId="34" xfId="8" applyNumberFormat="1" applyFont="1" applyFill="1" applyBorder="1" applyAlignment="1">
      <alignment horizontal="center"/>
    </xf>
    <xf numFmtId="174" fontId="40" fillId="24" borderId="38" xfId="8" applyNumberFormat="1" applyFont="1" applyFill="1" applyBorder="1" applyAlignment="1">
      <alignment horizontal="center"/>
    </xf>
    <xf numFmtId="174" fontId="40" fillId="24" borderId="35" xfId="8" applyNumberFormat="1" applyFont="1" applyFill="1" applyBorder="1" applyAlignment="1">
      <alignment horizontal="center"/>
    </xf>
    <xf numFmtId="174" fontId="40" fillId="24" borderId="36" xfId="8" applyNumberFormat="1" applyFont="1" applyFill="1" applyBorder="1" applyAlignment="1">
      <alignment horizontal="center"/>
    </xf>
    <xf numFmtId="174" fontId="39" fillId="23" borderId="0" xfId="8" applyNumberFormat="1" applyFont="1" applyFill="1" applyAlignment="1">
      <alignment horizontal="center"/>
    </xf>
    <xf numFmtId="174" fontId="40" fillId="24" borderId="37" xfId="8" applyNumberFormat="1" applyFont="1" applyFill="1" applyBorder="1" applyAlignment="1">
      <alignment horizontal="center"/>
    </xf>
    <xf numFmtId="174" fontId="40" fillId="24" borderId="39" xfId="8" applyNumberFormat="1" applyFont="1" applyFill="1" applyBorder="1" applyAlignment="1">
      <alignment horizontal="center"/>
    </xf>
    <xf numFmtId="174" fontId="40" fillId="24" borderId="41" xfId="8" applyNumberFormat="1" applyFont="1" applyFill="1" applyBorder="1" applyAlignment="1">
      <alignment horizontal="center"/>
    </xf>
    <xf numFmtId="174" fontId="40" fillId="24" borderId="40" xfId="8" applyNumberFormat="1" applyFont="1" applyFill="1" applyBorder="1" applyAlignment="1">
      <alignment horizontal="center"/>
    </xf>
    <xf numFmtId="174" fontId="31" fillId="25" borderId="46" xfId="8" applyNumberFormat="1" applyFont="1" applyFill="1" applyBorder="1" applyAlignment="1">
      <alignment horizontal="center"/>
    </xf>
    <xf numFmtId="174" fontId="31" fillId="25" borderId="0" xfId="8" applyNumberFormat="1" applyFont="1" applyFill="1" applyAlignment="1">
      <alignment horizontal="center"/>
    </xf>
    <xf numFmtId="174" fontId="31" fillId="25" borderId="51" xfId="8" applyNumberFormat="1" applyFont="1" applyFill="1" applyBorder="1" applyAlignment="1">
      <alignment horizontal="center"/>
    </xf>
    <xf numFmtId="174" fontId="31" fillId="25" borderId="48" xfId="8" applyNumberFormat="1" applyFont="1" applyFill="1" applyBorder="1" applyAlignment="1">
      <alignment horizontal="center"/>
    </xf>
    <xf numFmtId="174" fontId="31" fillId="25" borderId="49" xfId="8" applyNumberFormat="1" applyFont="1" applyFill="1" applyBorder="1" applyAlignment="1">
      <alignment horizontal="center"/>
    </xf>
    <xf numFmtId="44" fontId="39" fillId="6" borderId="37" xfId="6" applyFont="1" applyFill="1" applyBorder="1"/>
    <xf numFmtId="0" fontId="41" fillId="20" borderId="28" xfId="0" applyFont="1" applyFill="1" applyBorder="1"/>
    <xf numFmtId="0" fontId="41" fillId="20" borderId="5" xfId="0" applyFont="1" applyFill="1" applyBorder="1"/>
    <xf numFmtId="0" fontId="41" fillId="20" borderId="30" xfId="0" applyFont="1" applyFill="1" applyBorder="1"/>
    <xf numFmtId="164" fontId="5" fillId="27" borderId="0" xfId="2" applyNumberFormat="1" applyFont="1" applyFill="1" applyBorder="1"/>
    <xf numFmtId="166" fontId="36" fillId="27" borderId="22" xfId="4" applyNumberFormat="1" applyFont="1" applyFill="1" applyBorder="1"/>
    <xf numFmtId="166" fontId="36" fillId="27" borderId="0" xfId="4" applyNumberFormat="1" applyFont="1" applyFill="1" applyBorder="1"/>
    <xf numFmtId="0" fontId="0" fillId="6" borderId="22" xfId="0" applyFill="1" applyBorder="1"/>
    <xf numFmtId="164" fontId="5" fillId="5" borderId="22" xfId="2" applyNumberFormat="1" applyFont="1" applyFill="1" applyBorder="1"/>
    <xf numFmtId="0" fontId="0" fillId="6" borderId="0" xfId="0" applyFill="1" applyAlignment="1">
      <alignment wrapText="1"/>
    </xf>
    <xf numFmtId="166" fontId="5" fillId="5" borderId="0" xfId="4" applyNumberFormat="1" applyFont="1" applyFill="1" applyBorder="1"/>
    <xf numFmtId="166" fontId="21" fillId="5" borderId="22" xfId="4" applyNumberFormat="1" applyFont="1" applyFill="1" applyBorder="1"/>
    <xf numFmtId="166" fontId="21" fillId="5" borderId="0" xfId="4" applyNumberFormat="1" applyFont="1" applyFill="1" applyBorder="1"/>
    <xf numFmtId="166" fontId="0" fillId="6" borderId="0" xfId="4" applyNumberFormat="1" applyFont="1" applyFill="1"/>
    <xf numFmtId="164" fontId="0" fillId="6" borderId="22" xfId="4" applyNumberFormat="1" applyFont="1" applyFill="1" applyBorder="1"/>
    <xf numFmtId="166" fontId="3" fillId="5" borderId="0" xfId="4" applyNumberFormat="1" applyFont="1" applyFill="1" applyBorder="1"/>
    <xf numFmtId="166" fontId="36" fillId="5" borderId="22" xfId="4" applyNumberFormat="1" applyFont="1" applyFill="1" applyBorder="1"/>
    <xf numFmtId="166" fontId="36" fillId="5" borderId="0" xfId="4" applyNumberFormat="1" applyFont="1" applyFill="1" applyBorder="1"/>
    <xf numFmtId="164" fontId="5" fillId="8" borderId="21" xfId="2" applyNumberFormat="1" applyFont="1" applyFill="1" applyBorder="1"/>
    <xf numFmtId="164" fontId="5" fillId="8" borderId="23" xfId="2" applyNumberFormat="1" applyFont="1" applyFill="1" applyBorder="1"/>
    <xf numFmtId="164" fontId="5" fillId="8" borderId="0" xfId="2" applyNumberFormat="1" applyFont="1" applyFill="1" applyBorder="1"/>
    <xf numFmtId="166" fontId="3" fillId="8" borderId="0" xfId="4" applyNumberFormat="1" applyFont="1" applyFill="1" applyBorder="1"/>
    <xf numFmtId="166" fontId="21" fillId="8" borderId="22" xfId="4" applyNumberFormat="1" applyFont="1" applyFill="1" applyBorder="1"/>
    <xf numFmtId="166" fontId="21" fillId="8" borderId="0" xfId="4" applyNumberFormat="1" applyFont="1" applyFill="1" applyBorder="1"/>
    <xf numFmtId="164" fontId="5" fillId="8" borderId="22" xfId="2" applyNumberFormat="1" applyFont="1" applyFill="1" applyBorder="1"/>
    <xf numFmtId="9" fontId="0" fillId="6" borderId="0" xfId="4" applyFont="1" applyFill="1"/>
    <xf numFmtId="164" fontId="5" fillId="5" borderId="21" xfId="2" applyNumberFormat="1" applyFont="1" applyFill="1" applyBorder="1"/>
    <xf numFmtId="164" fontId="5" fillId="5" borderId="23" xfId="2" applyNumberFormat="1" applyFont="1" applyFill="1" applyBorder="1"/>
    <xf numFmtId="166" fontId="0" fillId="6" borderId="22" xfId="4" applyNumberFormat="1" applyFont="1" applyFill="1" applyBorder="1"/>
    <xf numFmtId="166" fontId="0" fillId="6" borderId="22" xfId="0" applyNumberFormat="1" applyFill="1" applyBorder="1"/>
    <xf numFmtId="0" fontId="6" fillId="23" borderId="0" xfId="1" applyFont="1" applyFill="1"/>
    <xf numFmtId="0" fontId="6" fillId="23" borderId="22" xfId="1" applyFont="1" applyFill="1" applyBorder="1"/>
    <xf numFmtId="0" fontId="6" fillId="28" borderId="0" xfId="1" applyFont="1" applyFill="1"/>
    <xf numFmtId="0" fontId="6" fillId="23" borderId="28" xfId="1" applyFont="1" applyFill="1" applyBorder="1"/>
    <xf numFmtId="0" fontId="6" fillId="23" borderId="5" xfId="1" applyFont="1" applyFill="1" applyBorder="1" applyAlignment="1">
      <alignment horizontal="center"/>
    </xf>
    <xf numFmtId="0" fontId="6" fillId="23" borderId="5" xfId="1" applyFont="1" applyFill="1" applyBorder="1"/>
    <xf numFmtId="0" fontId="6" fillId="23" borderId="30" xfId="1" applyFont="1" applyFill="1" applyBorder="1"/>
    <xf numFmtId="164" fontId="5" fillId="5" borderId="32" xfId="2" applyNumberFormat="1" applyFont="1" applyFill="1" applyBorder="1"/>
    <xf numFmtId="166" fontId="21" fillId="5" borderId="32" xfId="4" applyNumberFormat="1" applyFont="1" applyFill="1" applyBorder="1"/>
    <xf numFmtId="0" fontId="6" fillId="23" borderId="0" xfId="1" applyFont="1" applyFill="1" applyAlignment="1">
      <alignment horizontal="center"/>
    </xf>
    <xf numFmtId="0" fontId="6" fillId="23" borderId="32" xfId="1" applyFont="1" applyFill="1" applyBorder="1"/>
    <xf numFmtId="166" fontId="36" fillId="5" borderId="32" xfId="4" applyNumberFormat="1" applyFont="1" applyFill="1" applyBorder="1"/>
    <xf numFmtId="164" fontId="5" fillId="8" borderId="33" xfId="2" applyNumberFormat="1" applyFont="1" applyFill="1" applyBorder="1"/>
    <xf numFmtId="166" fontId="21" fillId="8" borderId="32" xfId="4" applyNumberFormat="1" applyFont="1" applyFill="1" applyBorder="1"/>
    <xf numFmtId="164" fontId="5" fillId="8" borderId="32" xfId="2" applyNumberFormat="1" applyFont="1" applyFill="1" applyBorder="1"/>
    <xf numFmtId="164" fontId="5" fillId="5" borderId="31" xfId="2" applyNumberFormat="1" applyFont="1" applyFill="1" applyBorder="1"/>
    <xf numFmtId="164" fontId="5" fillId="5" borderId="33" xfId="2" applyNumberFormat="1" applyFont="1" applyFill="1" applyBorder="1"/>
    <xf numFmtId="166" fontId="0" fillId="6" borderId="0" xfId="4" applyNumberFormat="1" applyFont="1" applyFill="1" applyBorder="1"/>
    <xf numFmtId="166" fontId="0" fillId="6" borderId="32" xfId="4" applyNumberFormat="1" applyFont="1" applyFill="1" applyBorder="1"/>
    <xf numFmtId="166" fontId="0" fillId="6" borderId="4" xfId="4" applyNumberFormat="1" applyFont="1" applyFill="1" applyBorder="1"/>
    <xf numFmtId="166" fontId="0" fillId="6" borderId="24" xfId="4" applyNumberFormat="1" applyFont="1" applyFill="1" applyBorder="1"/>
    <xf numFmtId="166" fontId="0" fillId="6" borderId="31" xfId="4" applyNumberFormat="1" applyFont="1" applyFill="1" applyBorder="1"/>
    <xf numFmtId="0" fontId="6" fillId="23" borderId="55" xfId="1" applyFont="1" applyFill="1" applyBorder="1"/>
    <xf numFmtId="0" fontId="0" fillId="6" borderId="56" xfId="0" applyFill="1" applyBorder="1"/>
    <xf numFmtId="0" fontId="0" fillId="6" borderId="56" xfId="0" applyFill="1" applyBorder="1" applyAlignment="1">
      <alignment horizontal="left" indent="2"/>
    </xf>
    <xf numFmtId="0" fontId="6" fillId="23" borderId="56" xfId="1" applyFont="1" applyFill="1" applyBorder="1"/>
    <xf numFmtId="164" fontId="5" fillId="6" borderId="56" xfId="2" applyNumberFormat="1" applyFont="1" applyFill="1" applyBorder="1"/>
    <xf numFmtId="164" fontId="5" fillId="8" borderId="56" xfId="2" applyNumberFormat="1" applyFont="1" applyFill="1" applyBorder="1" applyAlignment="1">
      <alignment horizontal="left" indent="2"/>
    </xf>
    <xf numFmtId="164" fontId="5" fillId="8" borderId="56" xfId="2" applyNumberFormat="1" applyFont="1" applyFill="1" applyBorder="1"/>
    <xf numFmtId="164" fontId="5" fillId="8" borderId="54" xfId="2" applyNumberFormat="1" applyFont="1" applyFill="1" applyBorder="1"/>
    <xf numFmtId="164" fontId="5" fillId="8" borderId="57" xfId="2" applyNumberFormat="1" applyFont="1" applyFill="1" applyBorder="1"/>
    <xf numFmtId="164" fontId="5" fillId="8" borderId="58" xfId="2" applyNumberFormat="1" applyFont="1" applyFill="1" applyBorder="1"/>
    <xf numFmtId="164" fontId="35" fillId="26" borderId="56" xfId="2" applyNumberFormat="1" applyFont="1" applyFill="1" applyBorder="1" applyAlignment="1">
      <alignment horizontal="right"/>
    </xf>
    <xf numFmtId="166" fontId="36" fillId="27" borderId="32" xfId="4" applyNumberFormat="1" applyFont="1" applyFill="1" applyBorder="1"/>
    <xf numFmtId="0" fontId="11" fillId="6" borderId="0" xfId="0" applyFont="1" applyFill="1"/>
    <xf numFmtId="43" fontId="0" fillId="0" borderId="0" xfId="5" applyFont="1"/>
    <xf numFmtId="43" fontId="0" fillId="0" borderId="0" xfId="0" applyNumberFormat="1"/>
    <xf numFmtId="167" fontId="0" fillId="0" borderId="0" xfId="0" applyNumberFormat="1"/>
    <xf numFmtId="0" fontId="38" fillId="20" borderId="23" xfId="0" applyFont="1" applyFill="1" applyBorder="1" applyAlignment="1">
      <alignment horizontal="center"/>
    </xf>
    <xf numFmtId="0" fontId="38" fillId="20" borderId="21" xfId="0" applyFont="1" applyFill="1" applyBorder="1" applyAlignment="1">
      <alignment horizontal="center"/>
    </xf>
    <xf numFmtId="0" fontId="38" fillId="20" borderId="33" xfId="0" applyFont="1" applyFill="1" applyBorder="1" applyAlignment="1">
      <alignment horizontal="center"/>
    </xf>
    <xf numFmtId="0" fontId="41" fillId="14" borderId="24" xfId="0" applyFont="1" applyFill="1" applyBorder="1" applyAlignment="1">
      <alignment horizontal="left"/>
    </xf>
    <xf numFmtId="0" fontId="41" fillId="14" borderId="4" xfId="0" applyFont="1" applyFill="1" applyBorder="1" applyAlignment="1">
      <alignment horizontal="left"/>
    </xf>
    <xf numFmtId="0" fontId="41" fillId="14" borderId="31" xfId="0" applyFont="1" applyFill="1" applyBorder="1" applyAlignment="1">
      <alignment horizontal="left"/>
    </xf>
    <xf numFmtId="0" fontId="41" fillId="14" borderId="23" xfId="0" applyFont="1" applyFill="1" applyBorder="1" applyAlignment="1">
      <alignment horizontal="left"/>
    </xf>
    <xf numFmtId="0" fontId="41" fillId="14" borderId="21" xfId="0" applyFont="1" applyFill="1" applyBorder="1" applyAlignment="1">
      <alignment horizontal="left"/>
    </xf>
    <xf numFmtId="0" fontId="41" fillId="14" borderId="33" xfId="0" applyFont="1" applyFill="1" applyBorder="1" applyAlignment="1">
      <alignment horizontal="left"/>
    </xf>
  </cellXfs>
  <cellStyles count="9">
    <cellStyle name="Comma" xfId="5" builtinId="3"/>
    <cellStyle name="Comma 2" xfId="2" xr:uid="{DF20B7FD-A23B-4C5E-ABAE-076E27BC3F2D}"/>
    <cellStyle name="Currency" xfId="6" builtinId="4"/>
    <cellStyle name="Hyperlink" xfId="7" builtinId="8"/>
    <cellStyle name="Normal" xfId="0" builtinId="0"/>
    <cellStyle name="Normal 2" xfId="1" xr:uid="{A4517C55-6C42-4510-A762-290C04DC0B6B}"/>
    <cellStyle name="Normal 3" xfId="8" xr:uid="{40431477-E7AC-48D7-A610-2774F743B6BB}"/>
    <cellStyle name="Percent" xfId="4" builtinId="5"/>
    <cellStyle name="Percent 2" xfId="3" xr:uid="{B7443E2E-602C-427D-93B8-A942768DD94C}"/>
  </cellStyles>
  <dxfs count="0"/>
  <tableStyles count="0" defaultTableStyle="TableStyleMedium2" defaultPivotStyle="PivotStyleLight16"/>
  <colors>
    <mruColors>
      <color rgb="FFFFD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Ratios!$A$13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Ratios!$B$3:$F$3</c:f>
              <c:strCache>
                <c:ptCount val="5"/>
                <c:pt idx="0">
                  <c:v>FY'2018</c:v>
                </c:pt>
                <c:pt idx="1">
                  <c:v>FY'2019</c:v>
                </c:pt>
                <c:pt idx="2">
                  <c:v>FY'2020</c:v>
                </c:pt>
                <c:pt idx="3">
                  <c:v>FY'2021</c:v>
                </c:pt>
                <c:pt idx="4">
                  <c:v>FY'2022</c:v>
                </c:pt>
              </c:strCache>
            </c:strRef>
          </c:cat>
          <c:val>
            <c:numRef>
              <c:f>Ratios!$B$13:$F$13</c:f>
              <c:numCache>
                <c:formatCode>_(* #,##0.0_);_(* \(#,##0.0\);_(* "-"??_);_(@_)</c:formatCode>
                <c:ptCount val="5"/>
                <c:pt idx="0">
                  <c:v>2.8916216395299106</c:v>
                </c:pt>
                <c:pt idx="1">
                  <c:v>1.631817391571132</c:v>
                </c:pt>
                <c:pt idx="2">
                  <c:v>1.5005637242471648</c:v>
                </c:pt>
                <c:pt idx="3">
                  <c:v>1.7904262868529894</c:v>
                </c:pt>
                <c:pt idx="4">
                  <c:v>1.2463602181048243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D-466D-B3AE-1766534D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2316144"/>
        <c:axId val="1159933792"/>
      </c:barChart>
      <c:catAx>
        <c:axId val="115231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933792"/>
        <c:crosses val="autoZero"/>
        <c:auto val="1"/>
        <c:lblAlgn val="ctr"/>
        <c:lblOffset val="100"/>
        <c:noMultiLvlLbl val="0"/>
      </c:catAx>
      <c:valAx>
        <c:axId val="1159933792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rgbClr val="FFDE00"/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31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606425</xdr:colOff>
      <xdr:row>5</xdr:row>
      <xdr:rowOff>117475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237CA-60F5-0983-BEE1-7E1F97D0D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10075" cy="1038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3</xdr:col>
      <xdr:colOff>6350</xdr:colOff>
      <xdr:row>10</xdr:row>
      <xdr:rowOff>34925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EEC8B-D6E0-43F1-862B-118600CD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"/>
          <a:ext cx="2679700" cy="1743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590556</xdr:colOff>
      <xdr:row>3</xdr:row>
      <xdr:rowOff>104775</xdr:rowOff>
    </xdr:from>
    <xdr:to>
      <xdr:col>23</xdr:col>
      <xdr:colOff>285756</xdr:colOff>
      <xdr:row>14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D349A-EC14-FF8B-EA9C-708BAFC21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7" Type="http://schemas.openxmlformats.org/officeDocument/2006/relationships/hyperlink" Target="https://pages.stern.nyu.edu/~adamodar/New_Home_Page/datafile/ctryprem.html" TargetMode="External"/><Relationship Id="rId2" Type="http://schemas.openxmlformats.org/officeDocument/2006/relationships/hyperlink" Target="https://finance.yahoo.com/quote/SPGI/analysis/" TargetMode="External"/><Relationship Id="rId1" Type="http://schemas.openxmlformats.org/officeDocument/2006/relationships/hyperlink" Target="https://www.wsj.com/market-data/stocks/peyields" TargetMode="External"/><Relationship Id="rId6" Type="http://schemas.openxmlformats.org/officeDocument/2006/relationships/hyperlink" Target="https://finance.yahoo.com/quote/AXON/analysis?p=AXON" TargetMode="External"/><Relationship Id="rId5" Type="http://schemas.openxmlformats.org/officeDocument/2006/relationships/hyperlink" Target="https://finance.yahoo.com/quote/AXON?p=AXON&amp;.tsrc=fin-srch" TargetMode="External"/><Relationship Id="rId4" Type="http://schemas.openxmlformats.org/officeDocument/2006/relationships/hyperlink" Target="https://finance.yahoo.com/quote/AXON/analysis?p=AX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DFFE-1D9A-46D4-ADA8-2C3D6C96922F}">
  <dimension ref="A8:B17"/>
  <sheetViews>
    <sheetView workbookViewId="0">
      <selection activeCell="B10" sqref="B10"/>
    </sheetView>
  </sheetViews>
  <sheetFormatPr defaultColWidth="8.7109375" defaultRowHeight="15" x14ac:dyDescent="0.25"/>
  <cols>
    <col min="1" max="1" width="8.7109375" style="125"/>
    <col min="2" max="2" width="19.5703125" style="125" bestFit="1" customWidth="1"/>
    <col min="3" max="16384" width="8.7109375" style="125"/>
  </cols>
  <sheetData>
    <row r="8" spans="1:2" x14ac:dyDescent="0.25">
      <c r="A8" s="125" t="s">
        <v>321</v>
      </c>
      <c r="B8" s="267" t="s">
        <v>322</v>
      </c>
    </row>
    <row r="9" spans="1:2" x14ac:dyDescent="0.25">
      <c r="B9" s="267" t="s">
        <v>323</v>
      </c>
    </row>
    <row r="10" spans="1:2" x14ac:dyDescent="0.25">
      <c r="B10" s="267" t="s">
        <v>324</v>
      </c>
    </row>
    <row r="11" spans="1:2" x14ac:dyDescent="0.25">
      <c r="B11" s="267" t="s">
        <v>325</v>
      </c>
    </row>
    <row r="12" spans="1:2" x14ac:dyDescent="0.25">
      <c r="B12" s="267" t="s">
        <v>326</v>
      </c>
    </row>
    <row r="13" spans="1:2" x14ac:dyDescent="0.25">
      <c r="B13" s="267" t="s">
        <v>327</v>
      </c>
    </row>
    <row r="14" spans="1:2" x14ac:dyDescent="0.25">
      <c r="B14" s="267" t="s">
        <v>328</v>
      </c>
    </row>
    <row r="15" spans="1:2" x14ac:dyDescent="0.25">
      <c r="B15" s="267" t="s">
        <v>329</v>
      </c>
    </row>
    <row r="16" spans="1:2" x14ac:dyDescent="0.25">
      <c r="B16" s="267" t="s">
        <v>330</v>
      </c>
    </row>
    <row r="17" spans="2:2" x14ac:dyDescent="0.25">
      <c r="B17" s="267" t="s">
        <v>331</v>
      </c>
    </row>
  </sheetData>
  <hyperlinks>
    <hyperlink ref="B8" location="'Scenario Analysis'!A1" display="1. Scenario Analysis" xr:uid="{41B546D8-0834-4CEF-B738-CE8747E5AD72}"/>
    <hyperlink ref="B9" location="'DCF FCFE'!A1" display="2. DCF FCFE" xr:uid="{12E3D70E-9281-4EFB-8020-3752109A4F49}"/>
    <hyperlink ref="B10" location="Ke!A1" display="3. Cost of Equity (Ke)" xr:uid="{EFAB5F36-DFBE-42DC-A516-D15621354F66}"/>
    <hyperlink ref="B11" location="'Revenue model'!A1" display="4. Revenue Model" xr:uid="{86399698-74FA-4F18-8A6E-AFAC82988B40}"/>
    <hyperlink ref="B12" location="IS!A1" display="5. Income Statement" xr:uid="{647FDAA1-708B-4D10-B2F7-4E89D972C4C9}"/>
    <hyperlink ref="B13" location="BS!A1" display="6. Balance Sheet" xr:uid="{9869DF81-55EB-41E2-87E9-9EDB9B35B354}"/>
    <hyperlink ref="B14" location="'Derived Cash Flow'!A1" display="7. Derived Cash Flow" xr:uid="{FAD253F2-2D72-48D1-B9CB-297E214FB312}"/>
    <hyperlink ref="B15" location="CF!A1" display="8. Historical Cash Flow" xr:uid="{84CCCF92-9CDB-40CF-B60E-8C7E73147F3D}"/>
    <hyperlink ref="B16" location="Ratios!A1" display="9. Ratios" xr:uid="{5A45FCA1-C72D-46F7-B574-A7556765E887}"/>
    <hyperlink ref="B17" location="Schedules!A1" display="10. Schedules" xr:uid="{B1C18017-3090-4B5C-A549-629E2AA4105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B5D0-EA5B-4660-8989-08FA6CA88C08}">
  <dimension ref="A1:Q24"/>
  <sheetViews>
    <sheetView tabSelected="1" zoomScale="80" zoomScaleNormal="80" workbookViewId="0">
      <selection activeCell="F36" sqref="F36"/>
    </sheetView>
  </sheetViews>
  <sheetFormatPr defaultColWidth="8.7109375" defaultRowHeight="15" x14ac:dyDescent="0.25"/>
  <cols>
    <col min="1" max="1" width="8.7109375" style="125"/>
    <col min="2" max="2" width="26" style="125" bestFit="1" customWidth="1"/>
    <col min="3" max="3" width="12.28515625" style="125" bestFit="1" customWidth="1"/>
    <col min="4" max="6" width="8.7109375" style="125"/>
    <col min="7" max="7" width="13.42578125" style="125" customWidth="1"/>
    <col min="8" max="8" width="8.7109375" style="125"/>
    <col min="9" max="9" width="3" style="125" customWidth="1"/>
    <col min="10" max="12" width="8.7109375" style="125"/>
    <col min="13" max="13" width="13.42578125" style="125" bestFit="1" customWidth="1"/>
    <col min="14" max="14" width="8.7109375" style="125"/>
    <col min="15" max="15" width="2.85546875" style="125" customWidth="1"/>
    <col min="16" max="16384" width="8.7109375" style="125"/>
  </cols>
  <sheetData>
    <row r="1" spans="1:17" x14ac:dyDescent="0.25">
      <c r="A1" s="267" t="s">
        <v>332</v>
      </c>
    </row>
    <row r="3" spans="1:17" x14ac:dyDescent="0.25">
      <c r="G3" s="363" t="s">
        <v>315</v>
      </c>
      <c r="H3" s="364"/>
      <c r="I3" s="364"/>
      <c r="J3" s="364"/>
      <c r="K3" s="365"/>
      <c r="M3" s="363" t="s">
        <v>318</v>
      </c>
      <c r="N3" s="364"/>
      <c r="O3" s="364"/>
      <c r="P3" s="364"/>
      <c r="Q3" s="365"/>
    </row>
    <row r="4" spans="1:17" ht="15.75" thickBot="1" x14ac:dyDescent="0.3">
      <c r="G4" s="275" t="s">
        <v>309</v>
      </c>
      <c r="H4" s="276">
        <v>2</v>
      </c>
      <c r="J4" s="125">
        <v>1</v>
      </c>
      <c r="K4" s="240" t="s">
        <v>306</v>
      </c>
      <c r="M4" s="275" t="s">
        <v>309</v>
      </c>
      <c r="N4" s="276">
        <v>2</v>
      </c>
      <c r="P4" s="125">
        <v>1</v>
      </c>
      <c r="Q4" s="240" t="s">
        <v>306</v>
      </c>
    </row>
    <row r="5" spans="1:17" x14ac:dyDescent="0.25">
      <c r="G5" s="241"/>
      <c r="J5" s="125">
        <v>2</v>
      </c>
      <c r="K5" s="242" t="s">
        <v>307</v>
      </c>
      <c r="M5" s="241"/>
      <c r="P5" s="125">
        <v>2</v>
      </c>
      <c r="Q5" s="242" t="s">
        <v>307</v>
      </c>
    </row>
    <row r="6" spans="1:17" ht="15.75" thickBot="1" x14ac:dyDescent="0.3">
      <c r="G6" s="243"/>
      <c r="H6" s="244"/>
      <c r="I6" s="244"/>
      <c r="J6" s="244">
        <v>3</v>
      </c>
      <c r="K6" s="245" t="s">
        <v>308</v>
      </c>
      <c r="M6" s="243"/>
      <c r="N6" s="244"/>
      <c r="O6" s="244"/>
      <c r="P6" s="244">
        <v>3</v>
      </c>
      <c r="Q6" s="245" t="s">
        <v>308</v>
      </c>
    </row>
    <row r="7" spans="1:17" x14ac:dyDescent="0.25">
      <c r="E7" s="277"/>
    </row>
    <row r="9" spans="1:17" x14ac:dyDescent="0.25">
      <c r="G9" s="363" t="s">
        <v>317</v>
      </c>
      <c r="H9" s="364"/>
      <c r="I9" s="364"/>
      <c r="J9" s="364"/>
      <c r="K9" s="365"/>
      <c r="M9" s="363" t="s">
        <v>319</v>
      </c>
      <c r="N9" s="364"/>
      <c r="O9" s="364"/>
      <c r="P9" s="364"/>
      <c r="Q9" s="365"/>
    </row>
    <row r="10" spans="1:17" ht="15.75" thickBot="1" x14ac:dyDescent="0.3">
      <c r="G10" s="275" t="s">
        <v>309</v>
      </c>
      <c r="H10" s="276">
        <v>2</v>
      </c>
      <c r="J10" s="125">
        <v>1</v>
      </c>
      <c r="K10" s="240" t="s">
        <v>306</v>
      </c>
      <c r="M10" s="275" t="s">
        <v>309</v>
      </c>
      <c r="N10" s="276">
        <v>2</v>
      </c>
      <c r="P10" s="125">
        <v>1</v>
      </c>
      <c r="Q10" s="240" t="s">
        <v>306</v>
      </c>
    </row>
    <row r="11" spans="1:17" x14ac:dyDescent="0.25">
      <c r="B11" s="268" t="s">
        <v>310</v>
      </c>
      <c r="C11" s="269">
        <f>'DCF FCFE'!B8</f>
        <v>254.25</v>
      </c>
      <c r="G11" s="241"/>
      <c r="J11" s="125">
        <v>2</v>
      </c>
      <c r="K11" s="242" t="s">
        <v>307</v>
      </c>
      <c r="M11" s="241"/>
      <c r="P11" s="125">
        <v>2</v>
      </c>
      <c r="Q11" s="242" t="s">
        <v>307</v>
      </c>
    </row>
    <row r="12" spans="1:17" ht="15.75" thickBot="1" x14ac:dyDescent="0.3">
      <c r="B12" s="270" t="s">
        <v>311</v>
      </c>
      <c r="C12" s="271">
        <f ca="1">'DCF FCFE'!B10</f>
        <v>237.06616966946004</v>
      </c>
      <c r="G12" s="243"/>
      <c r="H12" s="244"/>
      <c r="I12" s="244"/>
      <c r="J12" s="244">
        <v>3</v>
      </c>
      <c r="K12" s="245" t="s">
        <v>308</v>
      </c>
      <c r="M12" s="243"/>
      <c r="N12" s="244"/>
      <c r="O12" s="244"/>
      <c r="P12" s="244">
        <v>3</v>
      </c>
      <c r="Q12" s="245" t="s">
        <v>308</v>
      </c>
    </row>
    <row r="13" spans="1:17" x14ac:dyDescent="0.25">
      <c r="B13" s="270" t="s">
        <v>312</v>
      </c>
      <c r="C13" s="271">
        <f ca="1">'DCF FCFE'!B11</f>
        <v>253.927425384478</v>
      </c>
    </row>
    <row r="14" spans="1:17" x14ac:dyDescent="0.25">
      <c r="B14" s="270" t="s">
        <v>313</v>
      </c>
      <c r="C14" s="272">
        <f ca="1">C12/C11-1</f>
        <v>-6.7586353315791436E-2</v>
      </c>
    </row>
    <row r="15" spans="1:17" x14ac:dyDescent="0.25">
      <c r="B15" s="273" t="s">
        <v>314</v>
      </c>
      <c r="C15" s="274">
        <f ca="1">C13/C11-1</f>
        <v>-1.2687300512173039E-3</v>
      </c>
      <c r="G15" s="363" t="s">
        <v>316</v>
      </c>
      <c r="H15" s="364"/>
      <c r="I15" s="364"/>
      <c r="J15" s="364"/>
      <c r="K15" s="365"/>
      <c r="M15" s="363" t="s">
        <v>320</v>
      </c>
      <c r="N15" s="364"/>
      <c r="O15" s="364"/>
      <c r="P15" s="364"/>
      <c r="Q15" s="365"/>
    </row>
    <row r="16" spans="1:17" ht="15.75" thickBot="1" x14ac:dyDescent="0.3">
      <c r="G16" s="275" t="s">
        <v>309</v>
      </c>
      <c r="H16" s="276">
        <v>2</v>
      </c>
      <c r="J16" s="125">
        <v>1</v>
      </c>
      <c r="K16" s="240" t="s">
        <v>306</v>
      </c>
      <c r="M16" s="275" t="s">
        <v>309</v>
      </c>
      <c r="N16" s="276">
        <v>2</v>
      </c>
      <c r="P16" s="125">
        <v>1</v>
      </c>
      <c r="Q16" s="240" t="s">
        <v>306</v>
      </c>
    </row>
    <row r="17" spans="7:17" x14ac:dyDescent="0.25">
      <c r="G17" s="241"/>
      <c r="J17" s="125">
        <v>2</v>
      </c>
      <c r="K17" s="242" t="s">
        <v>307</v>
      </c>
      <c r="M17" s="241"/>
      <c r="P17" s="125">
        <v>2</v>
      </c>
      <c r="Q17" s="242" t="s">
        <v>307</v>
      </c>
    </row>
    <row r="18" spans="7:17" ht="15.75" thickBot="1" x14ac:dyDescent="0.3">
      <c r="G18" s="243"/>
      <c r="H18" s="244"/>
      <c r="I18" s="244"/>
      <c r="J18" s="244">
        <v>3</v>
      </c>
      <c r="K18" s="245" t="s">
        <v>308</v>
      </c>
      <c r="M18" s="243"/>
      <c r="N18" s="244"/>
      <c r="O18" s="244"/>
      <c r="P18" s="244">
        <v>3</v>
      </c>
      <c r="Q18" s="245" t="s">
        <v>308</v>
      </c>
    </row>
    <row r="21" spans="7:17" x14ac:dyDescent="0.25">
      <c r="M21" s="363" t="s">
        <v>338</v>
      </c>
      <c r="N21" s="364"/>
      <c r="O21" s="364"/>
      <c r="P21" s="364"/>
      <c r="Q21" s="365"/>
    </row>
    <row r="22" spans="7:17" ht="15.75" thickBot="1" x14ac:dyDescent="0.3">
      <c r="M22" s="275" t="s">
        <v>309</v>
      </c>
      <c r="N22" s="276">
        <v>2</v>
      </c>
      <c r="P22" s="125">
        <v>1</v>
      </c>
      <c r="Q22" s="240" t="s">
        <v>306</v>
      </c>
    </row>
    <row r="23" spans="7:17" x14ac:dyDescent="0.25">
      <c r="M23" s="241"/>
      <c r="P23" s="125">
        <v>2</v>
      </c>
      <c r="Q23" s="242" t="s">
        <v>307</v>
      </c>
    </row>
    <row r="24" spans="7:17" ht="15.75" thickBot="1" x14ac:dyDescent="0.3">
      <c r="M24" s="243"/>
      <c r="N24" s="244"/>
      <c r="O24" s="244"/>
      <c r="P24" s="244">
        <v>3</v>
      </c>
      <c r="Q24" s="245" t="s">
        <v>308</v>
      </c>
    </row>
  </sheetData>
  <mergeCells count="7">
    <mergeCell ref="M21:Q21"/>
    <mergeCell ref="G3:K3"/>
    <mergeCell ref="G9:K9"/>
    <mergeCell ref="G15:K15"/>
    <mergeCell ref="M3:Q3"/>
    <mergeCell ref="M9:Q9"/>
    <mergeCell ref="M15:Q15"/>
  </mergeCells>
  <dataValidations count="1">
    <dataValidation type="list" allowBlank="1" showInputMessage="1" showErrorMessage="1" sqref="H4 H10 H16 N4 N10 N16 N22" xr:uid="{5B45ECDD-33BE-42C8-8C54-A11919B48D0E}">
      <formula1>"1,2,3"</formula1>
    </dataValidation>
  </dataValidations>
  <hyperlinks>
    <hyperlink ref="A1" location="Index!A1" display="Index" xr:uid="{C8EFA2B3-45B9-4A31-9291-5580F0DBA299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5841-7175-4EB8-9EE9-1A20C4E3361F}">
  <dimension ref="A1:M58"/>
  <sheetViews>
    <sheetView topLeftCell="A19" zoomScale="80" zoomScaleNormal="80" workbookViewId="0">
      <selection activeCell="O38" sqref="O38"/>
    </sheetView>
  </sheetViews>
  <sheetFormatPr defaultColWidth="9" defaultRowHeight="15" x14ac:dyDescent="0.25"/>
  <cols>
    <col min="1" max="1" width="22.5703125" style="125" bestFit="1" customWidth="1"/>
    <col min="2" max="2" width="10.85546875" style="125" bestFit="1" customWidth="1"/>
    <col min="3" max="3" width="9.28515625" style="125" bestFit="1" customWidth="1"/>
    <col min="4" max="4" width="10.42578125" style="125" customWidth="1"/>
    <col min="5" max="5" width="9" style="125"/>
    <col min="6" max="6" width="10" style="125" customWidth="1"/>
    <col min="7" max="7" width="10.5703125" style="125" customWidth="1"/>
    <col min="8" max="8" width="10" style="125" bestFit="1" customWidth="1"/>
    <col min="9" max="9" width="11.140625" style="125" bestFit="1" customWidth="1"/>
    <col min="10" max="10" width="9" style="125"/>
    <col min="11" max="11" width="16.85546875" style="125" bestFit="1" customWidth="1"/>
    <col min="12" max="16384" width="9" style="125"/>
  </cols>
  <sheetData>
    <row r="1" spans="1:13" x14ac:dyDescent="0.25">
      <c r="A1" s="260" t="s">
        <v>332</v>
      </c>
    </row>
    <row r="2" spans="1:13" x14ac:dyDescent="0.25">
      <c r="A2" s="171" t="s">
        <v>294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</row>
    <row r="3" spans="1:13" x14ac:dyDescent="0.25">
      <c r="A3" s="278" t="s">
        <v>295</v>
      </c>
      <c r="B3" s="278"/>
      <c r="C3" s="278"/>
      <c r="D3" s="278"/>
      <c r="E3" s="278"/>
      <c r="F3" s="278"/>
      <c r="G3" s="278"/>
      <c r="H3" s="278"/>
      <c r="I3" s="278"/>
      <c r="J3" s="172"/>
      <c r="K3" s="172"/>
      <c r="L3" s="172"/>
      <c r="M3" s="173"/>
    </row>
    <row r="4" spans="1:13" ht="15.75" thickBot="1" x14ac:dyDescent="0.3">
      <c r="A4" s="171"/>
      <c r="B4" s="172"/>
      <c r="C4" s="172"/>
      <c r="D4" s="172"/>
      <c r="E4" s="172"/>
      <c r="F4" s="172"/>
      <c r="G4" s="172"/>
      <c r="H4" s="172"/>
      <c r="I4" s="174" t="s">
        <v>267</v>
      </c>
      <c r="J4" s="172"/>
      <c r="K4" s="172"/>
      <c r="L4" s="172"/>
      <c r="M4" s="171"/>
    </row>
    <row r="5" spans="1:13" x14ac:dyDescent="0.25">
      <c r="A5" s="175" t="s">
        <v>268</v>
      </c>
      <c r="B5" s="176">
        <f>Ke!D25</f>
        <v>8.5850457465251426E-2</v>
      </c>
      <c r="C5" s="177"/>
      <c r="D5" s="172"/>
      <c r="E5" s="172"/>
      <c r="F5" s="172"/>
      <c r="G5" s="178">
        <f ca="1">TODAY()</f>
        <v>45322</v>
      </c>
      <c r="H5" s="172" t="s">
        <v>269</v>
      </c>
      <c r="I5" s="179">
        <f>Schedules!G8</f>
        <v>72843704</v>
      </c>
      <c r="J5" s="172"/>
      <c r="K5" s="172"/>
      <c r="L5" s="172"/>
      <c r="M5" s="172"/>
    </row>
    <row r="6" spans="1:13" x14ac:dyDescent="0.25">
      <c r="A6" s="180" t="s">
        <v>270</v>
      </c>
      <c r="B6" s="181">
        <v>72862227</v>
      </c>
      <c r="C6" s="182"/>
      <c r="D6" s="183"/>
      <c r="E6" s="172"/>
      <c r="F6" s="172"/>
      <c r="G6" s="178">
        <f ca="1">G5+365</f>
        <v>45687</v>
      </c>
      <c r="H6" s="172" t="s">
        <v>271</v>
      </c>
      <c r="I6" s="184">
        <f>Schedules!H8</f>
        <v>72825181</v>
      </c>
      <c r="J6" s="172"/>
      <c r="K6" s="172"/>
      <c r="L6" s="172"/>
      <c r="M6" s="172"/>
    </row>
    <row r="7" spans="1:13" x14ac:dyDescent="0.25">
      <c r="A7" s="180"/>
      <c r="B7" s="185"/>
      <c r="C7" s="172"/>
      <c r="D7" s="172"/>
      <c r="E7" s="172"/>
      <c r="F7" s="172"/>
      <c r="G7" s="178">
        <f ca="1">G6+366</f>
        <v>46053</v>
      </c>
      <c r="H7" s="172" t="s">
        <v>272</v>
      </c>
      <c r="I7" s="184">
        <f>Schedules!I8</f>
        <v>72806658</v>
      </c>
      <c r="J7" s="186"/>
      <c r="K7" s="172"/>
      <c r="L7" s="172"/>
      <c r="M7" s="172"/>
    </row>
    <row r="8" spans="1:13" x14ac:dyDescent="0.25">
      <c r="A8" s="180" t="s">
        <v>273</v>
      </c>
      <c r="B8" s="187">
        <v>254.25</v>
      </c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</row>
    <row r="9" spans="1:13" ht="15.75" thickBot="1" x14ac:dyDescent="0.3">
      <c r="A9" s="180" t="s">
        <v>274</v>
      </c>
      <c r="B9" s="295">
        <v>243.5</v>
      </c>
      <c r="C9" s="172"/>
      <c r="D9" s="172"/>
      <c r="E9" s="172"/>
      <c r="F9" s="172"/>
      <c r="G9" s="278" t="s">
        <v>275</v>
      </c>
      <c r="H9" s="278"/>
      <c r="I9" s="278"/>
      <c r="J9" s="172"/>
      <c r="K9" s="172"/>
      <c r="L9" s="172"/>
      <c r="M9" s="172"/>
    </row>
    <row r="10" spans="1:13" x14ac:dyDescent="0.25">
      <c r="A10" s="180" t="s">
        <v>276</v>
      </c>
      <c r="B10" s="279">
        <f ca="1">B26</f>
        <v>237.06616966946004</v>
      </c>
      <c r="C10" s="172"/>
      <c r="D10" s="172"/>
      <c r="E10" s="172"/>
      <c r="F10" s="172"/>
      <c r="G10" s="188" t="s">
        <v>277</v>
      </c>
      <c r="H10" s="189"/>
      <c r="I10" s="190">
        <f ca="1">B11/B8-1</f>
        <v>-1.2687300512173039E-3</v>
      </c>
      <c r="J10" s="172"/>
      <c r="K10" s="172"/>
      <c r="L10" s="172"/>
      <c r="M10" s="172"/>
    </row>
    <row r="11" spans="1:13" ht="15.75" thickBot="1" x14ac:dyDescent="0.3">
      <c r="A11" s="191" t="s">
        <v>278</v>
      </c>
      <c r="B11" s="280">
        <f ca="1">B48</f>
        <v>253.927425384478</v>
      </c>
      <c r="C11" s="172"/>
      <c r="D11" s="172"/>
      <c r="E11" s="172"/>
      <c r="F11" s="172"/>
      <c r="G11" s="191" t="s">
        <v>279</v>
      </c>
      <c r="H11" s="192"/>
      <c r="I11" s="193">
        <f ca="1">I10/Ke!D19</f>
        <v>-1.3790544034970693E-3</v>
      </c>
      <c r="J11" s="172"/>
      <c r="K11" s="172"/>
      <c r="L11" s="172"/>
      <c r="M11" s="172"/>
    </row>
    <row r="12" spans="1:13" x14ac:dyDescent="0.25">
      <c r="A12" s="172"/>
      <c r="B12" s="194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</row>
    <row r="13" spans="1:13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</row>
    <row r="14" spans="1:13" x14ac:dyDescent="0.25">
      <c r="A14" s="278" t="s">
        <v>280</v>
      </c>
      <c r="B14" s="278"/>
      <c r="C14" s="278"/>
      <c r="D14" s="278"/>
      <c r="E14" s="278"/>
      <c r="F14" s="278"/>
      <c r="G14" s="278"/>
      <c r="H14" s="278"/>
      <c r="I14" s="278"/>
      <c r="J14" s="172"/>
      <c r="K14" s="172"/>
      <c r="L14" s="172"/>
      <c r="M14" s="172"/>
    </row>
    <row r="15" spans="1:13" x14ac:dyDescent="0.25">
      <c r="A15" s="195"/>
      <c r="B15" s="195"/>
      <c r="C15" s="195"/>
      <c r="D15" s="195"/>
      <c r="E15" s="195"/>
      <c r="F15" s="195"/>
      <c r="G15" s="195"/>
      <c r="H15" s="195"/>
      <c r="I15" s="195"/>
      <c r="J15" s="172"/>
      <c r="K15" s="172"/>
      <c r="L15" s="172"/>
      <c r="M15" s="172"/>
    </row>
    <row r="16" spans="1:13" x14ac:dyDescent="0.25">
      <c r="A16" s="172"/>
      <c r="B16" s="172"/>
      <c r="C16" s="196">
        <v>45291</v>
      </c>
      <c r="D16" s="196">
        <v>45657</v>
      </c>
      <c r="E16" s="196">
        <v>46022</v>
      </c>
      <c r="F16" s="196">
        <v>46387</v>
      </c>
      <c r="G16" s="196">
        <v>46752</v>
      </c>
      <c r="H16" s="196">
        <v>47118</v>
      </c>
      <c r="J16" s="172"/>
      <c r="K16" s="172"/>
      <c r="L16" s="172"/>
      <c r="M16" s="172"/>
    </row>
    <row r="17" spans="1:13" x14ac:dyDescent="0.25">
      <c r="A17" s="171" t="s">
        <v>281</v>
      </c>
      <c r="B17" s="172"/>
      <c r="C17" s="197">
        <f t="shared" ref="C17:H17" ca="1" si="0">MAX((C16-$G$5)/365,0)</f>
        <v>0</v>
      </c>
      <c r="D17" s="197">
        <f t="shared" ca="1" si="0"/>
        <v>0.9178082191780822</v>
      </c>
      <c r="E17" s="197">
        <f t="shared" ca="1" si="0"/>
        <v>1.9178082191780821</v>
      </c>
      <c r="F17" s="197">
        <f t="shared" ca="1" si="0"/>
        <v>2.9178082191780823</v>
      </c>
      <c r="G17" s="197">
        <f t="shared" ca="1" si="0"/>
        <v>3.9178082191780823</v>
      </c>
      <c r="H17" s="197">
        <f t="shared" ca="1" si="0"/>
        <v>4.9205479452054792</v>
      </c>
      <c r="J17" s="172"/>
      <c r="K17" s="172"/>
      <c r="L17" s="172"/>
      <c r="M17" s="172"/>
    </row>
    <row r="18" spans="1:13" x14ac:dyDescent="0.25">
      <c r="A18" s="198" t="s">
        <v>282</v>
      </c>
      <c r="B18" s="199"/>
      <c r="C18" s="200">
        <f>'Derived Cash Flow'!B63</f>
        <v>448507.93452421937</v>
      </c>
      <c r="D18" s="200">
        <f>'Derived Cash Flow'!C63</f>
        <v>257252.25544221251</v>
      </c>
      <c r="E18" s="200">
        <f>'Derived Cash Flow'!D63</f>
        <v>450317.59045955632</v>
      </c>
      <c r="F18" s="200">
        <f>'Derived Cash Flow'!E63</f>
        <v>554237.46849477163</v>
      </c>
      <c r="G18" s="200">
        <f>'Derived Cash Flow'!F63</f>
        <v>1050543.4254962297</v>
      </c>
      <c r="H18" s="200">
        <f>'Derived Cash Flow'!G63</f>
        <v>1405075.9327984806</v>
      </c>
      <c r="J18" s="172"/>
      <c r="K18" s="172"/>
      <c r="L18" s="172"/>
      <c r="M18" s="172"/>
    </row>
    <row r="19" spans="1:13" x14ac:dyDescent="0.25">
      <c r="A19" s="171" t="s">
        <v>283</v>
      </c>
      <c r="B19" s="172"/>
      <c r="C19" s="201">
        <f ca="1">(C18*C17)/((1+$B$5)^C17)</f>
        <v>0</v>
      </c>
      <c r="D19" s="201">
        <f t="shared" ref="D19" ca="1" si="1">D18/((1+$B$5)^D17)</f>
        <v>238522.40188776058</v>
      </c>
      <c r="E19" s="201">
        <f ca="1">E18/((1+$B$5)^E17)</f>
        <v>384519.94904101593</v>
      </c>
      <c r="F19" s="201">
        <f ca="1">F18/((1+$B$5)^F17)</f>
        <v>435838.73755401123</v>
      </c>
      <c r="G19" s="201">
        <f ca="1">G18/((1+$B$5)^G17)</f>
        <v>760806.01258477394</v>
      </c>
      <c r="H19" s="201">
        <f ca="1">H18/((1+$B$5)^H17)</f>
        <v>936896.68683087383</v>
      </c>
      <c r="J19" s="172"/>
      <c r="K19" s="172"/>
      <c r="L19" s="172"/>
      <c r="M19" s="172"/>
    </row>
    <row r="20" spans="1:13" ht="15.75" thickBot="1" x14ac:dyDescent="0.3">
      <c r="A20" s="172"/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</row>
    <row r="21" spans="1:13" ht="15.75" thickBot="1" x14ac:dyDescent="0.3">
      <c r="A21" s="171" t="s">
        <v>284</v>
      </c>
      <c r="B21" s="202">
        <v>0.02</v>
      </c>
      <c r="C21" s="203"/>
      <c r="D21" s="203"/>
      <c r="E21" s="203"/>
      <c r="F21" s="203"/>
      <c r="G21" s="203"/>
      <c r="H21" s="172"/>
      <c r="I21" s="172"/>
      <c r="J21" s="172"/>
      <c r="K21" s="172"/>
      <c r="L21" s="172"/>
      <c r="M21" s="172"/>
    </row>
    <row r="22" spans="1:13" x14ac:dyDescent="0.25">
      <c r="A22" s="171"/>
      <c r="B22" s="203"/>
      <c r="C22" s="203"/>
      <c r="D22" s="203"/>
      <c r="E22" s="203"/>
      <c r="F22" s="203"/>
      <c r="G22" s="203"/>
      <c r="H22" s="172"/>
      <c r="I22" s="172"/>
      <c r="J22" s="203"/>
      <c r="K22" s="172"/>
      <c r="L22" s="172"/>
      <c r="M22" s="172"/>
    </row>
    <row r="23" spans="1:13" x14ac:dyDescent="0.25">
      <c r="A23" s="172" t="s">
        <v>285</v>
      </c>
      <c r="B23" s="183">
        <f>H18*(1+B21)/(B5-B21)</f>
        <v>21764122.932793938</v>
      </c>
      <c r="C23" s="204"/>
      <c r="D23" s="205"/>
      <c r="E23" s="183"/>
      <c r="F23" s="205"/>
      <c r="G23" s="205"/>
      <c r="H23" s="172"/>
      <c r="I23" s="172"/>
      <c r="J23" s="205"/>
      <c r="K23" s="172"/>
      <c r="L23" s="172"/>
      <c r="M23" s="203"/>
    </row>
    <row r="24" spans="1:13" x14ac:dyDescent="0.25">
      <c r="A24" s="199" t="s">
        <v>286</v>
      </c>
      <c r="B24" s="206">
        <f ca="1">(B23/(1+B5)^(H17))</f>
        <v>14512194.103917493</v>
      </c>
      <c r="C24" s="183"/>
      <c r="D24" s="205"/>
      <c r="E24" s="183"/>
      <c r="F24" s="205"/>
      <c r="G24" s="205"/>
      <c r="H24" s="172"/>
      <c r="I24" s="172"/>
      <c r="J24" s="205"/>
      <c r="K24" s="172"/>
      <c r="L24" s="172"/>
      <c r="M24" s="205"/>
    </row>
    <row r="25" spans="1:13" x14ac:dyDescent="0.25">
      <c r="A25" s="172" t="s">
        <v>287</v>
      </c>
      <c r="B25" s="183">
        <f ca="1">SUM(C19:H19)+B24</f>
        <v>17268777.891815927</v>
      </c>
      <c r="C25" s="183"/>
      <c r="D25" s="205"/>
      <c r="E25" s="183"/>
      <c r="F25" s="205"/>
      <c r="G25" s="205"/>
      <c r="H25" s="172"/>
      <c r="I25" s="172"/>
      <c r="J25" s="205"/>
      <c r="K25" s="172"/>
      <c r="L25" s="172"/>
      <c r="M25" s="205"/>
    </row>
    <row r="26" spans="1:13" ht="15.75" thickBot="1" x14ac:dyDescent="0.3">
      <c r="A26" s="207" t="s">
        <v>288</v>
      </c>
      <c r="B26" s="208">
        <f ca="1">(B25*1000)/I5</f>
        <v>237.06616966946004</v>
      </c>
      <c r="C26" s="194"/>
      <c r="D26" s="194"/>
      <c r="E26" s="197"/>
      <c r="F26" s="194"/>
      <c r="G26" s="194"/>
      <c r="H26" s="172"/>
      <c r="I26" s="172"/>
      <c r="J26" s="194"/>
      <c r="K26" s="172"/>
      <c r="L26" s="172"/>
      <c r="M26" s="205"/>
    </row>
    <row r="27" spans="1:13" ht="15.75" thickBot="1" x14ac:dyDescent="0.3">
      <c r="A27" s="172"/>
      <c r="B27" s="172"/>
      <c r="C27" s="173" t="s">
        <v>284</v>
      </c>
      <c r="D27" s="173"/>
      <c r="E27" s="173"/>
      <c r="F27" s="173"/>
      <c r="G27" s="173"/>
      <c r="H27" s="173"/>
      <c r="I27" s="173"/>
      <c r="J27" s="172"/>
      <c r="K27" s="172"/>
      <c r="L27" s="172"/>
      <c r="M27" s="172"/>
    </row>
    <row r="28" spans="1:13" ht="15.75" thickBot="1" x14ac:dyDescent="0.3">
      <c r="A28" s="172"/>
      <c r="B28" s="209">
        <f ca="1">B26</f>
        <v>237.06616966946004</v>
      </c>
      <c r="C28" s="210">
        <f>D28-$L$28</f>
        <v>1.2500000000000001E-2</v>
      </c>
      <c r="D28" s="210">
        <f>E28-$L$28</f>
        <v>1.5000000000000001E-2</v>
      </c>
      <c r="E28" s="210">
        <f>F28-$L$28</f>
        <v>1.7500000000000002E-2</v>
      </c>
      <c r="F28" s="261">
        <v>0.02</v>
      </c>
      <c r="G28" s="210">
        <f>F28+$L$28</f>
        <v>2.2499999999999999E-2</v>
      </c>
      <c r="H28" s="210">
        <f>G28+$L$28</f>
        <v>2.4999999999999998E-2</v>
      </c>
      <c r="I28" s="210">
        <f>H28+$L$28</f>
        <v>2.7499999999999997E-2</v>
      </c>
      <c r="J28" s="172"/>
      <c r="K28" s="211" t="s">
        <v>289</v>
      </c>
      <c r="L28" s="212">
        <v>2.5000000000000001E-3</v>
      </c>
      <c r="M28" s="172"/>
    </row>
    <row r="29" spans="1:13" ht="16.5" thickTop="1" thickBot="1" x14ac:dyDescent="0.3">
      <c r="A29" s="172"/>
      <c r="B29" s="223">
        <f>B30-$L$29</f>
        <v>7.0850457465251412E-2</v>
      </c>
      <c r="C29" s="213">
        <f t="dataTable" ref="C29:I35" dt2D="1" dtr="1" r1="B21" r2="B5" ca="1"/>
        <v>278.75941927936236</v>
      </c>
      <c r="D29" s="214">
        <v>290.07360993707431</v>
      </c>
      <c r="E29" s="214">
        <v>302.44816550965908</v>
      </c>
      <c r="F29" s="290">
        <v>316.0394805952767</v>
      </c>
      <c r="G29" s="214">
        <v>331.03629583519859</v>
      </c>
      <c r="H29" s="214">
        <v>347.66851626723735</v>
      </c>
      <c r="I29" s="215">
        <v>366.21908098034527</v>
      </c>
      <c r="J29" s="172"/>
      <c r="K29" s="211" t="s">
        <v>290</v>
      </c>
      <c r="L29" s="212">
        <v>5.0000000000000001E-3</v>
      </c>
      <c r="M29" s="172"/>
    </row>
    <row r="30" spans="1:13" ht="15.75" thickBot="1" x14ac:dyDescent="0.3">
      <c r="A30" s="172"/>
      <c r="B30" s="223">
        <f>B31-$L$29</f>
        <v>7.5850457465251417E-2</v>
      </c>
      <c r="C30" s="216">
        <v>254.25075235021077</v>
      </c>
      <c r="D30" s="217">
        <v>263.64256236408937</v>
      </c>
      <c r="E30" s="217">
        <v>273.8391484175965</v>
      </c>
      <c r="F30" s="291">
        <v>284.9485816093611</v>
      </c>
      <c r="G30" s="217">
        <v>297.09918986499486</v>
      </c>
      <c r="H30" s="217">
        <v>310.44453744661558</v>
      </c>
      <c r="I30" s="218">
        <v>325.16994928008052</v>
      </c>
      <c r="J30" s="172"/>
      <c r="K30" s="172"/>
      <c r="L30" s="172"/>
      <c r="M30" s="172"/>
    </row>
    <row r="31" spans="1:13" x14ac:dyDescent="0.25">
      <c r="A31" s="172"/>
      <c r="B31" s="223">
        <f>B32-$L$29</f>
        <v>8.0850457465251421E-2</v>
      </c>
      <c r="C31" s="216">
        <v>233.37229634049848</v>
      </c>
      <c r="D31" s="217">
        <v>241.27121906248161</v>
      </c>
      <c r="E31" s="281">
        <v>249.79357238291891</v>
      </c>
      <c r="F31" s="282">
        <v>259.01619597867045</v>
      </c>
      <c r="G31" s="283">
        <v>269.02909817688567</v>
      </c>
      <c r="H31" s="217">
        <v>279.93840325635261</v>
      </c>
      <c r="I31" s="218">
        <v>291.87012741128603</v>
      </c>
      <c r="J31" s="172"/>
      <c r="K31" s="172"/>
      <c r="L31" s="172"/>
      <c r="M31" s="172"/>
    </row>
    <row r="32" spans="1:13" x14ac:dyDescent="0.25">
      <c r="A32" s="219" t="s">
        <v>291</v>
      </c>
      <c r="B32" s="177">
        <v>8.5850457465251426E-2</v>
      </c>
      <c r="C32" s="293">
        <v>215.38067461060965</v>
      </c>
      <c r="D32" s="291">
        <v>222.09904934463358</v>
      </c>
      <c r="E32" s="284">
        <v>229.30888931409064</v>
      </c>
      <c r="F32" s="285">
        <v>237.06616966946004</v>
      </c>
      <c r="G32" s="286">
        <v>245.4357013538451</v>
      </c>
      <c r="H32" s="291">
        <v>254.49294616587301</v>
      </c>
      <c r="I32" s="294">
        <v>264.32629841608349</v>
      </c>
      <c r="J32" s="172"/>
      <c r="K32" s="172"/>
      <c r="L32" s="172"/>
      <c r="M32" s="172"/>
    </row>
    <row r="33" spans="1:13" ht="15.75" thickBot="1" x14ac:dyDescent="0.3">
      <c r="A33" s="172"/>
      <c r="B33" s="223">
        <f>B32+$L$29</f>
        <v>9.085045746525143E-2</v>
      </c>
      <c r="C33" s="216">
        <v>199.72229481554953</v>
      </c>
      <c r="D33" s="217">
        <v>205.49245265873759</v>
      </c>
      <c r="E33" s="287">
        <v>211.65593850849751</v>
      </c>
      <c r="F33" s="288">
        <v>218.254388793934</v>
      </c>
      <c r="G33" s="289">
        <v>225.3355315535789</v>
      </c>
      <c r="H33" s="217">
        <v>232.95434276931476</v>
      </c>
      <c r="I33" s="218">
        <v>241.17447649483012</v>
      </c>
      <c r="J33" s="172"/>
      <c r="K33" s="172"/>
      <c r="L33" s="172"/>
      <c r="M33" s="172"/>
    </row>
    <row r="34" spans="1:13" x14ac:dyDescent="0.25">
      <c r="A34" s="172"/>
      <c r="B34" s="223">
        <f>B33+$L$29</f>
        <v>9.5850457465251435E-2</v>
      </c>
      <c r="C34" s="216">
        <v>185.9764244391163</v>
      </c>
      <c r="D34" s="217">
        <v>190.97458797951705</v>
      </c>
      <c r="E34" s="217">
        <v>196.29171350827747</v>
      </c>
      <c r="F34" s="291">
        <v>201.95933959474357</v>
      </c>
      <c r="G34" s="217">
        <v>208.01330451823404</v>
      </c>
      <c r="H34" s="217">
        <v>214.49450485699751</v>
      </c>
      <c r="I34" s="218">
        <v>221.44982055497852</v>
      </c>
      <c r="J34" s="172"/>
      <c r="K34" s="172"/>
      <c r="L34" s="172"/>
      <c r="M34" s="172"/>
    </row>
    <row r="35" spans="1:13" ht="15.75" thickBot="1" x14ac:dyDescent="0.3">
      <c r="A35" s="172"/>
      <c r="B35" s="223">
        <f>B34+$L$29</f>
        <v>0.10085045746525144</v>
      </c>
      <c r="C35" s="220">
        <v>173.8175954501358</v>
      </c>
      <c r="D35" s="221">
        <v>178.17972398923106</v>
      </c>
      <c r="E35" s="221">
        <v>182.80352646940298</v>
      </c>
      <c r="F35" s="292">
        <v>187.71327677381319</v>
      </c>
      <c r="G35" s="221">
        <v>192.93634690195185</v>
      </c>
      <c r="H35" s="221">
        <v>198.50371753286134</v>
      </c>
      <c r="I35" s="222">
        <v>204.45059299736704</v>
      </c>
      <c r="J35" s="172"/>
      <c r="K35" s="172"/>
      <c r="L35" s="172"/>
      <c r="M35" s="172"/>
    </row>
    <row r="36" spans="1:13" ht="15.75" thickTop="1" x14ac:dyDescent="0.25">
      <c r="A36" s="172"/>
      <c r="B36" s="223"/>
      <c r="C36" s="197"/>
      <c r="D36" s="197"/>
      <c r="E36" s="197"/>
      <c r="F36" s="197"/>
      <c r="G36" s="197"/>
      <c r="H36" s="197"/>
      <c r="I36" s="197"/>
      <c r="J36" s="172"/>
      <c r="K36" s="172"/>
      <c r="L36" s="172"/>
      <c r="M36" s="172"/>
    </row>
    <row r="37" spans="1:13" x14ac:dyDescent="0.25">
      <c r="A37" s="223"/>
      <c r="B37" s="197"/>
      <c r="C37" s="197"/>
      <c r="D37" s="197"/>
      <c r="E37" s="197"/>
      <c r="F37" s="197"/>
      <c r="G37" s="197"/>
      <c r="H37" s="197"/>
      <c r="I37" s="172"/>
      <c r="J37" s="172"/>
      <c r="K37" s="172"/>
      <c r="L37" s="172"/>
      <c r="M37" s="172"/>
    </row>
    <row r="38" spans="1:13" x14ac:dyDescent="0.25">
      <c r="A38" s="278" t="s">
        <v>292</v>
      </c>
      <c r="B38" s="278"/>
      <c r="C38" s="278"/>
      <c r="D38" s="278"/>
      <c r="E38" s="278"/>
      <c r="F38" s="278"/>
      <c r="G38" s="278"/>
      <c r="H38" s="278"/>
      <c r="I38" s="278"/>
      <c r="J38" s="172"/>
      <c r="K38" s="172"/>
      <c r="L38" s="172"/>
      <c r="M38" s="172"/>
    </row>
    <row r="39" spans="1:13" x14ac:dyDescent="0.25">
      <c r="A39" s="195"/>
      <c r="B39" s="195"/>
      <c r="C39" s="195"/>
      <c r="D39" s="195"/>
      <c r="E39" s="195"/>
      <c r="F39" s="195"/>
      <c r="G39" s="195"/>
      <c r="H39" s="195"/>
      <c r="I39" s="195"/>
      <c r="J39" s="172"/>
      <c r="K39" s="172"/>
      <c r="L39" s="172"/>
      <c r="M39" s="172"/>
    </row>
    <row r="40" spans="1:13" x14ac:dyDescent="0.25">
      <c r="A40" s="172"/>
      <c r="B40" s="172"/>
      <c r="C40" s="196">
        <v>45291</v>
      </c>
      <c r="D40" s="196">
        <v>45657</v>
      </c>
      <c r="E40" s="196">
        <v>46022</v>
      </c>
      <c r="F40" s="196">
        <v>46387</v>
      </c>
      <c r="G40" s="196">
        <v>46752</v>
      </c>
      <c r="H40" s="196">
        <v>47118</v>
      </c>
      <c r="I40" s="172"/>
      <c r="J40" s="224"/>
      <c r="K40" s="224"/>
      <c r="L40" s="172"/>
      <c r="M40" s="172"/>
    </row>
    <row r="41" spans="1:13" x14ac:dyDescent="0.25">
      <c r="A41" s="171" t="s">
        <v>293</v>
      </c>
      <c r="B41" s="172"/>
      <c r="C41" s="197">
        <f t="shared" ref="C41:H41" ca="1" si="2">MAX((C40-$G$6)/365,0)</f>
        <v>0</v>
      </c>
      <c r="D41" s="197">
        <f t="shared" ca="1" si="2"/>
        <v>0</v>
      </c>
      <c r="E41" s="197">
        <f t="shared" ca="1" si="2"/>
        <v>0.9178082191780822</v>
      </c>
      <c r="F41" s="197">
        <f t="shared" ca="1" si="2"/>
        <v>1.9178082191780821</v>
      </c>
      <c r="G41" s="197">
        <f t="shared" ca="1" si="2"/>
        <v>2.9178082191780823</v>
      </c>
      <c r="H41" s="197">
        <f t="shared" ca="1" si="2"/>
        <v>3.9205479452054797</v>
      </c>
      <c r="I41" s="172"/>
      <c r="J41" s="224"/>
      <c r="K41" s="224"/>
      <c r="L41" s="172"/>
      <c r="M41" s="172"/>
    </row>
    <row r="42" spans="1:13" x14ac:dyDescent="0.25">
      <c r="A42" s="198" t="s">
        <v>282</v>
      </c>
      <c r="B42" s="199"/>
      <c r="C42" s="206">
        <f t="shared" ref="C42:H42" si="3">C18</f>
        <v>448507.93452421937</v>
      </c>
      <c r="D42" s="206">
        <f t="shared" si="3"/>
        <v>257252.25544221251</v>
      </c>
      <c r="E42" s="206">
        <f t="shared" si="3"/>
        <v>450317.59045955632</v>
      </c>
      <c r="F42" s="206">
        <f t="shared" si="3"/>
        <v>554237.46849477163</v>
      </c>
      <c r="G42" s="206">
        <f t="shared" si="3"/>
        <v>1050543.4254962297</v>
      </c>
      <c r="H42" s="206">
        <f t="shared" si="3"/>
        <v>1405075.9327984806</v>
      </c>
      <c r="I42" s="172"/>
      <c r="J42" s="224"/>
      <c r="K42" s="224"/>
      <c r="L42" s="172"/>
      <c r="M42" s="172"/>
    </row>
    <row r="43" spans="1:13" x14ac:dyDescent="0.25">
      <c r="A43" s="171" t="s">
        <v>283</v>
      </c>
      <c r="B43" s="172"/>
      <c r="C43" s="201">
        <f ca="1">(C42*C41)/((1+$B$5)^C41)</f>
        <v>0</v>
      </c>
      <c r="D43" s="201">
        <f ca="1">D42*D41/((1+$B$5)^D41)</f>
        <v>0</v>
      </c>
      <c r="E43" s="201">
        <f ca="1">E42/((1+$B$5)^E41)</f>
        <v>417531.16257070238</v>
      </c>
      <c r="F43" s="201">
        <f ca="1">F42/((1+$B$5)^F41)</f>
        <v>473255.69255410077</v>
      </c>
      <c r="G43" s="201">
        <f ca="1">G42/((1+$B$5)^G41)</f>
        <v>826121.55680749053</v>
      </c>
      <c r="H43" s="201">
        <f ca="1">H42/((1+$B$5)^H41)</f>
        <v>1017329.6959929827</v>
      </c>
      <c r="I43" s="172"/>
      <c r="J43" s="224"/>
      <c r="K43" s="224"/>
      <c r="L43" s="172"/>
      <c r="M43" s="172"/>
    </row>
    <row r="44" spans="1:13" x14ac:dyDescent="0.25">
      <c r="A44" s="171"/>
      <c r="B44" s="225"/>
      <c r="C44" s="183"/>
      <c r="D44" s="183"/>
      <c r="E44" s="183"/>
      <c r="F44" s="183"/>
      <c r="G44" s="183"/>
      <c r="H44" s="183"/>
      <c r="I44" s="183"/>
      <c r="J44" s="172"/>
      <c r="K44" s="172"/>
      <c r="L44" s="172"/>
      <c r="M44" s="172"/>
    </row>
    <row r="45" spans="1:13" x14ac:dyDescent="0.25">
      <c r="A45" s="172" t="s">
        <v>285</v>
      </c>
      <c r="B45" s="183">
        <f>H42*(1+B21)/(B5-B21)</f>
        <v>21764122.932793938</v>
      </c>
      <c r="C45" s="205"/>
      <c r="D45" s="183"/>
      <c r="E45" s="183"/>
      <c r="F45" s="205"/>
      <c r="G45" s="172"/>
      <c r="H45" s="172"/>
      <c r="I45" s="172"/>
      <c r="J45" s="172"/>
      <c r="K45" s="172"/>
      <c r="L45" s="172"/>
      <c r="M45" s="172"/>
    </row>
    <row r="46" spans="1:13" x14ac:dyDescent="0.25">
      <c r="A46" s="199" t="s">
        <v>286</v>
      </c>
      <c r="B46" s="206">
        <f ca="1">(B45/(1+B5)^H41)</f>
        <v>15758072.606563332</v>
      </c>
      <c r="C46" s="205"/>
      <c r="D46" s="183"/>
      <c r="E46" s="183"/>
      <c r="F46" s="205"/>
      <c r="G46" s="172"/>
      <c r="H46" s="172"/>
      <c r="I46" s="172"/>
      <c r="J46" s="172"/>
      <c r="K46" s="172"/>
      <c r="L46" s="172"/>
      <c r="M46" s="172"/>
    </row>
    <row r="47" spans="1:13" x14ac:dyDescent="0.25">
      <c r="A47" s="172" t="s">
        <v>287</v>
      </c>
      <c r="B47" s="183">
        <f ca="1">SUM(D43:H43)+B46</f>
        <v>18492310.714488607</v>
      </c>
      <c r="C47" s="205"/>
      <c r="D47" s="183"/>
      <c r="E47" s="183"/>
      <c r="F47" s="205"/>
      <c r="G47" s="172"/>
      <c r="H47" s="172"/>
      <c r="I47" s="172"/>
      <c r="J47" s="172"/>
      <c r="K47" s="172"/>
      <c r="L47" s="172"/>
      <c r="M47" s="172"/>
    </row>
    <row r="48" spans="1:13" ht="15.75" thickBot="1" x14ac:dyDescent="0.3">
      <c r="A48" s="207" t="s">
        <v>288</v>
      </c>
      <c r="B48" s="226">
        <f ca="1">(B47*1000)/I6</f>
        <v>253.927425384478</v>
      </c>
      <c r="C48" s="227"/>
      <c r="D48" s="227"/>
      <c r="E48" s="227"/>
      <c r="F48" s="227"/>
      <c r="G48" s="172"/>
      <c r="H48" s="172"/>
      <c r="I48" s="172"/>
      <c r="J48" s="172"/>
      <c r="K48" s="172"/>
      <c r="L48" s="172"/>
      <c r="M48" s="172"/>
    </row>
    <row r="49" spans="1:13" x14ac:dyDescent="0.25">
      <c r="A49" s="172"/>
      <c r="B49" s="172"/>
      <c r="C49" s="173" t="s">
        <v>284</v>
      </c>
      <c r="D49" s="173"/>
      <c r="E49" s="173"/>
      <c r="F49" s="173"/>
      <c r="G49" s="173"/>
      <c r="H49" s="173"/>
      <c r="I49" s="173"/>
      <c r="J49" s="172"/>
      <c r="K49" s="172"/>
      <c r="L49" s="172"/>
      <c r="M49" s="172"/>
    </row>
    <row r="50" spans="1:13" ht="15.75" thickBot="1" x14ac:dyDescent="0.3">
      <c r="A50" s="172"/>
      <c r="B50" s="228">
        <f ca="1">B48</f>
        <v>253.927425384478</v>
      </c>
      <c r="C50" s="229">
        <f>D50-$L$28</f>
        <v>1.2500000000000001E-2</v>
      </c>
      <c r="D50" s="229">
        <f>E50-$L$28</f>
        <v>1.5000000000000001E-2</v>
      </c>
      <c r="E50" s="229">
        <f>F50-$L$28</f>
        <v>1.7500000000000002E-2</v>
      </c>
      <c r="F50" s="262">
        <v>0.02</v>
      </c>
      <c r="G50" s="229">
        <f>F50+$L$28</f>
        <v>2.2499999999999999E-2</v>
      </c>
      <c r="H50" s="229">
        <f>G50+$L$28</f>
        <v>2.4999999999999998E-2</v>
      </c>
      <c r="I50" s="229">
        <f>H50+$L$28</f>
        <v>2.7499999999999997E-2</v>
      </c>
      <c r="J50" s="172"/>
      <c r="K50" s="172"/>
      <c r="L50" s="172"/>
      <c r="M50" s="172"/>
    </row>
    <row r="51" spans="1:13" ht="15.75" thickTop="1" x14ac:dyDescent="0.25">
      <c r="A51" s="230"/>
      <c r="B51" s="223">
        <f>B52-$L$29</f>
        <v>7.0850457465251412E-2</v>
      </c>
      <c r="C51" s="213">
        <f t="dataTable" ref="C51:I57" dt2D="1" dtr="1" r1="B21" r2="B5" ca="1"/>
        <v>295.03318360251762</v>
      </c>
      <c r="D51" s="214">
        <v>307.15207148538917</v>
      </c>
      <c r="E51" s="214">
        <v>320.40674043356523</v>
      </c>
      <c r="F51" s="290">
        <v>334.96470827115957</v>
      </c>
      <c r="G51" s="214">
        <v>351.02813940742664</v>
      </c>
      <c r="H51" s="214">
        <v>368.84329037641737</v>
      </c>
      <c r="I51" s="215">
        <v>388.71322369496829</v>
      </c>
      <c r="J51" s="172"/>
      <c r="K51" s="172"/>
      <c r="L51" s="172"/>
      <c r="M51" s="172"/>
    </row>
    <row r="52" spans="1:13" ht="15.75" thickBot="1" x14ac:dyDescent="0.3">
      <c r="A52" s="230"/>
      <c r="B52" s="223">
        <f>B53-$L$29</f>
        <v>7.5850457465251417E-2</v>
      </c>
      <c r="C52" s="216">
        <v>270.05160771315343</v>
      </c>
      <c r="D52" s="217">
        <v>280.15836080021904</v>
      </c>
      <c r="E52" s="217">
        <v>291.13115277764683</v>
      </c>
      <c r="F52" s="291">
        <v>303.08628155905274</v>
      </c>
      <c r="G52" s="217">
        <v>316.16184391773339</v>
      </c>
      <c r="H52" s="217">
        <v>330.52309405686464</v>
      </c>
      <c r="I52" s="218">
        <v>346.36946459526553</v>
      </c>
      <c r="J52" s="172"/>
      <c r="K52" s="172"/>
      <c r="L52" s="172"/>
      <c r="M52" s="172"/>
    </row>
    <row r="53" spans="1:13" x14ac:dyDescent="0.25">
      <c r="A53" s="230"/>
      <c r="B53" s="223">
        <f>B54-$L$29</f>
        <v>8.0850457465251421E-2</v>
      </c>
      <c r="C53" s="216">
        <v>248.74960173273195</v>
      </c>
      <c r="D53" s="217">
        <v>257.28932748725032</v>
      </c>
      <c r="E53" s="281">
        <v>266.50305987851664</v>
      </c>
      <c r="F53" s="282">
        <v>276.47387223064663</v>
      </c>
      <c r="G53" s="283">
        <v>287.29907482967985</v>
      </c>
      <c r="H53" s="217">
        <v>299.09340132584208</v>
      </c>
      <c r="I53" s="218">
        <v>311.9930910237955</v>
      </c>
      <c r="J53" s="172"/>
      <c r="K53" s="172"/>
      <c r="L53" s="172"/>
      <c r="M53" s="172"/>
    </row>
    <row r="54" spans="1:13" x14ac:dyDescent="0.25">
      <c r="A54" s="230" t="s">
        <v>291</v>
      </c>
      <c r="B54" s="177">
        <v>8.5850457465251426E-2</v>
      </c>
      <c r="C54" s="293">
        <v>230.3742314503568</v>
      </c>
      <c r="D54" s="291">
        <v>237.67123724169952</v>
      </c>
      <c r="E54" s="284">
        <v>245.50203651899318</v>
      </c>
      <c r="F54" s="285">
        <v>253.927425384478</v>
      </c>
      <c r="G54" s="286">
        <v>263.01779673016887</v>
      </c>
      <c r="H54" s="291">
        <v>272.85511162602785</v>
      </c>
      <c r="I54" s="294">
        <v>283.53537748775693</v>
      </c>
      <c r="J54" s="172"/>
      <c r="K54" s="172"/>
      <c r="L54" s="172"/>
      <c r="M54" s="172"/>
    </row>
    <row r="55" spans="1:13" ht="15.75" thickBot="1" x14ac:dyDescent="0.3">
      <c r="A55" s="230"/>
      <c r="B55" s="223">
        <f>B54+$L$29</f>
        <v>9.085045746525143E-2</v>
      </c>
      <c r="C55" s="216">
        <v>214.36477028298899</v>
      </c>
      <c r="D55" s="217">
        <v>220.66075057392985</v>
      </c>
      <c r="E55" s="287">
        <v>227.38590203220286</v>
      </c>
      <c r="F55" s="288">
        <v>234.58565532784374</v>
      </c>
      <c r="G55" s="289">
        <v>242.31208785597553</v>
      </c>
      <c r="H55" s="217">
        <v>250.62518544503041</v>
      </c>
      <c r="I55" s="218">
        <v>259.59440280982756</v>
      </c>
      <c r="J55" s="172"/>
      <c r="K55" s="172"/>
      <c r="L55" s="172"/>
      <c r="M55" s="172"/>
    </row>
    <row r="56" spans="1:13" x14ac:dyDescent="0.25">
      <c r="A56" s="230"/>
      <c r="B56" s="223">
        <f>B55+$L$29</f>
        <v>9.5850457465251435E-2</v>
      </c>
      <c r="C56" s="216">
        <v>200.29504852120689</v>
      </c>
      <c r="D56" s="217">
        <v>205.77368145300795</v>
      </c>
      <c r="E56" s="217">
        <v>211.60193792939594</v>
      </c>
      <c r="F56" s="291">
        <v>217.8143882967079</v>
      </c>
      <c r="G56" s="217">
        <v>224.45031593887234</v>
      </c>
      <c r="H56" s="217">
        <v>231.55454878890481</v>
      </c>
      <c r="I56" s="218">
        <v>239.17847332158959</v>
      </c>
      <c r="J56" s="172"/>
      <c r="K56" s="172"/>
      <c r="L56" s="172"/>
      <c r="M56" s="172"/>
    </row>
    <row r="57" spans="1:13" ht="15.75" thickBot="1" x14ac:dyDescent="0.3">
      <c r="A57" s="230"/>
      <c r="B57" s="223">
        <f>B56+$L$29</f>
        <v>0.10085045746525144</v>
      </c>
      <c r="C57" s="220">
        <v>187.83537829165331</v>
      </c>
      <c r="D57" s="221">
        <v>192.63865088556989</v>
      </c>
      <c r="E57" s="221">
        <v>197.73006062593936</v>
      </c>
      <c r="F57" s="292">
        <v>203.13633622483272</v>
      </c>
      <c r="G57" s="221">
        <v>208.88761782457121</v>
      </c>
      <c r="H57" s="221">
        <v>215.01801919444236</v>
      </c>
      <c r="I57" s="222">
        <v>221.56630489535377</v>
      </c>
      <c r="J57" s="172"/>
      <c r="K57" s="172"/>
      <c r="L57" s="172"/>
      <c r="M57" s="172"/>
    </row>
    <row r="58" spans="1:13" ht="15.75" thickTop="1" x14ac:dyDescent="0.25">
      <c r="A58" s="172"/>
      <c r="B58" s="172"/>
      <c r="C58" s="172"/>
      <c r="D58" s="172"/>
      <c r="E58" s="172"/>
      <c r="F58" s="172"/>
      <c r="G58" s="172"/>
      <c r="H58" s="172"/>
      <c r="I58" s="172"/>
      <c r="J58" s="172"/>
      <c r="K58" s="172"/>
      <c r="L58" s="172"/>
      <c r="M58" s="172"/>
    </row>
  </sheetData>
  <hyperlinks>
    <hyperlink ref="A1" location="Index!A1" display="Index" xr:uid="{C360DA88-FC25-4750-B3D2-672A7DF813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1327-7BFB-4422-B6E4-A1416D972364}">
  <dimension ref="A1:H27"/>
  <sheetViews>
    <sheetView workbookViewId="0">
      <selection activeCell="E24" sqref="E24"/>
    </sheetView>
  </sheetViews>
  <sheetFormatPr defaultRowHeight="15" x14ac:dyDescent="0.25"/>
  <cols>
    <col min="1" max="1" width="24.28515625" bestFit="1" customWidth="1"/>
    <col min="2" max="2" width="36.140625" bestFit="1" customWidth="1"/>
    <col min="6" max="6" width="25.140625" customWidth="1"/>
  </cols>
  <sheetData>
    <row r="1" spans="1:6" x14ac:dyDescent="0.25">
      <c r="A1" s="260" t="s">
        <v>332</v>
      </c>
    </row>
    <row r="2" spans="1:6" x14ac:dyDescent="0.25">
      <c r="A2" s="296" t="s">
        <v>264</v>
      </c>
      <c r="B2" s="297"/>
      <c r="C2" s="297"/>
      <c r="D2" s="297"/>
      <c r="E2" s="297"/>
      <c r="F2" s="298"/>
    </row>
    <row r="3" spans="1:6" x14ac:dyDescent="0.25">
      <c r="A3" s="366" t="s">
        <v>240</v>
      </c>
      <c r="B3" s="367"/>
      <c r="C3" s="367"/>
      <c r="D3" s="367"/>
      <c r="E3" s="367"/>
      <c r="F3" s="368"/>
    </row>
    <row r="4" spans="1:6" x14ac:dyDescent="0.25">
      <c r="A4" s="125"/>
      <c r="B4" s="125" t="s">
        <v>241</v>
      </c>
      <c r="C4" s="125"/>
      <c r="D4" s="140">
        <v>19.72</v>
      </c>
      <c r="E4" s="125"/>
      <c r="F4" s="141" t="s">
        <v>242</v>
      </c>
    </row>
    <row r="5" spans="1:6" ht="18" x14ac:dyDescent="0.35">
      <c r="A5" s="125"/>
      <c r="B5" s="125" t="s">
        <v>243</v>
      </c>
      <c r="C5" s="125"/>
      <c r="D5" s="142">
        <v>0.1358</v>
      </c>
      <c r="E5" s="143"/>
      <c r="F5" s="141" t="s">
        <v>244</v>
      </c>
    </row>
    <row r="6" spans="1:6" ht="18" x14ac:dyDescent="0.35">
      <c r="A6" s="125"/>
      <c r="B6" s="125" t="s">
        <v>245</v>
      </c>
      <c r="C6" s="125"/>
      <c r="D6" s="144">
        <v>4.0149999999999998E-2</v>
      </c>
      <c r="E6" s="143"/>
      <c r="F6" s="141" t="s">
        <v>246</v>
      </c>
    </row>
    <row r="7" spans="1:6" ht="18" x14ac:dyDescent="0.35">
      <c r="A7" s="125"/>
      <c r="B7" s="125" t="s">
        <v>247</v>
      </c>
      <c r="C7" s="125"/>
      <c r="D7" s="145">
        <f>((1+D5)/D4)+D5</f>
        <v>0.19339634888438134</v>
      </c>
      <c r="E7" s="146"/>
      <c r="F7" s="147"/>
    </row>
    <row r="8" spans="1:6" ht="18" x14ac:dyDescent="0.35">
      <c r="A8" s="126"/>
      <c r="B8" s="126" t="s">
        <v>248</v>
      </c>
      <c r="C8" s="126"/>
      <c r="D8" s="148">
        <f>D7-D6</f>
        <v>0.15324634888438135</v>
      </c>
      <c r="E8" s="149"/>
      <c r="F8" s="150"/>
    </row>
    <row r="9" spans="1:6" x14ac:dyDescent="0.25">
      <c r="A9" s="125"/>
      <c r="B9" s="125"/>
      <c r="C9" s="125"/>
      <c r="D9" s="146"/>
      <c r="E9" s="146"/>
      <c r="F9" s="147"/>
    </row>
    <row r="10" spans="1:6" x14ac:dyDescent="0.25">
      <c r="A10" s="369" t="s">
        <v>249</v>
      </c>
      <c r="B10" s="370"/>
      <c r="C10" s="370"/>
      <c r="D10" s="370"/>
      <c r="E10" s="370"/>
      <c r="F10" s="371"/>
    </row>
    <row r="11" spans="1:6" x14ac:dyDescent="0.25">
      <c r="A11" s="151" t="s">
        <v>265</v>
      </c>
      <c r="B11" s="125"/>
      <c r="C11" s="125"/>
      <c r="D11" s="125"/>
      <c r="E11" s="125"/>
      <c r="F11" s="152"/>
    </row>
    <row r="12" spans="1:6" x14ac:dyDescent="0.25">
      <c r="A12" s="125"/>
      <c r="B12" s="125" t="s">
        <v>250</v>
      </c>
      <c r="C12" s="125"/>
      <c r="D12" s="153">
        <v>254.25</v>
      </c>
      <c r="E12" s="154"/>
      <c r="F12" s="170" t="s">
        <v>244</v>
      </c>
    </row>
    <row r="13" spans="1:6" x14ac:dyDescent="0.25">
      <c r="A13" s="125"/>
      <c r="B13" s="125" t="s">
        <v>251</v>
      </c>
      <c r="C13" s="125"/>
      <c r="D13" s="155">
        <v>4.1100000000000003</v>
      </c>
      <c r="E13" s="154"/>
      <c r="F13" s="170" t="s">
        <v>244</v>
      </c>
    </row>
    <row r="14" spans="1:6" x14ac:dyDescent="0.25">
      <c r="A14" s="125"/>
      <c r="B14" s="125" t="s">
        <v>252</v>
      </c>
      <c r="C14" s="125"/>
      <c r="D14" s="156">
        <f>D12/D13</f>
        <v>61.861313868613131</v>
      </c>
      <c r="E14" s="157"/>
      <c r="F14" s="141"/>
    </row>
    <row r="15" spans="1:6" x14ac:dyDescent="0.25">
      <c r="A15" s="125"/>
      <c r="B15" s="125" t="s">
        <v>253</v>
      </c>
      <c r="C15" s="125"/>
      <c r="D15" s="142">
        <v>0.38400000000000001</v>
      </c>
      <c r="E15" s="146"/>
      <c r="F15" s="170" t="s">
        <v>244</v>
      </c>
    </row>
    <row r="16" spans="1:6" x14ac:dyDescent="0.25">
      <c r="A16" s="125"/>
      <c r="B16" s="125" t="s">
        <v>254</v>
      </c>
      <c r="C16" s="125"/>
      <c r="D16" s="145">
        <f>((1+D15)/D14)+D15</f>
        <v>0.40637262536873159</v>
      </c>
      <c r="E16" s="146"/>
      <c r="F16" s="147"/>
    </row>
    <row r="17" spans="1:8" x14ac:dyDescent="0.25">
      <c r="A17" s="151" t="s">
        <v>255</v>
      </c>
      <c r="B17" s="125"/>
      <c r="C17" s="125"/>
      <c r="D17" s="125"/>
      <c r="E17" s="125"/>
      <c r="F17" s="152"/>
    </row>
    <row r="18" spans="1:8" x14ac:dyDescent="0.25">
      <c r="A18" s="125"/>
      <c r="B18" s="125" t="s">
        <v>256</v>
      </c>
      <c r="C18" s="125"/>
      <c r="D18" s="158">
        <f>(D16-D6)/D8</f>
        <v>2.3897641153267073</v>
      </c>
      <c r="E18" s="159"/>
      <c r="F18" s="160"/>
    </row>
    <row r="19" spans="1:8" x14ac:dyDescent="0.25">
      <c r="A19" s="126"/>
      <c r="B19" s="126" t="s">
        <v>257</v>
      </c>
      <c r="C19" s="126"/>
      <c r="D19" s="161">
        <v>0.92</v>
      </c>
      <c r="E19" s="126"/>
      <c r="F19" s="162" t="s">
        <v>333</v>
      </c>
      <c r="H19">
        <v>0.91</v>
      </c>
    </row>
    <row r="20" spans="1:8" x14ac:dyDescent="0.25">
      <c r="A20" s="125"/>
      <c r="B20" s="125"/>
      <c r="C20" s="125"/>
      <c r="D20" s="146"/>
      <c r="E20" s="146"/>
      <c r="F20" s="147"/>
    </row>
    <row r="21" spans="1:8" x14ac:dyDescent="0.25">
      <c r="A21" s="369" t="s">
        <v>258</v>
      </c>
      <c r="B21" s="370"/>
      <c r="C21" s="370"/>
      <c r="D21" s="370"/>
      <c r="E21" s="370"/>
      <c r="F21" s="371"/>
    </row>
    <row r="22" spans="1:8" x14ac:dyDescent="0.25">
      <c r="A22" s="125"/>
      <c r="B22" s="125" t="s">
        <v>259</v>
      </c>
      <c r="C22" s="125"/>
      <c r="D22" s="163">
        <v>4.5999999999999999E-2</v>
      </c>
      <c r="E22" s="143"/>
      <c r="F22" s="170" t="s">
        <v>266</v>
      </c>
    </row>
    <row r="23" spans="1:8" x14ac:dyDescent="0.25">
      <c r="A23" s="125"/>
      <c r="B23" s="125" t="s">
        <v>260</v>
      </c>
      <c r="C23" s="125"/>
      <c r="D23" s="145">
        <f>D6+D22*D18</f>
        <v>0.15007914930502853</v>
      </c>
      <c r="E23" s="164">
        <v>0.05</v>
      </c>
      <c r="F23" s="147"/>
    </row>
    <row r="24" spans="1:8" x14ac:dyDescent="0.25">
      <c r="A24" s="125"/>
      <c r="B24" s="125" t="s">
        <v>261</v>
      </c>
      <c r="C24" s="125"/>
      <c r="D24" s="145">
        <f>D6+D22*D19</f>
        <v>8.2470000000000002E-2</v>
      </c>
      <c r="E24" s="164">
        <f>1-E23</f>
        <v>0.95</v>
      </c>
      <c r="F24" s="147"/>
    </row>
    <row r="25" spans="1:8" x14ac:dyDescent="0.25">
      <c r="A25" s="165"/>
      <c r="B25" s="166" t="s">
        <v>262</v>
      </c>
      <c r="C25" s="166"/>
      <c r="D25" s="167">
        <f>SUMPRODUCT(D23:D24,E23:E24)</f>
        <v>8.5850457465251426E-2</v>
      </c>
      <c r="E25" s="166"/>
      <c r="F25" s="168"/>
    </row>
    <row r="26" spans="1:8" x14ac:dyDescent="0.25">
      <c r="A26" s="125"/>
      <c r="B26" s="125"/>
      <c r="C26" s="125"/>
      <c r="D26" s="125"/>
      <c r="E26" s="125"/>
      <c r="F26" s="152"/>
    </row>
    <row r="27" spans="1:8" x14ac:dyDescent="0.25">
      <c r="A27" s="126"/>
      <c r="B27" s="169" t="s">
        <v>263</v>
      </c>
      <c r="C27" s="126"/>
      <c r="D27" s="148">
        <f>D22+D6</f>
        <v>8.6150000000000004E-2</v>
      </c>
      <c r="E27" s="149"/>
      <c r="F27" s="150"/>
    </row>
  </sheetData>
  <mergeCells count="3">
    <mergeCell ref="A3:F3"/>
    <mergeCell ref="A10:F10"/>
    <mergeCell ref="A21:F21"/>
  </mergeCells>
  <hyperlinks>
    <hyperlink ref="F4" r:id="rId1" xr:uid="{4D0D5C9D-5E3A-493C-A21E-AC55D3D6DCE7}"/>
    <hyperlink ref="F5" r:id="rId2" display="source" xr:uid="{C1E7AE43-6B6C-4E93-955C-22302687397E}"/>
    <hyperlink ref="F6" r:id="rId3" xr:uid="{269A63BB-2115-44B2-A062-05F1E95A5DDE}"/>
    <hyperlink ref="F13" r:id="rId4" xr:uid="{2C3EBA20-DC4F-4685-ABD2-2C07FC84274B}"/>
    <hyperlink ref="F12" r:id="rId5" xr:uid="{7F0D3B59-4A27-4D89-8B72-B08BF97E4BA5}"/>
    <hyperlink ref="F15" r:id="rId6" xr:uid="{06B20159-7FF5-4C7F-9CB9-74B38A1DEDD5}"/>
    <hyperlink ref="F22" r:id="rId7" xr:uid="{10F1718F-CD3C-44A4-9ACD-5D5948383471}"/>
    <hyperlink ref="A1" location="Index!A1" display="Index" xr:uid="{BC8902DE-1B58-4FA8-A5FF-30F7D129CE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F818-99A6-42CE-9141-13054FE02065}">
  <dimension ref="A1:BR77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H42" sqref="H42:L42"/>
    </sheetView>
  </sheetViews>
  <sheetFormatPr defaultColWidth="8.7109375" defaultRowHeight="15" x14ac:dyDescent="0.25"/>
  <cols>
    <col min="1" max="1" width="38.140625" style="125" bestFit="1" customWidth="1"/>
    <col min="2" max="5" width="8.7109375" style="125"/>
    <col min="6" max="6" width="10" style="125" bestFit="1" customWidth="1"/>
    <col min="7" max="7" width="10" style="302" bestFit="1" customWidth="1"/>
    <col min="8" max="12" width="10" style="125" bestFit="1" customWidth="1"/>
    <col min="13" max="13" width="8.7109375" style="125"/>
    <col min="14" max="14" width="10.5703125" style="125" bestFit="1" customWidth="1"/>
    <col min="15" max="15" width="10.5703125" style="125" customWidth="1"/>
    <col min="16" max="16384" width="8.7109375" style="125"/>
  </cols>
  <sheetData>
    <row r="1" spans="1:70" x14ac:dyDescent="0.25">
      <c r="A1" s="267" t="s">
        <v>332</v>
      </c>
    </row>
    <row r="2" spans="1:70" s="325" customFormat="1" ht="42.95" customHeight="1" x14ac:dyDescent="0.25">
      <c r="A2" s="347" t="s">
        <v>150</v>
      </c>
      <c r="B2" s="329" t="s">
        <v>46</v>
      </c>
      <c r="C2" s="329" t="s">
        <v>1</v>
      </c>
      <c r="D2" s="329" t="s">
        <v>2</v>
      </c>
      <c r="E2" s="330" t="s">
        <v>3</v>
      </c>
      <c r="F2" s="330" t="s">
        <v>4</v>
      </c>
      <c r="G2" s="328" t="s">
        <v>168</v>
      </c>
      <c r="H2" s="330" t="s">
        <v>169</v>
      </c>
      <c r="I2" s="330" t="s">
        <v>170</v>
      </c>
      <c r="J2" s="330" t="s">
        <v>171</v>
      </c>
      <c r="K2" s="330" t="s">
        <v>172</v>
      </c>
      <c r="L2" s="331" t="s">
        <v>173</v>
      </c>
      <c r="M2" s="327"/>
      <c r="N2" s="325" t="s">
        <v>175</v>
      </c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7"/>
      <c r="AV2" s="327"/>
      <c r="AW2" s="327"/>
      <c r="AX2" s="327"/>
      <c r="AY2" s="327"/>
      <c r="AZ2" s="327"/>
      <c r="BA2" s="327"/>
      <c r="BB2" s="327"/>
      <c r="BC2" s="327"/>
      <c r="BD2" s="327"/>
      <c r="BE2" s="327"/>
      <c r="BF2" s="327"/>
      <c r="BG2" s="327"/>
      <c r="BH2" s="327"/>
      <c r="BI2" s="327"/>
      <c r="BJ2" s="327"/>
      <c r="BK2" s="327"/>
      <c r="BL2" s="327"/>
      <c r="BM2" s="327"/>
      <c r="BN2" s="327"/>
      <c r="BO2" s="327"/>
      <c r="BP2" s="327"/>
      <c r="BQ2" s="327"/>
      <c r="BR2" s="327"/>
    </row>
    <row r="3" spans="1:70" x14ac:dyDescent="0.25">
      <c r="A3" s="348" t="s">
        <v>163</v>
      </c>
      <c r="B3" s="13">
        <v>253115</v>
      </c>
      <c r="C3" s="13">
        <v>281661</v>
      </c>
      <c r="D3" s="13">
        <v>366552</v>
      </c>
      <c r="E3" s="13">
        <v>436927</v>
      </c>
      <c r="F3" s="13">
        <v>531566</v>
      </c>
      <c r="G3" s="303">
        <f>G28</f>
        <v>639878.45999999985</v>
      </c>
      <c r="H3" s="13">
        <f t="shared" ref="H3:L3" si="0">H28</f>
        <v>764628.94259999995</v>
      </c>
      <c r="I3" s="13">
        <f t="shared" si="0"/>
        <v>906971.56124999991</v>
      </c>
      <c r="J3" s="13">
        <f t="shared" si="0"/>
        <v>1063425.9765398998</v>
      </c>
      <c r="K3" s="13">
        <f t="shared" si="0"/>
        <v>1232909.6269086986</v>
      </c>
      <c r="L3" s="332">
        <f t="shared" si="0"/>
        <v>1413976.6097529598</v>
      </c>
      <c r="N3" s="304"/>
      <c r="O3" s="304"/>
    </row>
    <row r="4" spans="1:70" x14ac:dyDescent="0.25">
      <c r="A4" s="348" t="s">
        <v>164</v>
      </c>
      <c r="B4" s="13">
        <v>166953</v>
      </c>
      <c r="C4" s="13">
        <v>249199</v>
      </c>
      <c r="D4" s="13">
        <v>314451</v>
      </c>
      <c r="E4" s="13">
        <v>426454</v>
      </c>
      <c r="F4" s="13">
        <v>658369</v>
      </c>
      <c r="G4" s="303">
        <f>G58</f>
        <v>910896.00236487063</v>
      </c>
      <c r="H4" s="13">
        <f t="shared" ref="H4:L4" si="1">H58</f>
        <v>1255982.3971795985</v>
      </c>
      <c r="I4" s="13">
        <f t="shared" si="1"/>
        <v>1725520.2814810944</v>
      </c>
      <c r="J4" s="13">
        <f t="shared" si="1"/>
        <v>2361463.093448204</v>
      </c>
      <c r="K4" s="13">
        <f t="shared" si="1"/>
        <v>3218601.6867328729</v>
      </c>
      <c r="L4" s="332">
        <f t="shared" si="1"/>
        <v>4367947.2061644457</v>
      </c>
    </row>
    <row r="5" spans="1:70" x14ac:dyDescent="0.25">
      <c r="A5" s="348" t="s">
        <v>161</v>
      </c>
      <c r="B5" s="13">
        <v>420068</v>
      </c>
      <c r="C5" s="13">
        <v>530860</v>
      </c>
      <c r="D5" s="13">
        <v>681003</v>
      </c>
      <c r="E5" s="13">
        <v>863381</v>
      </c>
      <c r="F5" s="13">
        <v>1189935</v>
      </c>
      <c r="G5" s="303">
        <f>G3+G4</f>
        <v>1550774.4623648706</v>
      </c>
      <c r="H5" s="13">
        <f t="shared" ref="H5:L5" si="2">H3+H4</f>
        <v>2020611.3397795984</v>
      </c>
      <c r="I5" s="13">
        <f t="shared" si="2"/>
        <v>2632491.8427310945</v>
      </c>
      <c r="J5" s="13">
        <f t="shared" si="2"/>
        <v>3424889.0699881036</v>
      </c>
      <c r="K5" s="13">
        <f t="shared" si="2"/>
        <v>4451511.3136415714</v>
      </c>
      <c r="L5" s="332">
        <f t="shared" si="2"/>
        <v>5781923.8159174053</v>
      </c>
    </row>
    <row r="6" spans="1:70" x14ac:dyDescent="0.25">
      <c r="A6" s="349" t="s">
        <v>165</v>
      </c>
      <c r="B6" s="13"/>
      <c r="C6" s="305">
        <f>C5/B5-1</f>
        <v>0.26374777416989637</v>
      </c>
      <c r="D6" s="305">
        <f t="shared" ref="D6:F6" si="3">D5/C5-1</f>
        <v>0.28282974795614657</v>
      </c>
      <c r="E6" s="305">
        <f t="shared" si="3"/>
        <v>0.26780792448785107</v>
      </c>
      <c r="F6" s="305">
        <f t="shared" si="3"/>
        <v>0.37822699364475243</v>
      </c>
      <c r="G6" s="306">
        <f t="shared" ref="G6" si="4">G5/F5-1</f>
        <v>0.30324300265549842</v>
      </c>
      <c r="H6" s="307">
        <f t="shared" ref="H6" si="5">H5/G5-1</f>
        <v>0.30296918656904159</v>
      </c>
      <c r="I6" s="307">
        <f t="shared" ref="I6" si="6">I5/H5-1</f>
        <v>0.30281949373709738</v>
      </c>
      <c r="J6" s="307">
        <f t="shared" ref="J6" si="7">J5/I5-1</f>
        <v>0.30100652712182074</v>
      </c>
      <c r="K6" s="307">
        <f t="shared" ref="K6" si="8">K5/J5-1</f>
        <v>0.29975342928611526</v>
      </c>
      <c r="L6" s="333">
        <f t="shared" ref="L6" si="9">L5/K5-1</f>
        <v>0.29886759990900402</v>
      </c>
      <c r="N6" s="305"/>
      <c r="O6" s="308"/>
    </row>
    <row r="7" spans="1:70" x14ac:dyDescent="0.25">
      <c r="A7" s="348"/>
      <c r="G7" s="309"/>
      <c r="L7" s="152"/>
      <c r="N7" s="308"/>
    </row>
    <row r="8" spans="1:70" s="325" customFormat="1" ht="42.95" customHeight="1" x14ac:dyDescent="0.25">
      <c r="A8" s="350" t="s">
        <v>166</v>
      </c>
      <c r="B8" s="334"/>
      <c r="C8" s="334"/>
      <c r="D8" s="334"/>
      <c r="G8" s="326"/>
      <c r="L8" s="335"/>
      <c r="M8" s="327"/>
      <c r="O8" s="327"/>
      <c r="P8" s="327"/>
      <c r="Q8" s="327"/>
      <c r="R8" s="327"/>
      <c r="S8" s="327"/>
      <c r="T8" s="327"/>
      <c r="U8" s="327"/>
      <c r="V8" s="327"/>
      <c r="W8" s="327"/>
      <c r="X8" s="327"/>
      <c r="Y8" s="327"/>
      <c r="Z8" s="327"/>
      <c r="AA8" s="327"/>
      <c r="AB8" s="327"/>
      <c r="AC8" s="327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/>
      <c r="BL8" s="327"/>
      <c r="BM8" s="327"/>
      <c r="BN8" s="327"/>
      <c r="BO8" s="327"/>
      <c r="BP8" s="327"/>
      <c r="BQ8" s="327"/>
      <c r="BR8" s="327"/>
    </row>
    <row r="9" spans="1:70" x14ac:dyDescent="0.25">
      <c r="A9" s="351" t="s">
        <v>151</v>
      </c>
      <c r="B9" s="13">
        <v>162015</v>
      </c>
      <c r="C9" s="13">
        <v>165096</v>
      </c>
      <c r="D9" s="13">
        <v>209337</v>
      </c>
      <c r="E9" s="13">
        <v>234616</v>
      </c>
      <c r="F9" s="13">
        <v>282698</v>
      </c>
      <c r="G9" s="303">
        <f>F9*(1+G10)</f>
        <v>330756.65999999997</v>
      </c>
      <c r="H9" s="13">
        <f t="shared" ref="H9:L9" si="10">G9*(1+H10)</f>
        <v>383677.72559999995</v>
      </c>
      <c r="I9" s="13">
        <f t="shared" si="10"/>
        <v>441229.38443999988</v>
      </c>
      <c r="J9" s="13">
        <f t="shared" si="10"/>
        <v>498589.20441719983</v>
      </c>
      <c r="K9" s="13">
        <f t="shared" si="10"/>
        <v>553434.0169030918</v>
      </c>
      <c r="L9" s="332">
        <f t="shared" si="10"/>
        <v>603243.07842437015</v>
      </c>
      <c r="N9" s="305"/>
      <c r="O9" s="308"/>
    </row>
    <row r="10" spans="1:70" x14ac:dyDescent="0.25">
      <c r="A10" s="352" t="s">
        <v>167</v>
      </c>
      <c r="B10" s="13"/>
      <c r="C10" s="310">
        <f>C9/B9-1</f>
        <v>1.901675770761968E-2</v>
      </c>
      <c r="D10" s="310">
        <f t="shared" ref="D10:F10" si="11">D9/C9-1</f>
        <v>0.26797136211658668</v>
      </c>
      <c r="E10" s="310">
        <f t="shared" si="11"/>
        <v>0.12075743896205648</v>
      </c>
      <c r="F10" s="310">
        <f t="shared" si="11"/>
        <v>0.20493913458587643</v>
      </c>
      <c r="G10" s="306">
        <f>CHOOSE('Scenario Analysis'!$H$4,'Revenue model'!G12,'Revenue model'!G13,'Revenue model'!G14)</f>
        <v>0.17</v>
      </c>
      <c r="H10" s="307">
        <f>CHOOSE('Scenario Analysis'!$H$4,'Revenue model'!H12,'Revenue model'!H13,'Revenue model'!H14)</f>
        <v>0.16</v>
      </c>
      <c r="I10" s="307">
        <f>CHOOSE('Scenario Analysis'!$H$4,'Revenue model'!I12,'Revenue model'!I13,'Revenue model'!I14)</f>
        <v>0.15</v>
      </c>
      <c r="J10" s="307">
        <f>CHOOSE('Scenario Analysis'!$H$4,'Revenue model'!J12,'Revenue model'!J13,'Revenue model'!J14)</f>
        <v>0.13</v>
      </c>
      <c r="K10" s="307">
        <f>CHOOSE('Scenario Analysis'!$H$4,'Revenue model'!K12,'Revenue model'!K13,'Revenue model'!K14)</f>
        <v>0.11000000000000001</v>
      </c>
      <c r="L10" s="333">
        <f>CHOOSE('Scenario Analysis'!$H$4,'Revenue model'!L12,'Revenue model'!L13,'Revenue model'!L14)</f>
        <v>9.0000000000000011E-2</v>
      </c>
      <c r="N10" s="125" t="s">
        <v>296</v>
      </c>
    </row>
    <row r="11" spans="1:70" x14ac:dyDescent="0.25">
      <c r="A11" s="353"/>
      <c r="B11" s="13"/>
      <c r="C11" s="13"/>
      <c r="D11" s="13"/>
      <c r="E11" s="13"/>
      <c r="F11" s="13"/>
      <c r="G11" s="303"/>
      <c r="H11" s="13"/>
      <c r="I11" s="13"/>
      <c r="J11" s="13"/>
      <c r="K11" s="13"/>
      <c r="L11" s="332"/>
    </row>
    <row r="12" spans="1:70" x14ac:dyDescent="0.25">
      <c r="A12" s="357" t="s">
        <v>306</v>
      </c>
      <c r="B12" s="299"/>
      <c r="C12" s="299"/>
      <c r="D12" s="299"/>
      <c r="E12" s="299"/>
      <c r="F12" s="299"/>
      <c r="G12" s="300">
        <f>G13+2%</f>
        <v>0.19</v>
      </c>
      <c r="H12" s="301">
        <f>H13+2%</f>
        <v>0.18</v>
      </c>
      <c r="I12" s="301">
        <f t="shared" ref="I12:L12" si="12">I13+2%</f>
        <v>0.16999999999999998</v>
      </c>
      <c r="J12" s="301">
        <f t="shared" si="12"/>
        <v>0.15</v>
      </c>
      <c r="K12" s="301">
        <f t="shared" si="12"/>
        <v>0.13</v>
      </c>
      <c r="L12" s="301">
        <f t="shared" si="12"/>
        <v>0.11000000000000001</v>
      </c>
    </row>
    <row r="13" spans="1:70" x14ac:dyDescent="0.25">
      <c r="A13" s="357" t="s">
        <v>307</v>
      </c>
      <c r="B13" s="299"/>
      <c r="C13" s="299"/>
      <c r="D13" s="299"/>
      <c r="E13" s="299"/>
      <c r="F13" s="299"/>
      <c r="G13" s="300">
        <v>0.17</v>
      </c>
      <c r="H13" s="301">
        <v>0.16</v>
      </c>
      <c r="I13" s="301">
        <v>0.15</v>
      </c>
      <c r="J13" s="301">
        <v>0.13</v>
      </c>
      <c r="K13" s="301">
        <v>0.11000000000000001</v>
      </c>
      <c r="L13" s="358">
        <v>9.0000000000000011E-2</v>
      </c>
    </row>
    <row r="14" spans="1:70" x14ac:dyDescent="0.25">
      <c r="A14" s="357" t="s">
        <v>308</v>
      </c>
      <c r="B14" s="299"/>
      <c r="C14" s="299"/>
      <c r="D14" s="299"/>
      <c r="E14" s="299"/>
      <c r="F14" s="299"/>
      <c r="G14" s="300">
        <f>G13-1%</f>
        <v>0.16</v>
      </c>
      <c r="H14" s="301">
        <f>H13-1%</f>
        <v>0.15</v>
      </c>
      <c r="I14" s="301">
        <f t="shared" ref="I14:L14" si="13">I13-1%</f>
        <v>0.13999999999999999</v>
      </c>
      <c r="J14" s="301">
        <f t="shared" si="13"/>
        <v>0.12000000000000001</v>
      </c>
      <c r="K14" s="301">
        <f t="shared" si="13"/>
        <v>0.10000000000000002</v>
      </c>
      <c r="L14" s="301">
        <f t="shared" si="13"/>
        <v>8.0000000000000016E-2</v>
      </c>
    </row>
    <row r="15" spans="1:70" x14ac:dyDescent="0.25">
      <c r="A15" s="353"/>
      <c r="B15" s="13"/>
      <c r="C15" s="13"/>
      <c r="D15" s="13"/>
      <c r="E15" s="13"/>
      <c r="F15" s="13"/>
      <c r="G15" s="303"/>
      <c r="H15" s="13"/>
      <c r="I15" s="13"/>
      <c r="J15" s="13"/>
      <c r="K15" s="13"/>
      <c r="L15" s="332"/>
    </row>
    <row r="16" spans="1:70" x14ac:dyDescent="0.25">
      <c r="A16" s="353" t="s">
        <v>152</v>
      </c>
      <c r="B16" s="13">
        <v>68258</v>
      </c>
      <c r="C16" s="13">
        <v>85987</v>
      </c>
      <c r="D16" s="13">
        <v>115193</v>
      </c>
      <c r="E16" s="13">
        <v>152842</v>
      </c>
      <c r="F16" s="13">
        <v>181686</v>
      </c>
      <c r="G16" s="303">
        <f>F16*(1+G17)</f>
        <v>227107.5</v>
      </c>
      <c r="H16" s="13">
        <f t="shared" ref="H16:L16" si="14">G16*(1+H17)</f>
        <v>281613.3</v>
      </c>
      <c r="I16" s="13">
        <f t="shared" si="14"/>
        <v>346384.359</v>
      </c>
      <c r="J16" s="13">
        <f t="shared" si="14"/>
        <v>422588.91797999997</v>
      </c>
      <c r="K16" s="13">
        <f t="shared" si="14"/>
        <v>511332.59075579996</v>
      </c>
      <c r="L16" s="332">
        <f t="shared" si="14"/>
        <v>613599.10890695988</v>
      </c>
      <c r="N16" s="305"/>
      <c r="O16" s="308"/>
    </row>
    <row r="17" spans="1:15" x14ac:dyDescent="0.25">
      <c r="A17" s="352" t="s">
        <v>167</v>
      </c>
      <c r="B17" s="13"/>
      <c r="C17" s="310">
        <f>C16/B16-1</f>
        <v>0.25973512262298915</v>
      </c>
      <c r="D17" s="310">
        <f t="shared" ref="D17:F17" si="15">D16/C16-1</f>
        <v>0.3396559945107982</v>
      </c>
      <c r="E17" s="310">
        <f t="shared" si="15"/>
        <v>0.32683409582179479</v>
      </c>
      <c r="F17" s="310">
        <f t="shared" si="15"/>
        <v>0.18871776082490421</v>
      </c>
      <c r="G17" s="311">
        <v>0.25</v>
      </c>
      <c r="H17" s="312">
        <f>G17-1%</f>
        <v>0.24</v>
      </c>
      <c r="I17" s="312">
        <f t="shared" ref="I17:L17" si="16">H17-1%</f>
        <v>0.22999999999999998</v>
      </c>
      <c r="J17" s="312">
        <f t="shared" si="16"/>
        <v>0.21999999999999997</v>
      </c>
      <c r="K17" s="312">
        <f t="shared" si="16"/>
        <v>0.20999999999999996</v>
      </c>
      <c r="L17" s="336">
        <f t="shared" si="16"/>
        <v>0.19999999999999996</v>
      </c>
      <c r="N17" s="125" t="s">
        <v>176</v>
      </c>
    </row>
    <row r="18" spans="1:15" x14ac:dyDescent="0.25">
      <c r="A18" s="353"/>
      <c r="B18" s="13"/>
      <c r="C18" s="13"/>
      <c r="D18" s="13"/>
      <c r="E18" s="13"/>
      <c r="F18" s="13"/>
      <c r="G18" s="303"/>
      <c r="H18" s="13"/>
      <c r="I18" s="13"/>
      <c r="J18" s="13"/>
      <c r="K18" s="13"/>
      <c r="L18" s="332"/>
    </row>
    <row r="19" spans="1:15" x14ac:dyDescent="0.25">
      <c r="A19" s="353" t="s">
        <v>153</v>
      </c>
      <c r="B19" s="13" t="s">
        <v>162</v>
      </c>
      <c r="C19" s="13">
        <v>704</v>
      </c>
      <c r="D19" s="13">
        <v>2935</v>
      </c>
      <c r="E19" s="13">
        <v>9159</v>
      </c>
      <c r="F19" s="13">
        <v>18752</v>
      </c>
      <c r="G19" s="303">
        <f>F19*(1+G20)</f>
        <v>24377.600000000002</v>
      </c>
      <c r="H19" s="13">
        <f t="shared" ref="H19:L19" si="17">G19*(1+H20)</f>
        <v>31447.104000000003</v>
      </c>
      <c r="I19" s="13">
        <f t="shared" si="17"/>
        <v>40252.293120000002</v>
      </c>
      <c r="J19" s="13">
        <f t="shared" si="17"/>
        <v>51120.412262400001</v>
      </c>
      <c r="K19" s="13">
        <f t="shared" si="17"/>
        <v>64411.719450624005</v>
      </c>
      <c r="L19" s="332">
        <f t="shared" si="17"/>
        <v>80514.64931328001</v>
      </c>
      <c r="N19" s="305"/>
      <c r="O19" s="308"/>
    </row>
    <row r="20" spans="1:15" x14ac:dyDescent="0.25">
      <c r="A20" s="352" t="s">
        <v>167</v>
      </c>
      <c r="B20" s="13"/>
      <c r="C20" s="13"/>
      <c r="D20" s="310">
        <f>D19/C19-1</f>
        <v>3.1690340909090908</v>
      </c>
      <c r="E20" s="310">
        <f t="shared" ref="E20:F20" si="18">E19/D19-1</f>
        <v>2.1206132879045998</v>
      </c>
      <c r="F20" s="310">
        <f t="shared" si="18"/>
        <v>1.0473850857080467</v>
      </c>
      <c r="G20" s="311">
        <v>0.3</v>
      </c>
      <c r="H20" s="312">
        <f>G20-1%</f>
        <v>0.28999999999999998</v>
      </c>
      <c r="I20" s="312">
        <f t="shared" ref="I20:L20" si="19">H20-1%</f>
        <v>0.27999999999999997</v>
      </c>
      <c r="J20" s="312">
        <f t="shared" si="19"/>
        <v>0.26999999999999996</v>
      </c>
      <c r="K20" s="312">
        <f t="shared" si="19"/>
        <v>0.25999999999999995</v>
      </c>
      <c r="L20" s="336">
        <f t="shared" si="19"/>
        <v>0.24999999999999994</v>
      </c>
      <c r="N20" s="359" t="s">
        <v>177</v>
      </c>
    </row>
    <row r="21" spans="1:15" x14ac:dyDescent="0.25">
      <c r="A21" s="353"/>
      <c r="B21" s="13"/>
      <c r="C21" s="13"/>
      <c r="D21" s="13"/>
      <c r="E21" s="13"/>
      <c r="F21" s="13"/>
      <c r="G21" s="303"/>
      <c r="H21" s="13"/>
      <c r="I21" s="13"/>
      <c r="J21" s="13"/>
      <c r="K21" s="13"/>
      <c r="L21" s="332"/>
    </row>
    <row r="22" spans="1:15" x14ac:dyDescent="0.25">
      <c r="A22" s="353" t="s">
        <v>154</v>
      </c>
      <c r="B22" s="13">
        <v>15753</v>
      </c>
      <c r="C22" s="13">
        <v>18074</v>
      </c>
      <c r="D22" s="13">
        <v>20754</v>
      </c>
      <c r="E22" s="13">
        <v>24125</v>
      </c>
      <c r="F22" s="13">
        <v>29008</v>
      </c>
      <c r="G22" s="303">
        <f>F22*(1+G23)</f>
        <v>33359.199999999997</v>
      </c>
      <c r="H22" s="13">
        <f t="shared" ref="H22:L22" si="20">G22*(1+H23)</f>
        <v>38029.48799999999</v>
      </c>
      <c r="I22" s="13">
        <f t="shared" si="20"/>
        <v>42973.321439999985</v>
      </c>
      <c r="J22" s="13">
        <f t="shared" si="20"/>
        <v>48130.120012799976</v>
      </c>
      <c r="K22" s="13">
        <f t="shared" si="20"/>
        <v>53424.433214207966</v>
      </c>
      <c r="L22" s="332">
        <f t="shared" si="20"/>
        <v>58766.876535628769</v>
      </c>
      <c r="N22" s="305"/>
      <c r="O22" s="308"/>
    </row>
    <row r="23" spans="1:15" x14ac:dyDescent="0.25">
      <c r="A23" s="352" t="s">
        <v>167</v>
      </c>
      <c r="B23" s="13"/>
      <c r="C23" s="310">
        <f>C22/B22-1</f>
        <v>0.14733701517171327</v>
      </c>
      <c r="D23" s="310">
        <f t="shared" ref="D23:F23" si="21">D22/C22-1</f>
        <v>0.14827929622662395</v>
      </c>
      <c r="E23" s="310">
        <f t="shared" si="21"/>
        <v>0.16242652018887926</v>
      </c>
      <c r="F23" s="310">
        <f t="shared" si="21"/>
        <v>0.20240414507772031</v>
      </c>
      <c r="G23" s="311">
        <v>0.15</v>
      </c>
      <c r="H23" s="312">
        <f>G23-1%</f>
        <v>0.13999999999999999</v>
      </c>
      <c r="I23" s="312">
        <f t="shared" ref="I23:L23" si="22">H23-1%</f>
        <v>0.12999999999999998</v>
      </c>
      <c r="J23" s="312">
        <f t="shared" si="22"/>
        <v>0.11999999999999998</v>
      </c>
      <c r="K23" s="312">
        <f t="shared" si="22"/>
        <v>0.10999999999999999</v>
      </c>
      <c r="L23" s="312">
        <f t="shared" si="22"/>
        <v>9.9999999999999992E-2</v>
      </c>
      <c r="N23" s="125" t="s">
        <v>178</v>
      </c>
    </row>
    <row r="24" spans="1:15" x14ac:dyDescent="0.25">
      <c r="A24" s="353"/>
      <c r="B24" s="13"/>
      <c r="C24" s="13"/>
      <c r="D24" s="13"/>
      <c r="E24" s="13"/>
      <c r="F24" s="13"/>
      <c r="G24" s="303"/>
      <c r="H24" s="13"/>
      <c r="I24" s="13"/>
      <c r="J24" s="13"/>
      <c r="K24" s="13"/>
      <c r="L24" s="332"/>
    </row>
    <row r="25" spans="1:15" x14ac:dyDescent="0.25">
      <c r="A25" s="353" t="s">
        <v>155</v>
      </c>
      <c r="B25" s="13">
        <v>7089</v>
      </c>
      <c r="C25" s="13">
        <v>11800</v>
      </c>
      <c r="D25" s="13">
        <v>18333</v>
      </c>
      <c r="E25" s="13">
        <v>16185</v>
      </c>
      <c r="F25" s="13">
        <v>19422</v>
      </c>
      <c r="G25" s="303">
        <f>F25*(1+G26)</f>
        <v>24277.5</v>
      </c>
      <c r="H25" s="13">
        <f t="shared" ref="H25:L25" si="23">G25*(1+H26)</f>
        <v>29861.325000000001</v>
      </c>
      <c r="I25" s="13">
        <f t="shared" si="23"/>
        <v>36132.203249999999</v>
      </c>
      <c r="J25" s="13">
        <f t="shared" si="23"/>
        <v>42997.321867499995</v>
      </c>
      <c r="K25" s="13">
        <f t="shared" si="23"/>
        <v>50306.866584974989</v>
      </c>
      <c r="L25" s="332">
        <f t="shared" si="23"/>
        <v>57852.896572721242</v>
      </c>
      <c r="N25" s="305"/>
      <c r="O25" s="308"/>
    </row>
    <row r="26" spans="1:15" x14ac:dyDescent="0.25">
      <c r="A26" s="352" t="s">
        <v>167</v>
      </c>
      <c r="B26" s="13"/>
      <c r="C26" s="310">
        <f>C25/B25-1</f>
        <v>0.6645507123712795</v>
      </c>
      <c r="D26" s="310">
        <f t="shared" ref="D26:F26" si="24">D25/C25-1</f>
        <v>0.55364406779661013</v>
      </c>
      <c r="E26" s="310">
        <f t="shared" si="24"/>
        <v>-0.11716576665030276</v>
      </c>
      <c r="F26" s="310">
        <f t="shared" si="24"/>
        <v>0.19999999999999996</v>
      </c>
      <c r="G26" s="311">
        <v>0.25</v>
      </c>
      <c r="H26" s="312">
        <f>G26-2%</f>
        <v>0.23</v>
      </c>
      <c r="I26" s="312">
        <f t="shared" ref="I26:L26" si="25">H26-2%</f>
        <v>0.21000000000000002</v>
      </c>
      <c r="J26" s="312">
        <f t="shared" si="25"/>
        <v>0.19000000000000003</v>
      </c>
      <c r="K26" s="312">
        <f t="shared" si="25"/>
        <v>0.17000000000000004</v>
      </c>
      <c r="L26" s="336">
        <f t="shared" si="25"/>
        <v>0.15000000000000005</v>
      </c>
      <c r="N26" s="125" t="s">
        <v>179</v>
      </c>
    </row>
    <row r="27" spans="1:15" x14ac:dyDescent="0.25">
      <c r="A27" s="353"/>
      <c r="B27" s="13"/>
      <c r="C27" s="13"/>
      <c r="D27" s="13"/>
      <c r="E27" s="13"/>
      <c r="F27" s="13"/>
      <c r="G27" s="303"/>
      <c r="H27" s="13"/>
      <c r="I27" s="13"/>
      <c r="J27" s="13"/>
      <c r="K27" s="13"/>
      <c r="L27" s="332"/>
    </row>
    <row r="28" spans="1:15" x14ac:dyDescent="0.25">
      <c r="A28" s="354" t="s">
        <v>156</v>
      </c>
      <c r="B28" s="313">
        <v>253115</v>
      </c>
      <c r="C28" s="313">
        <v>281661</v>
      </c>
      <c r="D28" s="313">
        <v>366552</v>
      </c>
      <c r="E28" s="313">
        <v>436927</v>
      </c>
      <c r="F28" s="313">
        <v>531566</v>
      </c>
      <c r="G28" s="314">
        <f>G9+G16+G19+G22+G25</f>
        <v>639878.45999999985</v>
      </c>
      <c r="H28" s="313">
        <f t="shared" ref="H28:L28" si="26">H9+H16+H19+H22+H25</f>
        <v>764628.94259999995</v>
      </c>
      <c r="I28" s="313">
        <f t="shared" si="26"/>
        <v>906971.56124999991</v>
      </c>
      <c r="J28" s="313">
        <f t="shared" si="26"/>
        <v>1063425.9765398998</v>
      </c>
      <c r="K28" s="313">
        <f t="shared" si="26"/>
        <v>1232909.6269086986</v>
      </c>
      <c r="L28" s="337">
        <f t="shared" si="26"/>
        <v>1413976.6097529598</v>
      </c>
    </row>
    <row r="29" spans="1:15" x14ac:dyDescent="0.25">
      <c r="A29" s="352" t="s">
        <v>167</v>
      </c>
      <c r="B29" s="315"/>
      <c r="C29" s="316">
        <f>C28/B28-1</f>
        <v>0.11277877644548928</v>
      </c>
      <c r="D29" s="316">
        <f t="shared" ref="D29:F29" si="27">D28/C28-1</f>
        <v>0.30139422923301407</v>
      </c>
      <c r="E29" s="316">
        <f t="shared" si="27"/>
        <v>0.19199185927235418</v>
      </c>
      <c r="F29" s="316">
        <f t="shared" si="27"/>
        <v>0.21660140023390628</v>
      </c>
      <c r="G29" s="317">
        <f t="shared" ref="G29" si="28">G28/F28-1</f>
        <v>0.20376107576481539</v>
      </c>
      <c r="H29" s="318">
        <f t="shared" ref="H29" si="29">H28/G28-1</f>
        <v>0.19495965311912533</v>
      </c>
      <c r="I29" s="318">
        <f t="shared" ref="I29" si="30">I28/H28-1</f>
        <v>0.18615907758603334</v>
      </c>
      <c r="J29" s="318">
        <f t="shared" ref="J29" si="31">J28/I28-1</f>
        <v>0.17250200775234048</v>
      </c>
      <c r="K29" s="318">
        <f t="shared" ref="K29" si="32">K28/J28-1</f>
        <v>0.15937512728460201</v>
      </c>
      <c r="L29" s="338">
        <f t="shared" ref="L29" si="33">L28/K28-1</f>
        <v>0.14686152082229609</v>
      </c>
    </row>
    <row r="30" spans="1:15" x14ac:dyDescent="0.25">
      <c r="A30" s="353"/>
      <c r="B30" s="315"/>
      <c r="C30" s="315"/>
      <c r="D30" s="315"/>
      <c r="E30" s="315"/>
      <c r="F30" s="315"/>
      <c r="G30" s="319"/>
      <c r="H30" s="315"/>
      <c r="I30" s="315"/>
      <c r="J30" s="315"/>
      <c r="K30" s="315"/>
      <c r="L30" s="339"/>
    </row>
    <row r="31" spans="1:15" x14ac:dyDescent="0.25">
      <c r="A31" s="351" t="s">
        <v>157</v>
      </c>
      <c r="B31" s="13">
        <v>42969</v>
      </c>
      <c r="C31" s="13">
        <v>73520</v>
      </c>
      <c r="D31" s="13">
        <v>80955</v>
      </c>
      <c r="E31" s="13">
        <v>104080</v>
      </c>
      <c r="F31" s="13">
        <v>157281</v>
      </c>
      <c r="G31" s="303">
        <f>F31*(1+G32)</f>
        <v>204465.30000000002</v>
      </c>
      <c r="H31" s="13">
        <f t="shared" ref="H31:L31" si="34">G31*(1+H32)</f>
        <v>263760.23700000002</v>
      </c>
      <c r="I31" s="13">
        <f t="shared" si="34"/>
        <v>337613.10336000001</v>
      </c>
      <c r="J31" s="13">
        <f t="shared" si="34"/>
        <v>428768.6412672</v>
      </c>
      <c r="K31" s="13">
        <f t="shared" si="34"/>
        <v>540248.48799667205</v>
      </c>
      <c r="L31" s="332">
        <f t="shared" si="34"/>
        <v>675310.60999584012</v>
      </c>
      <c r="N31" s="305"/>
      <c r="O31" s="308"/>
    </row>
    <row r="32" spans="1:15" x14ac:dyDescent="0.25">
      <c r="A32" s="352" t="s">
        <v>167</v>
      </c>
      <c r="B32" s="13"/>
      <c r="C32" s="310">
        <f>C31/B31-1</f>
        <v>0.71100095417626652</v>
      </c>
      <c r="D32" s="310">
        <f t="shared" ref="D32:F32" si="35">D31/C31-1</f>
        <v>0.10112894450489662</v>
      </c>
      <c r="E32" s="310">
        <f t="shared" si="35"/>
        <v>0.28565252300660871</v>
      </c>
      <c r="F32" s="310">
        <f t="shared" si="35"/>
        <v>0.51115488086087635</v>
      </c>
      <c r="G32" s="306">
        <f>CHOOSE('Scenario Analysis'!$H$10,'Revenue model'!G34,'Revenue model'!G35,'Revenue model'!G36)</f>
        <v>0.3</v>
      </c>
      <c r="H32" s="307">
        <f>CHOOSE('Scenario Analysis'!$H$10,'Revenue model'!H34,'Revenue model'!H35,'Revenue model'!H36)</f>
        <v>0.28999999999999998</v>
      </c>
      <c r="I32" s="307">
        <f>CHOOSE('Scenario Analysis'!$H$10,'Revenue model'!I34,'Revenue model'!I35,'Revenue model'!I36)</f>
        <v>0.27999999999999997</v>
      </c>
      <c r="J32" s="307">
        <f>CHOOSE('Scenario Analysis'!$H$10,'Revenue model'!J34,'Revenue model'!J35,'Revenue model'!J36)</f>
        <v>0.26999999999999996</v>
      </c>
      <c r="K32" s="307">
        <f>CHOOSE('Scenario Analysis'!$H$10,'Revenue model'!K34,'Revenue model'!K35,'Revenue model'!K36)</f>
        <v>0.25999999999999995</v>
      </c>
      <c r="L32" s="333">
        <f>CHOOSE('Scenario Analysis'!$H$10,'Revenue model'!L34,'Revenue model'!L35,'Revenue model'!L36)</f>
        <v>0.24999999999999994</v>
      </c>
      <c r="N32" s="125" t="s">
        <v>298</v>
      </c>
    </row>
    <row r="33" spans="1:15" x14ac:dyDescent="0.25">
      <c r="A33" s="353"/>
      <c r="B33" s="13"/>
      <c r="C33" s="13"/>
      <c r="D33" s="13"/>
      <c r="E33" s="13"/>
      <c r="F33" s="13"/>
      <c r="G33" s="303"/>
      <c r="H33" s="13"/>
      <c r="I33" s="13"/>
      <c r="J33" s="13"/>
      <c r="K33" s="13"/>
      <c r="L33" s="332"/>
      <c r="N33" s="320"/>
      <c r="O33" s="320"/>
    </row>
    <row r="34" spans="1:15" x14ac:dyDescent="0.25">
      <c r="A34" s="357" t="s">
        <v>306</v>
      </c>
      <c r="B34" s="299"/>
      <c r="C34" s="299"/>
      <c r="D34" s="299"/>
      <c r="E34" s="299"/>
      <c r="F34" s="299"/>
      <c r="G34" s="300">
        <f>G35+1%</f>
        <v>0.31</v>
      </c>
      <c r="H34" s="301">
        <f>H35+1%</f>
        <v>0.3</v>
      </c>
      <c r="I34" s="301">
        <f t="shared" ref="I34:L34" si="36">I35+1%</f>
        <v>0.28999999999999998</v>
      </c>
      <c r="J34" s="301">
        <f t="shared" si="36"/>
        <v>0.27999999999999997</v>
      </c>
      <c r="K34" s="301">
        <f t="shared" si="36"/>
        <v>0.26999999999999996</v>
      </c>
      <c r="L34" s="301">
        <f t="shared" si="36"/>
        <v>0.25999999999999995</v>
      </c>
      <c r="N34" s="320"/>
      <c r="O34" s="320"/>
    </row>
    <row r="35" spans="1:15" x14ac:dyDescent="0.25">
      <c r="A35" s="357" t="s">
        <v>307</v>
      </c>
      <c r="B35" s="299"/>
      <c r="C35" s="299"/>
      <c r="D35" s="299"/>
      <c r="E35" s="299"/>
      <c r="F35" s="299"/>
      <c r="G35" s="300">
        <v>0.3</v>
      </c>
      <c r="H35" s="301">
        <f>G35-1%</f>
        <v>0.28999999999999998</v>
      </c>
      <c r="I35" s="301">
        <f t="shared" ref="I35:L35" si="37">H35-1%</f>
        <v>0.27999999999999997</v>
      </c>
      <c r="J35" s="301">
        <f t="shared" si="37"/>
        <v>0.26999999999999996</v>
      </c>
      <c r="K35" s="301">
        <f t="shared" si="37"/>
        <v>0.25999999999999995</v>
      </c>
      <c r="L35" s="301">
        <f t="shared" si="37"/>
        <v>0.24999999999999994</v>
      </c>
      <c r="N35" s="320"/>
      <c r="O35" s="320"/>
    </row>
    <row r="36" spans="1:15" x14ac:dyDescent="0.25">
      <c r="A36" s="357" t="s">
        <v>308</v>
      </c>
      <c r="B36" s="299"/>
      <c r="C36" s="299"/>
      <c r="D36" s="299"/>
      <c r="E36" s="299"/>
      <c r="F36" s="299"/>
      <c r="G36" s="300">
        <f>G35-2%</f>
        <v>0.27999999999999997</v>
      </c>
      <c r="H36" s="301">
        <f>H35-2%</f>
        <v>0.26999999999999996</v>
      </c>
      <c r="I36" s="301">
        <f t="shared" ref="I36:L36" si="38">I35-2%</f>
        <v>0.25999999999999995</v>
      </c>
      <c r="J36" s="301">
        <f t="shared" si="38"/>
        <v>0.24999999999999997</v>
      </c>
      <c r="K36" s="301">
        <f t="shared" si="38"/>
        <v>0.23999999999999996</v>
      </c>
      <c r="L36" s="301">
        <f t="shared" si="38"/>
        <v>0.22999999999999995</v>
      </c>
      <c r="N36" s="320"/>
      <c r="O36" s="320"/>
    </row>
    <row r="37" spans="1:15" x14ac:dyDescent="0.25">
      <c r="A37" s="353"/>
      <c r="B37" s="13"/>
      <c r="C37" s="13"/>
      <c r="D37" s="13"/>
      <c r="E37" s="13"/>
      <c r="F37" s="13"/>
      <c r="G37" s="303"/>
      <c r="H37" s="13"/>
      <c r="I37" s="13"/>
      <c r="J37" s="13"/>
      <c r="K37" s="13"/>
      <c r="L37" s="332"/>
      <c r="N37" s="320"/>
      <c r="O37" s="320"/>
    </row>
    <row r="38" spans="1:15" x14ac:dyDescent="0.25">
      <c r="A38" s="351" t="s">
        <v>158</v>
      </c>
      <c r="B38" s="13">
        <v>12527</v>
      </c>
      <c r="C38" s="13">
        <v>16182</v>
      </c>
      <c r="D38" s="13">
        <v>20108</v>
      </c>
      <c r="E38" s="13">
        <v>24319</v>
      </c>
      <c r="F38" s="13">
        <v>63017</v>
      </c>
      <c r="G38" s="303">
        <f>F38*(1+G39)</f>
        <v>78641.102364870574</v>
      </c>
      <c r="H38" s="13">
        <f t="shared" ref="H38:L38" si="39">G38*(1+H39)</f>
        <v>97352.551179598857</v>
      </c>
      <c r="I38" s="13">
        <f t="shared" si="39"/>
        <v>119542.57785109477</v>
      </c>
      <c r="J38" s="13">
        <f t="shared" si="39"/>
        <v>145595.05630060428</v>
      </c>
      <c r="K38" s="13">
        <f t="shared" si="39"/>
        <v>175869.32383069818</v>
      </c>
      <c r="L38" s="332">
        <f t="shared" si="39"/>
        <v>210679.96951963042</v>
      </c>
      <c r="N38" s="305"/>
      <c r="O38" s="308"/>
    </row>
    <row r="39" spans="1:15" x14ac:dyDescent="0.25">
      <c r="A39" s="352" t="s">
        <v>167</v>
      </c>
      <c r="B39" s="13"/>
      <c r="C39" s="310">
        <f>C38/B38-1</f>
        <v>0.29176977728107278</v>
      </c>
      <c r="D39" s="310">
        <f t="shared" ref="D39:F39" si="40">D38/C38-1</f>
        <v>0.24261525151402785</v>
      </c>
      <c r="E39" s="310">
        <f t="shared" si="40"/>
        <v>0.20941913666202505</v>
      </c>
      <c r="F39" s="310">
        <f t="shared" si="40"/>
        <v>1.5912660882437599</v>
      </c>
      <c r="G39" s="306">
        <f>CHOOSE('Scenario Analysis'!$H$16,'Revenue model'!G41,'Revenue model'!G42,'Revenue model'!G43)</f>
        <v>0.24793472181904189</v>
      </c>
      <c r="H39" s="307">
        <f>CHOOSE('Scenario Analysis'!$H$16,'Revenue model'!H41,'Revenue model'!H42,'Revenue model'!H43)</f>
        <v>0.23793472181904188</v>
      </c>
      <c r="I39" s="307">
        <f>CHOOSE('Scenario Analysis'!$H$16,'Revenue model'!I41,'Revenue model'!I42,'Revenue model'!I43)</f>
        <v>0.22793472181904187</v>
      </c>
      <c r="J39" s="307">
        <f>CHOOSE('Scenario Analysis'!$H$16,'Revenue model'!J41,'Revenue model'!J42,'Revenue model'!J43)</f>
        <v>0.21793472181904186</v>
      </c>
      <c r="K39" s="307">
        <f>CHOOSE('Scenario Analysis'!$H$16,'Revenue model'!K41,'Revenue model'!K42,'Revenue model'!K43)</f>
        <v>0.20793472181904185</v>
      </c>
      <c r="L39" s="333">
        <f>CHOOSE('Scenario Analysis'!$H$16,'Revenue model'!L41,'Revenue model'!L42,'Revenue model'!L43)</f>
        <v>0.19793472181904184</v>
      </c>
      <c r="N39" s="125" t="s">
        <v>180</v>
      </c>
    </row>
    <row r="40" spans="1:15" x14ac:dyDescent="0.25">
      <c r="A40" s="353"/>
      <c r="B40" s="13"/>
      <c r="C40" s="13"/>
      <c r="D40" s="13"/>
      <c r="E40" s="13"/>
      <c r="F40" s="13"/>
      <c r="G40" s="303"/>
      <c r="H40" s="13"/>
      <c r="I40" s="13"/>
      <c r="J40" s="13"/>
      <c r="K40" s="13"/>
      <c r="L40" s="332"/>
      <c r="N40" s="320"/>
      <c r="O40" s="320"/>
    </row>
    <row r="41" spans="1:15" x14ac:dyDescent="0.25">
      <c r="A41" s="357" t="s">
        <v>306</v>
      </c>
      <c r="B41" s="299"/>
      <c r="C41" s="299"/>
      <c r="D41" s="299"/>
      <c r="E41" s="299"/>
      <c r="F41" s="299"/>
      <c r="G41" s="300">
        <f>G42+2%</f>
        <v>0.26793472181904188</v>
      </c>
      <c r="H41" s="301">
        <f>H42+2%</f>
        <v>0.25793472181904187</v>
      </c>
      <c r="I41" s="301">
        <f t="shared" ref="I41:L41" si="41">I42+2%</f>
        <v>0.24793472181904186</v>
      </c>
      <c r="J41" s="301">
        <f t="shared" si="41"/>
        <v>0.23793472181904185</v>
      </c>
      <c r="K41" s="301">
        <f t="shared" si="41"/>
        <v>0.22793472181904184</v>
      </c>
      <c r="L41" s="301">
        <f t="shared" si="41"/>
        <v>0.21793472181904183</v>
      </c>
      <c r="N41" s="320"/>
      <c r="O41" s="320"/>
    </row>
    <row r="42" spans="1:15" x14ac:dyDescent="0.25">
      <c r="A42" s="357" t="s">
        <v>307</v>
      </c>
      <c r="B42" s="299"/>
      <c r="C42" s="299"/>
      <c r="D42" s="299"/>
      <c r="E42" s="299"/>
      <c r="F42" s="299"/>
      <c r="G42" s="300">
        <f>AVERAGE(C39:E39)</f>
        <v>0.24793472181904189</v>
      </c>
      <c r="H42" s="301">
        <f>G42-1%</f>
        <v>0.23793472181904188</v>
      </c>
      <c r="I42" s="301">
        <f t="shared" ref="I42:L42" si="42">H42-1%</f>
        <v>0.22793472181904187</v>
      </c>
      <c r="J42" s="301">
        <f t="shared" si="42"/>
        <v>0.21793472181904186</v>
      </c>
      <c r="K42" s="301">
        <f t="shared" si="42"/>
        <v>0.20793472181904185</v>
      </c>
      <c r="L42" s="301">
        <f t="shared" si="42"/>
        <v>0.19793472181904184</v>
      </c>
      <c r="N42" s="320"/>
      <c r="O42" s="320"/>
    </row>
    <row r="43" spans="1:15" x14ac:dyDescent="0.25">
      <c r="A43" s="357" t="s">
        <v>308</v>
      </c>
      <c r="B43" s="299"/>
      <c r="C43" s="299"/>
      <c r="D43" s="299"/>
      <c r="E43" s="299"/>
      <c r="F43" s="299"/>
      <c r="G43" s="300">
        <f>G42-2%</f>
        <v>0.2279347218190419</v>
      </c>
      <c r="H43" s="301">
        <f>H42-2%</f>
        <v>0.21793472181904189</v>
      </c>
      <c r="I43" s="301">
        <f t="shared" ref="I43" si="43">I42-2%</f>
        <v>0.20793472181904188</v>
      </c>
      <c r="J43" s="301">
        <f t="shared" ref="J43" si="44">J42-2%</f>
        <v>0.19793472181904187</v>
      </c>
      <c r="K43" s="301">
        <f t="shared" ref="K43" si="45">K42-2%</f>
        <v>0.18793472181904186</v>
      </c>
      <c r="L43" s="358">
        <f t="shared" ref="L43" si="46">L42-2%</f>
        <v>0.17793472181904185</v>
      </c>
      <c r="N43" s="320"/>
      <c r="O43" s="320"/>
    </row>
    <row r="44" spans="1:15" x14ac:dyDescent="0.25">
      <c r="A44" s="353"/>
      <c r="B44" s="13"/>
      <c r="C44" s="13"/>
      <c r="D44" s="13"/>
      <c r="E44" s="13"/>
      <c r="F44" s="13"/>
      <c r="G44" s="303"/>
      <c r="H44" s="13"/>
      <c r="I44" s="13"/>
      <c r="J44" s="13"/>
      <c r="K44" s="13"/>
      <c r="L44" s="332"/>
      <c r="N44" s="320"/>
      <c r="O44" s="320"/>
    </row>
    <row r="45" spans="1:15" x14ac:dyDescent="0.25">
      <c r="A45" s="351" t="s">
        <v>159</v>
      </c>
      <c r="B45" s="13">
        <v>90291</v>
      </c>
      <c r="C45" s="13">
        <v>130265</v>
      </c>
      <c r="D45" s="13">
        <v>176797</v>
      </c>
      <c r="E45" s="13">
        <v>246005</v>
      </c>
      <c r="F45" s="13">
        <v>371889</v>
      </c>
      <c r="G45" s="303">
        <f>F45*(1+G46)</f>
        <v>539239.04999999993</v>
      </c>
      <c r="H45" s="13">
        <f t="shared" ref="H45:L45" si="47">G45*(1+H46)</f>
        <v>776504.23199999984</v>
      </c>
      <c r="I45" s="13">
        <f t="shared" si="47"/>
        <v>1110401.0517599997</v>
      </c>
      <c r="J45" s="13">
        <f t="shared" si="47"/>
        <v>1576769.4934991996</v>
      </c>
      <c r="K45" s="13">
        <f t="shared" si="47"/>
        <v>2223244.9858338712</v>
      </c>
      <c r="L45" s="332">
        <f t="shared" si="47"/>
        <v>3112542.9801674196</v>
      </c>
      <c r="N45" s="305"/>
      <c r="O45" s="308"/>
    </row>
    <row r="46" spans="1:15" x14ac:dyDescent="0.25">
      <c r="A46" s="352" t="s">
        <v>167</v>
      </c>
      <c r="B46" s="13"/>
      <c r="C46" s="310">
        <f>C45/B45-1</f>
        <v>0.44272408102690197</v>
      </c>
      <c r="D46" s="310">
        <f t="shared" ref="D46:F46" si="48">D45/C45-1</f>
        <v>0.35721030207653626</v>
      </c>
      <c r="E46" s="310">
        <f t="shared" si="48"/>
        <v>0.39145460613019445</v>
      </c>
      <c r="F46" s="310">
        <f t="shared" si="48"/>
        <v>0.51171317656145199</v>
      </c>
      <c r="G46" s="306">
        <f>CHOOSE('Scenario Analysis'!$N$4,'Revenue model'!G48,'Revenue model'!G49,'Revenue model'!G50)</f>
        <v>0.45</v>
      </c>
      <c r="H46" s="307">
        <f>CHOOSE('Scenario Analysis'!$N$4,'Revenue model'!H48,'Revenue model'!H49,'Revenue model'!H50)</f>
        <v>0.44</v>
      </c>
      <c r="I46" s="307">
        <f>CHOOSE('Scenario Analysis'!$N$4,'Revenue model'!I48,'Revenue model'!I49,'Revenue model'!I50)</f>
        <v>0.43</v>
      </c>
      <c r="J46" s="307">
        <f>CHOOSE('Scenario Analysis'!$N$4,'Revenue model'!J48,'Revenue model'!J49,'Revenue model'!J50)</f>
        <v>0.42</v>
      </c>
      <c r="K46" s="307">
        <f>CHOOSE('Scenario Analysis'!$N$4,'Revenue model'!K48,'Revenue model'!K49,'Revenue model'!K50)</f>
        <v>0.41</v>
      </c>
      <c r="L46" s="333">
        <f>CHOOSE('Scenario Analysis'!$N$4,'Revenue model'!L48,'Revenue model'!L49,'Revenue model'!L50)</f>
        <v>0.39999999999999997</v>
      </c>
      <c r="N46" s="125" t="s">
        <v>181</v>
      </c>
    </row>
    <row r="47" spans="1:15" x14ac:dyDescent="0.25">
      <c r="A47" s="353"/>
      <c r="B47" s="13"/>
      <c r="C47" s="13"/>
      <c r="D47" s="13"/>
      <c r="E47" s="13"/>
      <c r="F47" s="13"/>
      <c r="G47" s="303"/>
      <c r="H47" s="13"/>
      <c r="I47" s="13"/>
      <c r="J47" s="13"/>
      <c r="K47" s="13"/>
      <c r="L47" s="332"/>
      <c r="N47" s="320"/>
      <c r="O47" s="320"/>
    </row>
    <row r="48" spans="1:15" x14ac:dyDescent="0.25">
      <c r="A48" s="357" t="s">
        <v>306</v>
      </c>
      <c r="B48" s="299"/>
      <c r="C48" s="299"/>
      <c r="D48" s="299"/>
      <c r="E48" s="299"/>
      <c r="F48" s="299"/>
      <c r="G48" s="300">
        <f>G49+1%</f>
        <v>0.46</v>
      </c>
      <c r="H48" s="301">
        <f>H49+1%</f>
        <v>0.45</v>
      </c>
      <c r="I48" s="301">
        <f t="shared" ref="I48:L48" si="49">I49+1%</f>
        <v>0.44</v>
      </c>
      <c r="J48" s="301">
        <f t="shared" si="49"/>
        <v>0.43</v>
      </c>
      <c r="K48" s="301">
        <f t="shared" si="49"/>
        <v>0.42</v>
      </c>
      <c r="L48" s="301">
        <f t="shared" si="49"/>
        <v>0.41</v>
      </c>
      <c r="N48" s="320"/>
      <c r="O48" s="320"/>
    </row>
    <row r="49" spans="1:70" x14ac:dyDescent="0.25">
      <c r="A49" s="357" t="s">
        <v>307</v>
      </c>
      <c r="B49" s="299"/>
      <c r="C49" s="299"/>
      <c r="D49" s="299"/>
      <c r="E49" s="299"/>
      <c r="F49" s="299"/>
      <c r="G49" s="300">
        <v>0.45</v>
      </c>
      <c r="H49" s="301">
        <f>G49-1%</f>
        <v>0.44</v>
      </c>
      <c r="I49" s="301">
        <f t="shared" ref="I49:L49" si="50">H49-1%</f>
        <v>0.43</v>
      </c>
      <c r="J49" s="301">
        <f t="shared" si="50"/>
        <v>0.42</v>
      </c>
      <c r="K49" s="301">
        <f t="shared" si="50"/>
        <v>0.41</v>
      </c>
      <c r="L49" s="301">
        <f t="shared" si="50"/>
        <v>0.39999999999999997</v>
      </c>
      <c r="N49" s="320"/>
      <c r="O49" s="320"/>
    </row>
    <row r="50" spans="1:70" x14ac:dyDescent="0.25">
      <c r="A50" s="357" t="s">
        <v>308</v>
      </c>
      <c r="B50" s="299"/>
      <c r="C50" s="299"/>
      <c r="D50" s="299"/>
      <c r="E50" s="299"/>
      <c r="F50" s="299"/>
      <c r="G50" s="300">
        <f>G49-1%</f>
        <v>0.44</v>
      </c>
      <c r="H50" s="301">
        <f>H49-1%</f>
        <v>0.43</v>
      </c>
      <c r="I50" s="301">
        <f t="shared" ref="I50:L50" si="51">I49-1%</f>
        <v>0.42</v>
      </c>
      <c r="J50" s="301">
        <f t="shared" si="51"/>
        <v>0.41</v>
      </c>
      <c r="K50" s="301">
        <f t="shared" si="51"/>
        <v>0.39999999999999997</v>
      </c>
      <c r="L50" s="301">
        <f t="shared" si="51"/>
        <v>0.38999999999999996</v>
      </c>
      <c r="N50" s="320"/>
      <c r="O50" s="320"/>
    </row>
    <row r="51" spans="1:70" x14ac:dyDescent="0.25">
      <c r="A51" s="353"/>
      <c r="B51" s="13"/>
      <c r="C51" s="13"/>
      <c r="D51" s="13"/>
      <c r="E51" s="13"/>
      <c r="F51" s="13"/>
      <c r="G51" s="303"/>
      <c r="H51" s="13"/>
      <c r="I51" s="13"/>
      <c r="J51" s="13"/>
      <c r="K51" s="13"/>
      <c r="L51" s="332"/>
      <c r="N51" s="320"/>
      <c r="O51" s="320"/>
    </row>
    <row r="52" spans="1:70" x14ac:dyDescent="0.25">
      <c r="A52" s="353" t="s">
        <v>154</v>
      </c>
      <c r="B52" s="13">
        <v>11860</v>
      </c>
      <c r="C52" s="13">
        <v>19188</v>
      </c>
      <c r="D52" s="13">
        <v>24408</v>
      </c>
      <c r="E52" s="13">
        <v>33686</v>
      </c>
      <c r="F52" s="13">
        <v>49765</v>
      </c>
      <c r="G52" s="303">
        <f>F52*(1+G53)</f>
        <v>69671</v>
      </c>
      <c r="H52" s="13">
        <f t="shared" ref="H52:L52" si="52">G52*(1+H53)</f>
        <v>96842.69</v>
      </c>
      <c r="I52" s="13">
        <f t="shared" si="52"/>
        <v>133642.91219999999</v>
      </c>
      <c r="J52" s="13">
        <f t="shared" si="52"/>
        <v>183090.78971400001</v>
      </c>
      <c r="K52" s="13">
        <f t="shared" si="52"/>
        <v>249003.47401104</v>
      </c>
      <c r="L52" s="332">
        <f t="shared" si="52"/>
        <v>336154.68991490401</v>
      </c>
      <c r="N52" s="305"/>
      <c r="O52" s="308"/>
    </row>
    <row r="53" spans="1:70" x14ac:dyDescent="0.25">
      <c r="A53" s="352" t="s">
        <v>167</v>
      </c>
      <c r="B53" s="13"/>
      <c r="C53" s="310">
        <f>C52/B52-1</f>
        <v>0.61787521079258001</v>
      </c>
      <c r="D53" s="310">
        <f t="shared" ref="D53:F53" si="53">D52/C52-1</f>
        <v>0.27204502814258902</v>
      </c>
      <c r="E53" s="310">
        <f t="shared" si="53"/>
        <v>0.38012127171419197</v>
      </c>
      <c r="F53" s="310">
        <f t="shared" si="53"/>
        <v>0.4773199548773972</v>
      </c>
      <c r="G53" s="311">
        <v>0.4</v>
      </c>
      <c r="H53" s="312">
        <f>G53-1%</f>
        <v>0.39</v>
      </c>
      <c r="I53" s="312">
        <f t="shared" ref="I53:L53" si="54">H53-1%</f>
        <v>0.38</v>
      </c>
      <c r="J53" s="312">
        <f t="shared" si="54"/>
        <v>0.37</v>
      </c>
      <c r="K53" s="312">
        <f t="shared" si="54"/>
        <v>0.36</v>
      </c>
      <c r="L53" s="312">
        <f t="shared" si="54"/>
        <v>0.35</v>
      </c>
      <c r="N53" s="125" t="s">
        <v>182</v>
      </c>
    </row>
    <row r="54" spans="1:70" x14ac:dyDescent="0.25">
      <c r="A54" s="353"/>
      <c r="B54" s="13"/>
      <c r="C54" s="13"/>
      <c r="D54" s="13"/>
      <c r="E54" s="13"/>
      <c r="F54" s="13"/>
      <c r="G54" s="303"/>
      <c r="H54" s="13"/>
      <c r="I54" s="13"/>
      <c r="J54" s="13"/>
      <c r="K54" s="13"/>
      <c r="L54" s="332"/>
      <c r="N54" s="320"/>
      <c r="O54" s="320"/>
    </row>
    <row r="55" spans="1:70" x14ac:dyDescent="0.25">
      <c r="A55" s="353" t="s">
        <v>155</v>
      </c>
      <c r="B55" s="13">
        <v>9306</v>
      </c>
      <c r="C55" s="13">
        <v>10044</v>
      </c>
      <c r="D55" s="13">
        <v>12183</v>
      </c>
      <c r="E55" s="13">
        <v>18364</v>
      </c>
      <c r="F55" s="13">
        <v>16417</v>
      </c>
      <c r="G55" s="303">
        <f>F55*(1+G56)</f>
        <v>18879.55</v>
      </c>
      <c r="H55" s="13">
        <f t="shared" ref="H55:L55" si="55">G55*(1+H56)</f>
        <v>21522.686999999998</v>
      </c>
      <c r="I55" s="13">
        <f t="shared" si="55"/>
        <v>24320.636309999994</v>
      </c>
      <c r="J55" s="13">
        <f t="shared" si="55"/>
        <v>27239.112667199992</v>
      </c>
      <c r="K55" s="13">
        <f t="shared" si="55"/>
        <v>30235.415060591986</v>
      </c>
      <c r="L55" s="332">
        <f t="shared" si="55"/>
        <v>33258.956566651184</v>
      </c>
      <c r="N55" s="305"/>
      <c r="O55" s="308"/>
    </row>
    <row r="56" spans="1:70" x14ac:dyDescent="0.25">
      <c r="A56" s="352" t="s">
        <v>167</v>
      </c>
      <c r="B56" s="13"/>
      <c r="C56" s="310">
        <f>C55/B55-1</f>
        <v>7.9303675048356004E-2</v>
      </c>
      <c r="D56" s="310">
        <f t="shared" ref="D56:F56" si="56">D55/C55-1</f>
        <v>0.21296296296296302</v>
      </c>
      <c r="E56" s="310">
        <f t="shared" si="56"/>
        <v>0.50734630222441113</v>
      </c>
      <c r="F56" s="310">
        <f t="shared" si="56"/>
        <v>-0.10602265301677194</v>
      </c>
      <c r="G56" s="311">
        <v>0.15</v>
      </c>
      <c r="H56" s="312">
        <f>G56-1%</f>
        <v>0.13999999999999999</v>
      </c>
      <c r="I56" s="312">
        <f t="shared" ref="I56:L56" si="57">H56-1%</f>
        <v>0.12999999999999998</v>
      </c>
      <c r="J56" s="312">
        <f t="shared" si="57"/>
        <v>0.11999999999999998</v>
      </c>
      <c r="K56" s="312">
        <f t="shared" si="57"/>
        <v>0.10999999999999999</v>
      </c>
      <c r="L56" s="336">
        <f t="shared" si="57"/>
        <v>9.9999999999999992E-2</v>
      </c>
      <c r="N56" s="125" t="s">
        <v>183</v>
      </c>
    </row>
    <row r="57" spans="1:70" x14ac:dyDescent="0.25">
      <c r="A57" s="355"/>
      <c r="B57" s="19"/>
      <c r="C57" s="19"/>
      <c r="D57" s="19"/>
      <c r="E57" s="19"/>
      <c r="F57" s="19"/>
      <c r="G57" s="303"/>
      <c r="H57" s="19"/>
      <c r="I57" s="19"/>
      <c r="J57" s="19"/>
      <c r="K57" s="19"/>
      <c r="L57" s="340"/>
    </row>
    <row r="58" spans="1:70" x14ac:dyDescent="0.25">
      <c r="A58" s="356" t="s">
        <v>160</v>
      </c>
      <c r="B58" s="321">
        <v>166953</v>
      </c>
      <c r="C58" s="321">
        <v>249199</v>
      </c>
      <c r="D58" s="321">
        <v>314451</v>
      </c>
      <c r="E58" s="321">
        <v>426454</v>
      </c>
      <c r="F58" s="321">
        <v>658369</v>
      </c>
      <c r="G58" s="322">
        <f>G31+G38+G45+G52+G55</f>
        <v>910896.00236487063</v>
      </c>
      <c r="H58" s="321">
        <f t="shared" ref="H58:L58" si="58">H31+H38+H45+H52+H55</f>
        <v>1255982.3971795985</v>
      </c>
      <c r="I58" s="321">
        <f t="shared" si="58"/>
        <v>1725520.2814810944</v>
      </c>
      <c r="J58" s="321">
        <f t="shared" si="58"/>
        <v>2361463.093448204</v>
      </c>
      <c r="K58" s="321">
        <f t="shared" si="58"/>
        <v>3218601.6867328729</v>
      </c>
      <c r="L58" s="341">
        <f t="shared" si="58"/>
        <v>4367947.2061644457</v>
      </c>
    </row>
    <row r="59" spans="1:70" x14ac:dyDescent="0.25">
      <c r="A59" s="352" t="s">
        <v>167</v>
      </c>
      <c r="B59" s="315"/>
      <c r="C59" s="316">
        <f>C58/B58-1</f>
        <v>0.49262966224027127</v>
      </c>
      <c r="D59" s="316">
        <f t="shared" ref="D59:F59" si="59">D58/C58-1</f>
        <v>0.26184695765231814</v>
      </c>
      <c r="E59" s="316">
        <f t="shared" si="59"/>
        <v>0.35618586043612521</v>
      </c>
      <c r="F59" s="316">
        <f t="shared" si="59"/>
        <v>0.54382184244959597</v>
      </c>
      <c r="G59" s="317">
        <f t="shared" ref="G59" si="60">G58/F58-1</f>
        <v>0.38356453958930414</v>
      </c>
      <c r="H59" s="318">
        <f t="shared" ref="H59" si="61">H58/G58-1</f>
        <v>0.37884280304097673</v>
      </c>
      <c r="I59" s="318">
        <f t="shared" ref="I59" si="62">I58/H58-1</f>
        <v>0.37384113452217016</v>
      </c>
      <c r="J59" s="318">
        <f t="shared" ref="J59" si="63">J58/I58-1</f>
        <v>0.36855134001742962</v>
      </c>
      <c r="K59" s="318">
        <f t="shared" ref="K59" si="64">K58/J58-1</f>
        <v>0.36296929461348326</v>
      </c>
      <c r="L59" s="338">
        <f t="shared" ref="L59" si="65">L58/K58-1</f>
        <v>0.35709467380483684</v>
      </c>
    </row>
    <row r="60" spans="1:70" x14ac:dyDescent="0.25">
      <c r="A60" s="348"/>
      <c r="L60" s="152"/>
    </row>
    <row r="61" spans="1:70" x14ac:dyDescent="0.25">
      <c r="A61" s="348"/>
      <c r="L61" s="152"/>
    </row>
    <row r="62" spans="1:70" s="325" customFormat="1" ht="42.95" customHeight="1" x14ac:dyDescent="0.25">
      <c r="A62" s="350" t="s">
        <v>174</v>
      </c>
      <c r="B62" s="334"/>
      <c r="C62" s="334"/>
      <c r="D62" s="334"/>
      <c r="G62" s="326"/>
      <c r="L62" s="335"/>
      <c r="M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7"/>
      <c r="AG62" s="327"/>
      <c r="AH62" s="327"/>
      <c r="AI62" s="327"/>
      <c r="AJ62" s="327"/>
      <c r="AK62" s="327"/>
      <c r="AL62" s="327"/>
      <c r="AM62" s="327"/>
      <c r="AN62" s="327"/>
      <c r="AO62" s="327"/>
      <c r="AP62" s="327"/>
      <c r="AQ62" s="327"/>
      <c r="AR62" s="327"/>
      <c r="AS62" s="327"/>
      <c r="AT62" s="327"/>
      <c r="AU62" s="327"/>
      <c r="AV62" s="327"/>
      <c r="AW62" s="327"/>
      <c r="AX62" s="327"/>
      <c r="AY62" s="327"/>
      <c r="AZ62" s="327"/>
      <c r="BA62" s="327"/>
      <c r="BB62" s="327"/>
      <c r="BC62" s="327"/>
      <c r="BD62" s="327"/>
      <c r="BE62" s="327"/>
      <c r="BF62" s="327"/>
      <c r="BG62" s="327"/>
      <c r="BH62" s="327"/>
      <c r="BI62" s="327"/>
      <c r="BJ62" s="327"/>
      <c r="BK62" s="327"/>
      <c r="BL62" s="327"/>
      <c r="BM62" s="327"/>
      <c r="BN62" s="327"/>
      <c r="BO62" s="327"/>
      <c r="BP62" s="327"/>
      <c r="BQ62" s="327"/>
      <c r="BR62" s="327"/>
    </row>
    <row r="63" spans="1:70" x14ac:dyDescent="0.25">
      <c r="A63" s="353" t="s">
        <v>151</v>
      </c>
      <c r="B63" s="342">
        <f>B9/B5</f>
        <v>0.38568755534818172</v>
      </c>
      <c r="C63" s="342">
        <f t="shared" ref="C63:F63" si="66">C9/C5</f>
        <v>0.31099724974569565</v>
      </c>
      <c r="D63" s="342">
        <f t="shared" si="66"/>
        <v>0.3073951216073938</v>
      </c>
      <c r="E63" s="342">
        <f t="shared" si="66"/>
        <v>0.27174098109641048</v>
      </c>
      <c r="F63" s="342">
        <f t="shared" si="66"/>
        <v>0.23757432128645684</v>
      </c>
      <c r="G63" s="323">
        <f t="shared" ref="G63:L63" si="67">G9/G5</f>
        <v>0.21328482511609648</v>
      </c>
      <c r="H63" s="342">
        <f t="shared" si="67"/>
        <v>0.18988200157376642</v>
      </c>
      <c r="I63" s="342">
        <f t="shared" si="67"/>
        <v>0.16760902247744244</v>
      </c>
      <c r="J63" s="342">
        <f t="shared" si="67"/>
        <v>0.14557820537496466</v>
      </c>
      <c r="K63" s="342">
        <f t="shared" si="67"/>
        <v>0.12432497143320827</v>
      </c>
      <c r="L63" s="343">
        <f t="shared" si="67"/>
        <v>0.10433258853457496</v>
      </c>
      <c r="M63" s="277"/>
    </row>
    <row r="64" spans="1:70" x14ac:dyDescent="0.25">
      <c r="A64" s="353" t="s">
        <v>152</v>
      </c>
      <c r="B64" s="342">
        <f>B16/B5</f>
        <v>0.16249273927078473</v>
      </c>
      <c r="C64" s="342">
        <f t="shared" ref="C64:F64" si="68">C16/C5</f>
        <v>0.16197679237463738</v>
      </c>
      <c r="D64" s="342">
        <f t="shared" si="68"/>
        <v>0.1691519714303755</v>
      </c>
      <c r="E64" s="342">
        <f t="shared" si="68"/>
        <v>0.17702729154336266</v>
      </c>
      <c r="F64" s="342">
        <f t="shared" si="68"/>
        <v>0.15268565089689773</v>
      </c>
      <c r="G64" s="323">
        <f t="shared" ref="G64:L64" si="69">G16/G5</f>
        <v>0.14644779464169788</v>
      </c>
      <c r="H64" s="342">
        <f t="shared" si="69"/>
        <v>0.13937034522963601</v>
      </c>
      <c r="I64" s="342">
        <f t="shared" si="69"/>
        <v>0.1315804111440822</v>
      </c>
      <c r="J64" s="342">
        <f t="shared" si="69"/>
        <v>0.12338762200594948</v>
      </c>
      <c r="K64" s="342">
        <f t="shared" si="69"/>
        <v>0.11486718885535144</v>
      </c>
      <c r="L64" s="343">
        <f t="shared" si="69"/>
        <v>0.10612369315862413</v>
      </c>
    </row>
    <row r="65" spans="1:12" x14ac:dyDescent="0.25">
      <c r="A65" s="353" t="s">
        <v>153</v>
      </c>
      <c r="B65" s="342"/>
      <c r="C65" s="342">
        <f t="shared" ref="C65:F65" si="70">C19/C5</f>
        <v>1.326150020721094E-3</v>
      </c>
      <c r="D65" s="342">
        <f t="shared" si="70"/>
        <v>4.3098194868451383E-3</v>
      </c>
      <c r="E65" s="342">
        <f t="shared" si="70"/>
        <v>1.0608294599950659E-2</v>
      </c>
      <c r="F65" s="342">
        <f t="shared" si="70"/>
        <v>1.5758843970468974E-2</v>
      </c>
      <c r="G65" s="323">
        <f t="shared" ref="G65:L65" si="71">G19/G5</f>
        <v>1.5719629508745659E-2</v>
      </c>
      <c r="H65" s="342">
        <f t="shared" si="71"/>
        <v>1.5563163177848021E-2</v>
      </c>
      <c r="I65" s="342">
        <f t="shared" si="71"/>
        <v>1.5290567084242137E-2</v>
      </c>
      <c r="J65" s="342">
        <f t="shared" si="71"/>
        <v>1.4926151246871645E-2</v>
      </c>
      <c r="K65" s="342">
        <f t="shared" si="71"/>
        <v>1.4469629506104033E-2</v>
      </c>
      <c r="L65" s="343">
        <f t="shared" si="71"/>
        <v>1.3925235246377062E-2</v>
      </c>
    </row>
    <row r="66" spans="1:12" x14ac:dyDescent="0.25">
      <c r="A66" s="353" t="s">
        <v>154</v>
      </c>
      <c r="B66" s="342">
        <f>B22/B5</f>
        <v>3.7501071255130122E-2</v>
      </c>
      <c r="C66" s="342">
        <f t="shared" ref="C66:F66" si="72">C22/C5</f>
        <v>3.4046641299024225E-2</v>
      </c>
      <c r="D66" s="342">
        <f t="shared" si="72"/>
        <v>3.0475636671204093E-2</v>
      </c>
      <c r="E66" s="342">
        <f t="shared" si="72"/>
        <v>2.7942472674288638E-2</v>
      </c>
      <c r="F66" s="342">
        <f t="shared" si="72"/>
        <v>2.4377802148856872E-2</v>
      </c>
      <c r="G66" s="323">
        <f t="shared" ref="G66:L66" si="73">G22/G5</f>
        <v>2.1511316319414053E-2</v>
      </c>
      <c r="H66" s="342">
        <f t="shared" si="73"/>
        <v>1.8820783221056316E-2</v>
      </c>
      <c r="I66" s="342">
        <f t="shared" si="73"/>
        <v>1.6324199278588098E-2</v>
      </c>
      <c r="J66" s="342">
        <f t="shared" si="73"/>
        <v>1.4053044939340811E-2</v>
      </c>
      <c r="K66" s="342">
        <f t="shared" si="73"/>
        <v>1.2001414676963711E-2</v>
      </c>
      <c r="L66" s="343">
        <f t="shared" si="73"/>
        <v>1.0163896724797014E-2</v>
      </c>
    </row>
    <row r="67" spans="1:12" x14ac:dyDescent="0.25">
      <c r="A67" s="353" t="s">
        <v>155</v>
      </c>
      <c r="B67" s="342">
        <f>B25/B5</f>
        <v>1.687583914985193E-2</v>
      </c>
      <c r="C67" s="342">
        <f t="shared" ref="C67:F67" si="74">C25/C5</f>
        <v>2.2228082733677428E-2</v>
      </c>
      <c r="D67" s="342">
        <f t="shared" si="74"/>
        <v>2.6920586252923998E-2</v>
      </c>
      <c r="E67" s="342">
        <f t="shared" si="74"/>
        <v>1.8746069232470949E-2</v>
      </c>
      <c r="F67" s="342">
        <f t="shared" si="74"/>
        <v>1.6321899935710774E-2</v>
      </c>
      <c r="G67" s="323">
        <f t="shared" ref="G67:L67" si="75">G25/G5</f>
        <v>1.5655081115391697E-2</v>
      </c>
      <c r="H67" s="342">
        <f t="shared" si="75"/>
        <v>1.4778361584003174E-2</v>
      </c>
      <c r="I67" s="342">
        <f t="shared" si="75"/>
        <v>1.3725475864158586E-2</v>
      </c>
      <c r="J67" s="342">
        <f t="shared" si="75"/>
        <v>1.255436920403654E-2</v>
      </c>
      <c r="K67" s="342">
        <f t="shared" si="75"/>
        <v>1.1301075756184322E-2</v>
      </c>
      <c r="L67" s="343">
        <f t="shared" si="75"/>
        <v>1.0005821317370964E-2</v>
      </c>
    </row>
    <row r="68" spans="1:12" x14ac:dyDescent="0.25">
      <c r="A68" s="354" t="s">
        <v>156</v>
      </c>
      <c r="B68" s="342">
        <f>B28/B5</f>
        <v>0.60255720502394849</v>
      </c>
      <c r="C68" s="342">
        <f t="shared" ref="C68:F68" si="76">C28/C5</f>
        <v>0.53057491617375574</v>
      </c>
      <c r="D68" s="342">
        <f t="shared" si="76"/>
        <v>0.53825313544874254</v>
      </c>
      <c r="E68" s="342">
        <f t="shared" si="76"/>
        <v>0.50606510914648339</v>
      </c>
      <c r="F68" s="342">
        <f t="shared" si="76"/>
        <v>0.44671851823839115</v>
      </c>
      <c r="G68" s="323">
        <f t="shared" ref="G68:L68" si="77">G28/G5</f>
        <v>0.41261864670134568</v>
      </c>
      <c r="H68" s="342">
        <f t="shared" si="77"/>
        <v>0.37841465478630992</v>
      </c>
      <c r="I68" s="342">
        <f t="shared" si="77"/>
        <v>0.34452967584851346</v>
      </c>
      <c r="J68" s="342">
        <f t="shared" si="77"/>
        <v>0.31049939277116312</v>
      </c>
      <c r="K68" s="342">
        <f t="shared" si="77"/>
        <v>0.27696428022781172</v>
      </c>
      <c r="L68" s="343">
        <f t="shared" si="77"/>
        <v>0.24455123498174408</v>
      </c>
    </row>
    <row r="69" spans="1:12" x14ac:dyDescent="0.25">
      <c r="A69" s="353"/>
      <c r="L69" s="152"/>
    </row>
    <row r="70" spans="1:12" x14ac:dyDescent="0.25">
      <c r="A70" s="353" t="s">
        <v>157</v>
      </c>
      <c r="B70" s="342">
        <f>B31/B5</f>
        <v>0.10229058152489597</v>
      </c>
      <c r="C70" s="342">
        <f t="shared" ref="C70:F70" si="78">C31/C5</f>
        <v>0.13849225784575972</v>
      </c>
      <c r="D70" s="342">
        <f t="shared" si="78"/>
        <v>0.11887612829899427</v>
      </c>
      <c r="E70" s="342">
        <f t="shared" si="78"/>
        <v>0.12054932874362535</v>
      </c>
      <c r="F70" s="342">
        <f t="shared" si="78"/>
        <v>0.13217612726745578</v>
      </c>
      <c r="G70" s="323">
        <f t="shared" ref="G70:L70" si="79">G31/G5</f>
        <v>0.13184721889745232</v>
      </c>
      <c r="H70" s="342">
        <f t="shared" si="79"/>
        <v>0.13053486922862173</v>
      </c>
      <c r="I70" s="342">
        <f t="shared" si="79"/>
        <v>0.12824848984517317</v>
      </c>
      <c r="J70" s="342">
        <f t="shared" si="79"/>
        <v>0.12519197921604197</v>
      </c>
      <c r="K70" s="342">
        <f t="shared" si="79"/>
        <v>0.12136293719867472</v>
      </c>
      <c r="L70" s="343">
        <f t="shared" si="79"/>
        <v>0.11679687098898414</v>
      </c>
    </row>
    <row r="71" spans="1:12" x14ac:dyDescent="0.25">
      <c r="A71" s="353" t="s">
        <v>158</v>
      </c>
      <c r="B71" s="342">
        <f>B38/B5</f>
        <v>2.9821362255634802E-2</v>
      </c>
      <c r="C71" s="342">
        <f t="shared" ref="C71:F71" si="80">C38/C5</f>
        <v>3.0482613118336284E-2</v>
      </c>
      <c r="D71" s="342">
        <f t="shared" si="80"/>
        <v>2.9527035857404446E-2</v>
      </c>
      <c r="E71" s="342">
        <f t="shared" si="80"/>
        <v>2.8167170692892245E-2</v>
      </c>
      <c r="F71" s="342">
        <f t="shared" si="80"/>
        <v>5.2958354868123052E-2</v>
      </c>
      <c r="G71" s="323">
        <f t="shared" ref="G71:L71" si="81">G38/G5</f>
        <v>5.0710857235130094E-2</v>
      </c>
      <c r="H71" s="342">
        <f t="shared" si="81"/>
        <v>4.8179750980818385E-2</v>
      </c>
      <c r="I71" s="342">
        <f t="shared" si="81"/>
        <v>4.5410426695595987E-2</v>
      </c>
      <c r="J71" s="342">
        <f t="shared" si="81"/>
        <v>4.2510882345485723E-2</v>
      </c>
      <c r="K71" s="342">
        <f t="shared" si="81"/>
        <v>3.9507778693440583E-2</v>
      </c>
      <c r="L71" s="343">
        <f t="shared" si="81"/>
        <v>3.6437693789675485E-2</v>
      </c>
    </row>
    <row r="72" spans="1:12" x14ac:dyDescent="0.25">
      <c r="A72" s="353" t="s">
        <v>159</v>
      </c>
      <c r="B72" s="342">
        <f>B45/B5</f>
        <v>0.2149437710085034</v>
      </c>
      <c r="C72" s="342">
        <f t="shared" ref="C72:F72" si="82">C45/C5</f>
        <v>0.24538484722902459</v>
      </c>
      <c r="D72" s="342">
        <f t="shared" si="82"/>
        <v>0.25961265956243951</v>
      </c>
      <c r="E72" s="342">
        <f t="shared" si="82"/>
        <v>0.28493214467309336</v>
      </c>
      <c r="F72" s="342">
        <f t="shared" si="82"/>
        <v>0.31252883560866768</v>
      </c>
      <c r="G72" s="323">
        <f t="shared" ref="G72:L72" si="83">G45/G5</f>
        <v>0.34772242069145337</v>
      </c>
      <c r="H72" s="342">
        <f t="shared" si="83"/>
        <v>0.38429173226588859</v>
      </c>
      <c r="I72" s="342">
        <f t="shared" si="83"/>
        <v>0.42180607504105594</v>
      </c>
      <c r="J72" s="342">
        <f t="shared" si="83"/>
        <v>0.4603855661534394</v>
      </c>
      <c r="K72" s="342">
        <f t="shared" si="83"/>
        <v>0.49943599582029125</v>
      </c>
      <c r="L72" s="343">
        <f t="shared" si="83"/>
        <v>0.53832307018620917</v>
      </c>
    </row>
    <row r="73" spans="1:12" x14ac:dyDescent="0.25">
      <c r="A73" s="353" t="s">
        <v>154</v>
      </c>
      <c r="B73" s="342">
        <f>B52/B5</f>
        <v>2.8233524096098726E-2</v>
      </c>
      <c r="C73" s="342">
        <f t="shared" ref="C73:F73" si="84">C52/C5</f>
        <v>3.6145123007949365E-2</v>
      </c>
      <c r="D73" s="342">
        <f t="shared" si="84"/>
        <v>3.5841251800652861E-2</v>
      </c>
      <c r="E73" s="342">
        <f t="shared" si="84"/>
        <v>3.9016378632376669E-2</v>
      </c>
      <c r="F73" s="342">
        <f t="shared" si="84"/>
        <v>4.1821612104862869E-2</v>
      </c>
      <c r="G73" s="323">
        <f t="shared" ref="G73:L73" si="85">G52/G5</f>
        <v>4.4926584549086809E-2</v>
      </c>
      <c r="H73" s="342">
        <f t="shared" si="85"/>
        <v>4.7927420822335524E-2</v>
      </c>
      <c r="I73" s="342">
        <f t="shared" si="85"/>
        <v>5.0766695657203383E-2</v>
      </c>
      <c r="J73" s="342">
        <f t="shared" si="85"/>
        <v>5.3458896324089115E-2</v>
      </c>
      <c r="K73" s="342">
        <f t="shared" si="85"/>
        <v>5.5936839528627866E-2</v>
      </c>
      <c r="L73" s="343">
        <f t="shared" si="85"/>
        <v>5.8138899891673354E-2</v>
      </c>
    </row>
    <row r="74" spans="1:12" x14ac:dyDescent="0.25">
      <c r="A74" s="353" t="s">
        <v>155</v>
      </c>
      <c r="B74" s="342">
        <f>B55/B5</f>
        <v>2.2153556090918614E-2</v>
      </c>
      <c r="C74" s="342">
        <f t="shared" ref="C74:F74" si="86">C55/C5</f>
        <v>1.8920242625174246E-2</v>
      </c>
      <c r="D74" s="342">
        <f t="shared" si="86"/>
        <v>1.7889789031766381E-2</v>
      </c>
      <c r="E74" s="342">
        <f t="shared" si="86"/>
        <v>2.1269868111528978E-2</v>
      </c>
      <c r="F74" s="342">
        <f t="shared" si="86"/>
        <v>1.3796551912499422E-2</v>
      </c>
      <c r="G74" s="323">
        <f t="shared" ref="G74:L74" si="87">G55/G5</f>
        <v>1.2174271925531596E-2</v>
      </c>
      <c r="H74" s="342">
        <f t="shared" si="87"/>
        <v>1.0651571916025979E-2</v>
      </c>
      <c r="I74" s="342">
        <f t="shared" si="87"/>
        <v>9.2386369124579718E-3</v>
      </c>
      <c r="J74" s="342">
        <f t="shared" si="87"/>
        <v>7.9532831897806862E-3</v>
      </c>
      <c r="K74" s="342">
        <f t="shared" si="87"/>
        <v>6.7921685311539328E-3</v>
      </c>
      <c r="L74" s="343">
        <f t="shared" si="87"/>
        <v>5.752230161713754E-3</v>
      </c>
    </row>
    <row r="75" spans="1:12" x14ac:dyDescent="0.25">
      <c r="A75" s="356" t="s">
        <v>160</v>
      </c>
      <c r="B75" s="344">
        <f>B58/B5</f>
        <v>0.39744279497605151</v>
      </c>
      <c r="C75" s="344">
        <f t="shared" ref="C75:F75" si="88">C58/C5</f>
        <v>0.4694250838262442</v>
      </c>
      <c r="D75" s="344">
        <f t="shared" si="88"/>
        <v>0.46174686455125746</v>
      </c>
      <c r="E75" s="344">
        <f t="shared" si="88"/>
        <v>0.49393489085351661</v>
      </c>
      <c r="F75" s="344">
        <f t="shared" si="88"/>
        <v>0.55328148176160885</v>
      </c>
      <c r="G75" s="345">
        <f t="shared" ref="G75:L75" si="89">G58/G5</f>
        <v>0.58738135329865426</v>
      </c>
      <c r="H75" s="344">
        <f t="shared" si="89"/>
        <v>0.62158534521369002</v>
      </c>
      <c r="I75" s="344">
        <f t="shared" si="89"/>
        <v>0.65547032415148643</v>
      </c>
      <c r="J75" s="344">
        <f t="shared" si="89"/>
        <v>0.68950060722883688</v>
      </c>
      <c r="K75" s="344">
        <f t="shared" si="89"/>
        <v>0.72303571977218828</v>
      </c>
      <c r="L75" s="346">
        <f t="shared" si="89"/>
        <v>0.75544876501825597</v>
      </c>
    </row>
    <row r="77" spans="1:12" x14ac:dyDescent="0.25">
      <c r="B77" s="146"/>
      <c r="C77" s="146"/>
      <c r="D77" s="146"/>
      <c r="E77" s="146"/>
      <c r="F77" s="146"/>
      <c r="G77" s="324"/>
      <c r="H77" s="146"/>
      <c r="I77" s="146"/>
      <c r="J77" s="146"/>
      <c r="K77" s="146"/>
      <c r="L77" s="146"/>
    </row>
  </sheetData>
  <phoneticPr fontId="15" type="noConversion"/>
  <hyperlinks>
    <hyperlink ref="A1" location="Index!A1" display="Index" xr:uid="{EEAF1E4D-7B7B-4353-A54F-124DCDAEB743}"/>
  </hyperlinks>
  <pageMargins left="0.7" right="0.7" top="0.75" bottom="0.75" header="0.3" footer="0.3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63F290A0-B553-4CF6-9537-5F4CAF6A55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'Revenue model'!B63:L63</xm:f>
              <xm:sqref>M63</xm:sqref>
            </x14:sparkline>
            <x14:sparkline>
              <xm:f>'Revenue model'!B64:L64</xm:f>
              <xm:sqref>M64</xm:sqref>
            </x14:sparkline>
            <x14:sparkline>
              <xm:f>'Revenue model'!B65:L65</xm:f>
              <xm:sqref>M65</xm:sqref>
            </x14:sparkline>
            <x14:sparkline>
              <xm:f>'Revenue model'!B66:L66</xm:f>
              <xm:sqref>M66</xm:sqref>
            </x14:sparkline>
            <x14:sparkline>
              <xm:f>'Revenue model'!B67:L67</xm:f>
              <xm:sqref>M67</xm:sqref>
            </x14:sparkline>
            <x14:sparkline>
              <xm:f>'Revenue model'!B68:L68</xm:f>
              <xm:sqref>M68</xm:sqref>
            </x14:sparkline>
            <x14:sparkline>
              <xm:f>'Revenue model'!B69:L69</xm:f>
              <xm:sqref>M69</xm:sqref>
            </x14:sparkline>
            <x14:sparkline>
              <xm:f>'Revenue model'!B70:L70</xm:f>
              <xm:sqref>M70</xm:sqref>
            </x14:sparkline>
            <x14:sparkline>
              <xm:f>'Revenue model'!B71:L71</xm:f>
              <xm:sqref>M71</xm:sqref>
            </x14:sparkline>
            <x14:sparkline>
              <xm:f>'Revenue model'!B72:L72</xm:f>
              <xm:sqref>M72</xm:sqref>
            </x14:sparkline>
            <x14:sparkline>
              <xm:f>'Revenue model'!B73:L73</xm:f>
              <xm:sqref>M73</xm:sqref>
            </x14:sparkline>
            <x14:sparkline>
              <xm:f>'Revenue model'!B74:L74</xm:f>
              <xm:sqref>M74</xm:sqref>
            </x14:sparkline>
            <x14:sparkline>
              <xm:f>'Revenue model'!B75:L75</xm:f>
              <xm:sqref>M75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2"/>
  <sheetViews>
    <sheetView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D65" sqref="D65"/>
    </sheetView>
  </sheetViews>
  <sheetFormatPr defaultRowHeight="15" x14ac:dyDescent="0.25"/>
  <cols>
    <col min="1" max="1" width="48.28515625" customWidth="1"/>
    <col min="2" max="2" width="8.85546875" bestFit="1" customWidth="1"/>
    <col min="3" max="4" width="8.140625" bestFit="1" customWidth="1"/>
    <col min="5" max="5" width="9.42578125" bestFit="1" customWidth="1"/>
    <col min="6" max="6" width="9.5703125" bestFit="1" customWidth="1"/>
    <col min="7" max="7" width="10" style="95" bestFit="1" customWidth="1"/>
    <col min="8" max="12" width="10" bestFit="1" customWidth="1"/>
    <col min="14" max="14" width="11.5703125" bestFit="1" customWidth="1"/>
  </cols>
  <sheetData>
    <row r="1" spans="1:67" x14ac:dyDescent="0.25">
      <c r="A1" s="260" t="s">
        <v>332</v>
      </c>
    </row>
    <row r="2" spans="1:67" s="4" customFormat="1" x14ac:dyDescent="0.25">
      <c r="A2" s="1" t="s">
        <v>0</v>
      </c>
      <c r="B2" s="2" t="s">
        <v>46</v>
      </c>
      <c r="C2" s="2" t="s">
        <v>1</v>
      </c>
      <c r="D2" s="2" t="s">
        <v>2</v>
      </c>
      <c r="E2" s="2" t="s">
        <v>3</v>
      </c>
      <c r="F2" s="2" t="s">
        <v>4</v>
      </c>
      <c r="G2" s="105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N2" s="2"/>
    </row>
    <row r="3" spans="1:67" s="6" customFormat="1" ht="42.95" customHeight="1" x14ac:dyDescent="0.25">
      <c r="A3" s="5" t="s">
        <v>5</v>
      </c>
      <c r="B3" s="7"/>
      <c r="C3" s="7"/>
      <c r="D3" s="7"/>
      <c r="G3" s="94"/>
      <c r="M3" s="8"/>
      <c r="N3" s="6" t="s">
        <v>166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s="11" customFormat="1" x14ac:dyDescent="0.25">
      <c r="A4" s="9" t="s">
        <v>6</v>
      </c>
      <c r="B4" s="61">
        <v>420068</v>
      </c>
      <c r="C4" s="10">
        <v>530860</v>
      </c>
      <c r="D4" s="10">
        <v>681003</v>
      </c>
      <c r="E4" s="10">
        <v>863381</v>
      </c>
      <c r="F4" s="12">
        <v>1189935</v>
      </c>
      <c r="G4" s="106">
        <f>'Revenue model'!G5</f>
        <v>1550774.4623648706</v>
      </c>
      <c r="H4" s="12">
        <f>'Revenue model'!H5</f>
        <v>2020611.3397795984</v>
      </c>
      <c r="I4" s="12">
        <f>'Revenue model'!I5</f>
        <v>2632491.8427310945</v>
      </c>
      <c r="J4" s="12">
        <f>'Revenue model'!J5</f>
        <v>3424889.0699881036</v>
      </c>
      <c r="K4" s="12">
        <f>'Revenue model'!K5</f>
        <v>4451511.3136415714</v>
      </c>
      <c r="L4" s="12">
        <f>'Revenue model'!L5</f>
        <v>5781923.8159174053</v>
      </c>
      <c r="N4" s="12"/>
    </row>
    <row r="5" spans="1:67" s="11" customFormat="1" x14ac:dyDescent="0.25">
      <c r="A5" s="16" t="s">
        <v>7</v>
      </c>
      <c r="B5" s="62">
        <v>161485</v>
      </c>
      <c r="C5" s="17">
        <v>223574</v>
      </c>
      <c r="D5" s="17">
        <v>264672</v>
      </c>
      <c r="E5" s="17">
        <v>322471</v>
      </c>
      <c r="F5" s="18">
        <v>461297</v>
      </c>
      <c r="G5" s="107">
        <f>G4*G21</f>
        <v>558278.80645135336</v>
      </c>
      <c r="H5" s="17">
        <f t="shared" ref="H5:L5" si="0">H4*H21</f>
        <v>727420.08232065535</v>
      </c>
      <c r="I5" s="17">
        <f t="shared" si="0"/>
        <v>934534.60416953848</v>
      </c>
      <c r="J5" s="17">
        <f t="shared" si="0"/>
        <v>1215835.6198457768</v>
      </c>
      <c r="K5" s="17">
        <f t="shared" si="0"/>
        <v>1558028.9597745498</v>
      </c>
      <c r="L5" s="17">
        <f t="shared" si="0"/>
        <v>2023673.3355710916</v>
      </c>
      <c r="N5" s="18"/>
    </row>
    <row r="6" spans="1:67" s="11" customFormat="1" x14ac:dyDescent="0.25">
      <c r="A6" s="9" t="s">
        <v>8</v>
      </c>
      <c r="B6" s="61">
        <v>258583</v>
      </c>
      <c r="C6" s="10">
        <v>307286</v>
      </c>
      <c r="D6" s="10">
        <v>416331</v>
      </c>
      <c r="E6" s="10">
        <v>540910</v>
      </c>
      <c r="F6" s="12">
        <v>728638</v>
      </c>
      <c r="G6" s="106">
        <f>G4-G5</f>
        <v>992495.65591351723</v>
      </c>
      <c r="H6" s="12">
        <f t="shared" ref="H6:L6" si="1">H4-H5</f>
        <v>1293191.2574589429</v>
      </c>
      <c r="I6" s="12">
        <f t="shared" si="1"/>
        <v>1697957.238561556</v>
      </c>
      <c r="J6" s="12">
        <f t="shared" si="1"/>
        <v>2209053.4501423268</v>
      </c>
      <c r="K6" s="12">
        <f t="shared" si="1"/>
        <v>2893482.3538670214</v>
      </c>
      <c r="L6" s="12">
        <f t="shared" si="1"/>
        <v>3758250.4803463137</v>
      </c>
      <c r="N6" s="12"/>
    </row>
    <row r="7" spans="1:67" s="11" customFormat="1" ht="14.1" customHeight="1" x14ac:dyDescent="0.25">
      <c r="A7" s="9" t="s">
        <v>9</v>
      </c>
      <c r="B7" s="63"/>
      <c r="C7" s="20"/>
      <c r="D7" s="20"/>
      <c r="E7" s="20"/>
      <c r="F7" s="21"/>
      <c r="G7" s="108"/>
      <c r="H7" s="21"/>
      <c r="I7" s="21"/>
      <c r="J7" s="21"/>
      <c r="K7" s="21"/>
      <c r="L7" s="21"/>
      <c r="N7" s="21"/>
    </row>
    <row r="8" spans="1:67" s="11" customFormat="1" x14ac:dyDescent="0.25">
      <c r="A8" s="9" t="s">
        <v>10</v>
      </c>
      <c r="B8" s="61">
        <v>156886</v>
      </c>
      <c r="C8" s="10">
        <v>212959</v>
      </c>
      <c r="D8" s="10">
        <v>307286</v>
      </c>
      <c r="E8" s="10">
        <v>515007</v>
      </c>
      <c r="F8" s="12">
        <v>401575</v>
      </c>
      <c r="G8" s="106">
        <f>G4*G28</f>
        <v>496247.82795675861</v>
      </c>
      <c r="H8" s="12">
        <f t="shared" ref="H8:L8" si="2">H4*H28</f>
        <v>646595.62872947147</v>
      </c>
      <c r="I8" s="12">
        <f t="shared" si="2"/>
        <v>789747.55281932827</v>
      </c>
      <c r="J8" s="12">
        <f t="shared" si="2"/>
        <v>1027466.7209964311</v>
      </c>
      <c r="K8" s="12">
        <f t="shared" si="2"/>
        <v>1290938.2809560557</v>
      </c>
      <c r="L8" s="12">
        <f t="shared" si="2"/>
        <v>1676757.9066160475</v>
      </c>
      <c r="N8" s="12"/>
    </row>
    <row r="9" spans="1:67" s="11" customFormat="1" x14ac:dyDescent="0.25">
      <c r="A9" s="16" t="s">
        <v>11</v>
      </c>
      <c r="B9" s="62">
        <v>76856</v>
      </c>
      <c r="C9" s="17">
        <v>100721</v>
      </c>
      <c r="D9" s="17">
        <v>123195</v>
      </c>
      <c r="E9" s="17">
        <v>194026</v>
      </c>
      <c r="F9" s="18">
        <v>233810</v>
      </c>
      <c r="G9" s="107">
        <f>G4*G34</f>
        <v>279139.40322567668</v>
      </c>
      <c r="H9" s="17">
        <f t="shared" ref="H9:L9" si="3">H4*H34</f>
        <v>353606.9844614297</v>
      </c>
      <c r="I9" s="17">
        <f t="shared" si="3"/>
        <v>447523.61326428602</v>
      </c>
      <c r="J9" s="17">
        <f t="shared" si="3"/>
        <v>565106.696548037</v>
      </c>
      <c r="K9" s="17">
        <f t="shared" si="3"/>
        <v>712241.81018265127</v>
      </c>
      <c r="L9" s="17">
        <f t="shared" si="3"/>
        <v>896198.19146719761</v>
      </c>
      <c r="N9" s="18"/>
    </row>
    <row r="10" spans="1:67" s="11" customFormat="1" x14ac:dyDescent="0.25">
      <c r="A10" s="16" t="s">
        <v>12</v>
      </c>
      <c r="B10" s="64">
        <v>233742</v>
      </c>
      <c r="C10" s="17">
        <v>313680</v>
      </c>
      <c r="D10" s="17">
        <v>430481</v>
      </c>
      <c r="E10" s="17">
        <v>709033</v>
      </c>
      <c r="F10" s="18">
        <v>635385</v>
      </c>
      <c r="G10" s="107">
        <f>G8+G9</f>
        <v>775387.23118243529</v>
      </c>
      <c r="H10" s="18">
        <f t="shared" ref="H10:L10" si="4">H8+H9</f>
        <v>1000202.6131909012</v>
      </c>
      <c r="I10" s="18">
        <f t="shared" si="4"/>
        <v>1237271.1660836143</v>
      </c>
      <c r="J10" s="18">
        <f t="shared" si="4"/>
        <v>1592573.4175444681</v>
      </c>
      <c r="K10" s="18">
        <f t="shared" si="4"/>
        <v>2003180.091138707</v>
      </c>
      <c r="L10" s="18">
        <f t="shared" si="4"/>
        <v>2572956.0980832451</v>
      </c>
      <c r="N10" s="18"/>
    </row>
    <row r="11" spans="1:67" s="11" customFormat="1" x14ac:dyDescent="0.25">
      <c r="A11" s="9" t="s">
        <v>13</v>
      </c>
      <c r="B11" s="61">
        <v>24841</v>
      </c>
      <c r="C11" s="10">
        <v>-6394</v>
      </c>
      <c r="D11" s="10">
        <v>-14150</v>
      </c>
      <c r="E11" s="10">
        <v>-168123</v>
      </c>
      <c r="F11" s="12">
        <v>93253</v>
      </c>
      <c r="G11" s="106">
        <f>G6-G10</f>
        <v>217108.42473108193</v>
      </c>
      <c r="H11" s="12">
        <f t="shared" ref="H11:L11" si="5">H6-H10</f>
        <v>292988.64426804171</v>
      </c>
      <c r="I11" s="12">
        <f t="shared" si="5"/>
        <v>460686.07247794163</v>
      </c>
      <c r="J11" s="12">
        <f t="shared" si="5"/>
        <v>616480.03259785869</v>
      </c>
      <c r="K11" s="12">
        <f t="shared" si="5"/>
        <v>890302.26272831438</v>
      </c>
      <c r="L11" s="12">
        <f t="shared" si="5"/>
        <v>1185294.3822630686</v>
      </c>
      <c r="N11" s="12"/>
    </row>
    <row r="12" spans="1:67" s="253" customFormat="1" x14ac:dyDescent="0.25">
      <c r="A12" s="129" t="s">
        <v>14</v>
      </c>
      <c r="B12" s="250">
        <v>3263</v>
      </c>
      <c r="C12" s="251">
        <v>8464</v>
      </c>
      <c r="D12" s="251">
        <v>7859</v>
      </c>
      <c r="E12" s="251">
        <v>26748</v>
      </c>
      <c r="F12" s="252">
        <v>103265</v>
      </c>
      <c r="G12" s="107">
        <f>G40*(BS!G8+BS!G9+BS!G19+BS!G20+BS!G22+BS!G21+BS!G31+BS!G37)</f>
        <v>97869.192123645262</v>
      </c>
      <c r="H12" s="17">
        <f>H40*(BS!H8+BS!H9+BS!H19+BS!H20+BS!H22+BS!H21+BS!H31+BS!H37)</f>
        <v>105264.5353155037</v>
      </c>
      <c r="I12" s="17">
        <f>I40*(BS!I8+BS!I9+BS!I19+BS!I20+BS!I22+BS!I21+BS!I31+BS!I37)</f>
        <v>113221.3025998893</v>
      </c>
      <c r="J12" s="17">
        <f>J40*(BS!J8+BS!J9+BS!J19+BS!J20+BS!J22+BS!J21+BS!J31+BS!J37)</f>
        <v>131064.20776303936</v>
      </c>
      <c r="K12" s="17">
        <f>K40*(BS!K8+BS!K9+BS!K19+BS!K20+BS!K22+BS!K21+BS!K31+BS!K37)</f>
        <v>141631.5994165625</v>
      </c>
      <c r="L12" s="17">
        <f>L40*(BS!L8+BS!L9+BS!L19+BS!L20+BS!L22+BS!L21+BS!L31+BS!L37)</f>
        <v>119877.37856540552</v>
      </c>
      <c r="N12" s="252"/>
    </row>
    <row r="13" spans="1:67" s="11" customFormat="1" x14ac:dyDescent="0.25">
      <c r="A13" s="9" t="s">
        <v>15</v>
      </c>
      <c r="B13" s="65">
        <v>28104</v>
      </c>
      <c r="C13" s="10">
        <v>2070</v>
      </c>
      <c r="D13" s="10">
        <v>-6291</v>
      </c>
      <c r="E13" s="10">
        <v>-141375</v>
      </c>
      <c r="F13" s="12">
        <v>196518</v>
      </c>
      <c r="G13" s="106">
        <f>G11+G12</f>
        <v>314977.61685472721</v>
      </c>
      <c r="H13" s="106">
        <f t="shared" ref="H13:L13" si="6">H11+H12</f>
        <v>398253.17958354542</v>
      </c>
      <c r="I13" s="106">
        <f t="shared" si="6"/>
        <v>573907.37507783098</v>
      </c>
      <c r="J13" s="106">
        <f t="shared" si="6"/>
        <v>747544.24036089808</v>
      </c>
      <c r="K13" s="106">
        <f t="shared" si="6"/>
        <v>1031933.8621448769</v>
      </c>
      <c r="L13" s="106">
        <f t="shared" si="6"/>
        <v>1305171.7608284741</v>
      </c>
      <c r="N13" s="12"/>
    </row>
    <row r="14" spans="1:67" s="11" customFormat="1" x14ac:dyDescent="0.25">
      <c r="A14" s="9" t="s">
        <v>16</v>
      </c>
      <c r="B14" s="10">
        <v>-1101</v>
      </c>
      <c r="C14" s="10">
        <v>1188</v>
      </c>
      <c r="D14" s="10">
        <v>-4567</v>
      </c>
      <c r="E14" s="10">
        <v>-81357</v>
      </c>
      <c r="F14" s="18">
        <v>49379</v>
      </c>
      <c r="G14" s="107">
        <f t="shared" ref="G14:L14" si="7">G13*G41</f>
        <v>79144.300993647281</v>
      </c>
      <c r="H14" s="18">
        <f t="shared" si="7"/>
        <v>100068.91864692238</v>
      </c>
      <c r="I14" s="18">
        <f t="shared" si="7"/>
        <v>144205.47875496504</v>
      </c>
      <c r="J14" s="18">
        <f t="shared" si="7"/>
        <v>187835.14510009662</v>
      </c>
      <c r="K14" s="18">
        <f t="shared" si="7"/>
        <v>259293.61269121344</v>
      </c>
      <c r="L14" s="18">
        <f t="shared" si="7"/>
        <v>327949.99123718555</v>
      </c>
      <c r="N14" s="18"/>
    </row>
    <row r="15" spans="1:67" s="104" customFormat="1" ht="15.75" thickBot="1" x14ac:dyDescent="0.3">
      <c r="A15" s="100" t="s">
        <v>17</v>
      </c>
      <c r="B15" s="101">
        <v>29205</v>
      </c>
      <c r="C15" s="102">
        <v>882</v>
      </c>
      <c r="D15" s="102">
        <v>-1724</v>
      </c>
      <c r="E15" s="102">
        <v>-60018</v>
      </c>
      <c r="F15" s="103">
        <v>147139</v>
      </c>
      <c r="G15" s="109">
        <f>G13-G14</f>
        <v>235833.31586107993</v>
      </c>
      <c r="H15" s="103">
        <f t="shared" ref="H15:L15" si="8">H13-H14</f>
        <v>298184.26093662303</v>
      </c>
      <c r="I15" s="103">
        <f t="shared" si="8"/>
        <v>429701.89632286597</v>
      </c>
      <c r="J15" s="103">
        <f t="shared" si="8"/>
        <v>559709.09526080149</v>
      </c>
      <c r="K15" s="103">
        <f t="shared" si="8"/>
        <v>772640.24945366336</v>
      </c>
      <c r="L15" s="103">
        <f t="shared" si="8"/>
        <v>977221.76959128852</v>
      </c>
      <c r="N15" s="231">
        <f>(L15/G15)^(1/6)-1</f>
        <v>0.26735416371273923</v>
      </c>
      <c r="O15" s="104" t="s">
        <v>297</v>
      </c>
    </row>
    <row r="16" spans="1:67" s="4" customFormat="1" ht="15.75" thickTop="1" x14ac:dyDescent="0.25">
      <c r="A16" s="25"/>
      <c r="B16" s="26"/>
      <c r="C16" s="26"/>
      <c r="D16" s="27"/>
      <c r="E16" s="27"/>
      <c r="F16" s="27"/>
      <c r="G16" s="110"/>
      <c r="H16" s="27"/>
      <c r="I16" s="27"/>
      <c r="J16" s="27"/>
      <c r="K16" s="27"/>
      <c r="L16" s="27"/>
      <c r="N16" s="232"/>
    </row>
    <row r="17" spans="1:67" s="4" customFormat="1" x14ac:dyDescent="0.25">
      <c r="A17" s="25" t="s">
        <v>334</v>
      </c>
      <c r="B17" s="266">
        <f>B15*1000/Schedules!B8</f>
        <v>0.496435590758523</v>
      </c>
      <c r="C17" s="266">
        <f>C15*1000/Schedules!C8</f>
        <v>1.4816507134433764E-2</v>
      </c>
      <c r="D17" s="266">
        <f>D15*1000/Schedules!D8</f>
        <v>-2.7028785923533714E-2</v>
      </c>
      <c r="E17" s="266">
        <f>E15*1000/Schedules!E8</f>
        <v>-0.84613582886587768</v>
      </c>
      <c r="F17" s="266">
        <f>F15*1000/Schedules!F8</f>
        <v>2.0194139825015229</v>
      </c>
      <c r="G17" s="266">
        <f>G15*1000/Schedules!G8</f>
        <v>3.2375250421241613</v>
      </c>
      <c r="H17" s="266">
        <f>H15*1000/Schedules!H8</f>
        <v>4.0945213845280115</v>
      </c>
      <c r="I17" s="266">
        <f>I15*1000/Schedules!I8</f>
        <v>5.9019588060595494</v>
      </c>
      <c r="J17" s="266">
        <f>J15*1000/Schedules!J8</f>
        <v>7.6895649993065689</v>
      </c>
      <c r="K17" s="266">
        <f>K15*1000/Schedules!K8</f>
        <v>10.614920267618663</v>
      </c>
      <c r="L17" s="266">
        <f>L15*1000/Schedules!L8</f>
        <v>12.891288892285914</v>
      </c>
      <c r="N17" s="232"/>
    </row>
    <row r="18" spans="1:67" s="4" customFormat="1" x14ac:dyDescent="0.25">
      <c r="A18" s="25" t="s">
        <v>137</v>
      </c>
      <c r="B18" s="96">
        <f>B14/B13</f>
        <v>-3.9175918018787365E-2</v>
      </c>
      <c r="C18" s="96">
        <f>C14/C13</f>
        <v>0.57391304347826089</v>
      </c>
      <c r="D18" s="96">
        <f>D14/D13</f>
        <v>0.72595771737402637</v>
      </c>
      <c r="E18" s="96">
        <f>E14/E13</f>
        <v>0.57546949602122011</v>
      </c>
      <c r="F18" s="96">
        <f>F14/F13</f>
        <v>0.25126960380219626</v>
      </c>
      <c r="G18" s="254">
        <f>F18</f>
        <v>0.25126960380219626</v>
      </c>
      <c r="H18" s="255">
        <f t="shared" ref="H18:L18" si="9">G18</f>
        <v>0.25126960380219626</v>
      </c>
      <c r="I18" s="255">
        <f t="shared" si="9"/>
        <v>0.25126960380219626</v>
      </c>
      <c r="J18" s="255">
        <f t="shared" si="9"/>
        <v>0.25126960380219626</v>
      </c>
      <c r="K18" s="255">
        <f t="shared" si="9"/>
        <v>0.25126960380219626</v>
      </c>
      <c r="L18" s="255">
        <f t="shared" si="9"/>
        <v>0.25126960380219626</v>
      </c>
      <c r="N18" s="89"/>
    </row>
    <row r="19" spans="1:67" s="4" customFormat="1" x14ac:dyDescent="0.25">
      <c r="A19" s="25"/>
      <c r="B19" s="26"/>
      <c r="C19" s="26"/>
      <c r="D19" s="27"/>
      <c r="E19" s="27"/>
      <c r="F19" s="27"/>
      <c r="G19" s="110"/>
      <c r="H19" s="27"/>
      <c r="I19" s="27"/>
      <c r="J19" s="27"/>
      <c r="K19" s="27"/>
      <c r="L19" s="27"/>
      <c r="N19" s="27"/>
    </row>
    <row r="20" spans="1:67" s="6" customFormat="1" ht="42.95" customHeight="1" x14ac:dyDescent="0.25">
      <c r="A20" s="5" t="s">
        <v>166</v>
      </c>
      <c r="B20" s="7"/>
      <c r="C20" s="7"/>
      <c r="D20" s="7"/>
      <c r="G20" s="94"/>
      <c r="M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</row>
    <row r="21" spans="1:67" s="4" customFormat="1" x14ac:dyDescent="0.25">
      <c r="A21" s="9" t="s">
        <v>7</v>
      </c>
      <c r="B21" s="97">
        <f>B5/B4</f>
        <v>0.38442585486159386</v>
      </c>
      <c r="C21" s="97">
        <f>C5/C4</f>
        <v>0.42115435331349133</v>
      </c>
      <c r="D21" s="97">
        <f>D5/D4</f>
        <v>0.3886502702631266</v>
      </c>
      <c r="E21" s="97">
        <f>E5/E4</f>
        <v>0.37349791111919306</v>
      </c>
      <c r="F21" s="97">
        <f>F5/F4</f>
        <v>0.3876657128330539</v>
      </c>
      <c r="G21" s="258">
        <f>CHOOSE('Scenario Analysis'!$N$22,IS!G23,IS!G24,IS!G25)</f>
        <v>0.36</v>
      </c>
      <c r="H21" s="259">
        <f>CHOOSE('Scenario Analysis'!$N$22,IS!H23,IS!H24,IS!H25)</f>
        <v>0.36</v>
      </c>
      <c r="I21" s="259">
        <f>CHOOSE('Scenario Analysis'!$N$22,IS!I23,IS!I24,IS!I25)</f>
        <v>0.35499999999999998</v>
      </c>
      <c r="J21" s="259">
        <f>CHOOSE('Scenario Analysis'!$N$22,IS!J23,IS!J24,IS!J25)</f>
        <v>0.35499999999999998</v>
      </c>
      <c r="K21" s="259">
        <f>CHOOSE('Scenario Analysis'!$N$22,IS!K23,IS!K24,IS!K25)</f>
        <v>0.35</v>
      </c>
      <c r="L21" s="259">
        <f>CHOOSE('Scenario Analysis'!$N$22,IS!L23,IS!L24,IS!L25)</f>
        <v>0.35</v>
      </c>
      <c r="N21" s="27" t="s">
        <v>184</v>
      </c>
    </row>
    <row r="22" spans="1:67" s="4" customFormat="1" x14ac:dyDescent="0.25">
      <c r="A22" s="9"/>
      <c r="B22" s="97"/>
      <c r="C22" s="97"/>
      <c r="D22" s="97"/>
      <c r="E22" s="97"/>
      <c r="F22" s="97"/>
      <c r="G22" s="256"/>
      <c r="H22" s="257"/>
      <c r="I22" s="257"/>
      <c r="J22" s="257"/>
      <c r="K22" s="257"/>
      <c r="L22" s="257"/>
      <c r="N22" s="27"/>
    </row>
    <row r="23" spans="1:67" s="4" customFormat="1" x14ac:dyDescent="0.25">
      <c r="A23" s="239" t="s">
        <v>306</v>
      </c>
      <c r="B23" s="238"/>
      <c r="C23" s="238"/>
      <c r="D23" s="238"/>
      <c r="E23" s="238"/>
      <c r="F23" s="238"/>
      <c r="G23" s="246">
        <f>G24-1%</f>
        <v>0.35</v>
      </c>
      <c r="H23" s="247">
        <f>H24-1%</f>
        <v>0.35</v>
      </c>
      <c r="I23" s="247">
        <f t="shared" ref="I23:L23" si="10">I24-1%</f>
        <v>0.34499999999999997</v>
      </c>
      <c r="J23" s="247">
        <f t="shared" si="10"/>
        <v>0.34499999999999997</v>
      </c>
      <c r="K23" s="247">
        <f t="shared" si="10"/>
        <v>0.33999999999999997</v>
      </c>
      <c r="L23" s="247">
        <f t="shared" si="10"/>
        <v>0.33999999999999997</v>
      </c>
      <c r="N23" s="27"/>
    </row>
    <row r="24" spans="1:67" s="4" customFormat="1" x14ac:dyDescent="0.25">
      <c r="A24" s="239" t="s">
        <v>307</v>
      </c>
      <c r="B24" s="238"/>
      <c r="C24" s="238"/>
      <c r="D24" s="238"/>
      <c r="E24" s="238"/>
      <c r="F24" s="238"/>
      <c r="G24" s="246">
        <v>0.36</v>
      </c>
      <c r="H24" s="247">
        <v>0.36</v>
      </c>
      <c r="I24" s="247">
        <f t="shared" ref="I24" si="11">H24-0.5%</f>
        <v>0.35499999999999998</v>
      </c>
      <c r="J24" s="247">
        <f>I24</f>
        <v>0.35499999999999998</v>
      </c>
      <c r="K24" s="247">
        <v>0.35</v>
      </c>
      <c r="L24" s="247">
        <v>0.35</v>
      </c>
      <c r="N24" s="27"/>
    </row>
    <row r="25" spans="1:67" s="4" customFormat="1" x14ac:dyDescent="0.25">
      <c r="A25" s="239" t="s">
        <v>308</v>
      </c>
      <c r="B25" s="238"/>
      <c r="C25" s="238"/>
      <c r="D25" s="238"/>
      <c r="E25" s="238"/>
      <c r="F25" s="238"/>
      <c r="G25" s="246">
        <f>G24+1%</f>
        <v>0.37</v>
      </c>
      <c r="H25" s="247">
        <f>H24+1%</f>
        <v>0.37</v>
      </c>
      <c r="I25" s="247">
        <f t="shared" ref="I25:L25" si="12">I24+1%</f>
        <v>0.36499999999999999</v>
      </c>
      <c r="J25" s="247">
        <f t="shared" si="12"/>
        <v>0.36499999999999999</v>
      </c>
      <c r="K25" s="247">
        <f t="shared" si="12"/>
        <v>0.36</v>
      </c>
      <c r="L25" s="247">
        <f t="shared" si="12"/>
        <v>0.36</v>
      </c>
      <c r="N25" s="27"/>
    </row>
    <row r="26" spans="1:67" s="4" customFormat="1" x14ac:dyDescent="0.25">
      <c r="A26" s="9"/>
      <c r="B26" s="97"/>
      <c r="C26" s="97"/>
      <c r="D26" s="97"/>
      <c r="E26" s="97"/>
      <c r="F26" s="97"/>
      <c r="G26" s="256"/>
      <c r="H26" s="257"/>
      <c r="I26" s="257"/>
      <c r="J26" s="257"/>
      <c r="K26" s="257"/>
      <c r="L26" s="257"/>
      <c r="N26" s="27"/>
    </row>
    <row r="27" spans="1:67" s="4" customFormat="1" x14ac:dyDescent="0.25">
      <c r="A27" s="9" t="s">
        <v>9</v>
      </c>
      <c r="B27" s="26"/>
      <c r="C27" s="26"/>
      <c r="D27" s="27"/>
      <c r="E27" s="27"/>
      <c r="F27" s="27"/>
      <c r="G27" s="112"/>
      <c r="H27" s="99"/>
      <c r="I27" s="99"/>
      <c r="J27" s="99"/>
      <c r="K27" s="99"/>
      <c r="L27" s="99"/>
      <c r="N27" s="27"/>
    </row>
    <row r="28" spans="1:67" s="4" customFormat="1" x14ac:dyDescent="0.25">
      <c r="A28" s="77" t="s">
        <v>10</v>
      </c>
      <c r="B28" s="97">
        <f>B8/B4</f>
        <v>0.37347762743174917</v>
      </c>
      <c r="C28" s="97">
        <f>C8/C4</f>
        <v>0.40115849753230609</v>
      </c>
      <c r="D28" s="97">
        <f>D8/D4</f>
        <v>0.45122561868303074</v>
      </c>
      <c r="E28" s="97">
        <f>E8/E4</f>
        <v>0.59650027044838838</v>
      </c>
      <c r="F28" s="97">
        <f>F8/F4</f>
        <v>0.33747641677906776</v>
      </c>
      <c r="G28" s="258">
        <f>CHOOSE('Scenario Analysis'!$N$10,IS!G30,IS!G31,IS!G32)</f>
        <v>0.32</v>
      </c>
      <c r="H28" s="259">
        <f>CHOOSE('Scenario Analysis'!$N$10,IS!H30,IS!H31,IS!H32)</f>
        <v>0.32</v>
      </c>
      <c r="I28" s="259">
        <f>CHOOSE('Scenario Analysis'!$N$10,IS!I30,IS!I31,IS!I32)</f>
        <v>0.3</v>
      </c>
      <c r="J28" s="259">
        <f>CHOOSE('Scenario Analysis'!$N$10,IS!J30,IS!J31,IS!J32)</f>
        <v>0.3</v>
      </c>
      <c r="K28" s="259">
        <f>CHOOSE('Scenario Analysis'!$N$10,IS!K30,IS!K31,IS!K32)</f>
        <v>0.28999999999999998</v>
      </c>
      <c r="L28" s="259">
        <f>CHOOSE('Scenario Analysis'!$N$10,IS!L30,IS!L31,IS!L32)</f>
        <v>0.28999999999999998</v>
      </c>
      <c r="N28" s="27" t="s">
        <v>186</v>
      </c>
    </row>
    <row r="29" spans="1:67" s="4" customFormat="1" x14ac:dyDescent="0.25">
      <c r="A29" s="9"/>
      <c r="B29" s="97"/>
      <c r="C29" s="97"/>
      <c r="D29" s="97"/>
      <c r="E29" s="97"/>
      <c r="F29" s="97"/>
      <c r="G29" s="111"/>
      <c r="H29" s="98"/>
      <c r="I29" s="98"/>
      <c r="J29" s="98"/>
      <c r="K29" s="98"/>
      <c r="L29" s="98"/>
      <c r="N29" s="27"/>
    </row>
    <row r="30" spans="1:67" s="4" customFormat="1" x14ac:dyDescent="0.25">
      <c r="A30" s="239" t="s">
        <v>306</v>
      </c>
      <c r="B30" s="238"/>
      <c r="C30" s="238"/>
      <c r="D30" s="238"/>
      <c r="E30" s="238"/>
      <c r="F30" s="238"/>
      <c r="G30" s="246">
        <f>G31-1%</f>
        <v>0.31</v>
      </c>
      <c r="H30" s="247">
        <f>H31-1%</f>
        <v>0.31</v>
      </c>
      <c r="I30" s="247">
        <f t="shared" ref="I30:L30" si="13">I31-1%</f>
        <v>0.28999999999999998</v>
      </c>
      <c r="J30" s="247">
        <f t="shared" si="13"/>
        <v>0.28999999999999998</v>
      </c>
      <c r="K30" s="247">
        <f t="shared" si="13"/>
        <v>0.27999999999999997</v>
      </c>
      <c r="L30" s="247">
        <f t="shared" si="13"/>
        <v>0.27999999999999997</v>
      </c>
      <c r="N30" s="27"/>
    </row>
    <row r="31" spans="1:67" s="4" customFormat="1" x14ac:dyDescent="0.25">
      <c r="A31" s="239" t="s">
        <v>307</v>
      </c>
      <c r="B31" s="238"/>
      <c r="C31" s="238"/>
      <c r="D31" s="238"/>
      <c r="E31" s="238"/>
      <c r="F31" s="238"/>
      <c r="G31" s="246">
        <v>0.32</v>
      </c>
      <c r="H31" s="247">
        <f>G31</f>
        <v>0.32</v>
      </c>
      <c r="I31" s="247">
        <v>0.3</v>
      </c>
      <c r="J31" s="247">
        <f t="shared" ref="J31" si="14">I31</f>
        <v>0.3</v>
      </c>
      <c r="K31" s="247">
        <v>0.28999999999999998</v>
      </c>
      <c r="L31" s="247">
        <f>K31</f>
        <v>0.28999999999999998</v>
      </c>
      <c r="N31" s="27"/>
    </row>
    <row r="32" spans="1:67" s="4" customFormat="1" x14ac:dyDescent="0.25">
      <c r="A32" s="239" t="s">
        <v>308</v>
      </c>
      <c r="B32" s="238"/>
      <c r="C32" s="238"/>
      <c r="D32" s="238"/>
      <c r="E32" s="238"/>
      <c r="F32" s="238"/>
      <c r="G32" s="246">
        <f>G31+1%</f>
        <v>0.33</v>
      </c>
      <c r="H32" s="247">
        <f>H31+1%</f>
        <v>0.33</v>
      </c>
      <c r="I32" s="247">
        <f t="shared" ref="I32:L32" si="15">I31+1%</f>
        <v>0.31</v>
      </c>
      <c r="J32" s="247">
        <f t="shared" si="15"/>
        <v>0.31</v>
      </c>
      <c r="K32" s="247">
        <f t="shared" si="15"/>
        <v>0.3</v>
      </c>
      <c r="L32" s="247">
        <f t="shared" si="15"/>
        <v>0.3</v>
      </c>
      <c r="N32" s="27"/>
    </row>
    <row r="33" spans="1:67" s="4" customFormat="1" x14ac:dyDescent="0.25">
      <c r="A33" s="9"/>
      <c r="B33" s="97"/>
      <c r="C33" s="97"/>
      <c r="D33" s="97"/>
      <c r="E33" s="97"/>
      <c r="F33" s="97"/>
      <c r="G33" s="111"/>
      <c r="H33" s="98"/>
      <c r="I33" s="98"/>
      <c r="J33" s="98"/>
      <c r="K33" s="98"/>
      <c r="L33" s="98"/>
      <c r="N33" s="27"/>
    </row>
    <row r="34" spans="1:67" s="4" customFormat="1" x14ac:dyDescent="0.25">
      <c r="A34" s="9" t="s">
        <v>11</v>
      </c>
      <c r="B34" s="97">
        <f>B9/B4</f>
        <v>0.18296085395697839</v>
      </c>
      <c r="C34" s="97">
        <f>C9/C4</f>
        <v>0.18973175601853595</v>
      </c>
      <c r="D34" s="97">
        <f>D9/D4</f>
        <v>0.18090228677406708</v>
      </c>
      <c r="E34" s="97">
        <f>E9/E4</f>
        <v>0.22472813277104778</v>
      </c>
      <c r="F34" s="97">
        <f>F9/F4</f>
        <v>0.19648972422863434</v>
      </c>
      <c r="G34" s="258">
        <f>CHOOSE('Scenario Analysis'!$N$16,IS!G36,IS!G37,IS!G38)</f>
        <v>0.18</v>
      </c>
      <c r="H34" s="259">
        <f>CHOOSE('Scenario Analysis'!$N$16,IS!H36,IS!H37,IS!H38)</f>
        <v>0.17499999999999999</v>
      </c>
      <c r="I34" s="259">
        <f>CHOOSE('Scenario Analysis'!$N$16,IS!I36,IS!I37,IS!I38)</f>
        <v>0.16999999999999998</v>
      </c>
      <c r="J34" s="259">
        <f>CHOOSE('Scenario Analysis'!$N$16,IS!J36,IS!J37,IS!J38)</f>
        <v>0.16499999999999998</v>
      </c>
      <c r="K34" s="259">
        <f>CHOOSE('Scenario Analysis'!$N$16,IS!K36,IS!K37,IS!K38)</f>
        <v>0.15999999999999998</v>
      </c>
      <c r="L34" s="259">
        <f>CHOOSE('Scenario Analysis'!$N$16,IS!L36,IS!L37,IS!L38)</f>
        <v>0.15499999999999997</v>
      </c>
      <c r="N34" s="27" t="s">
        <v>299</v>
      </c>
    </row>
    <row r="35" spans="1:67" s="4" customFormat="1" x14ac:dyDescent="0.25">
      <c r="A35" s="9"/>
      <c r="B35" s="97"/>
      <c r="C35" s="97"/>
      <c r="D35" s="97"/>
      <c r="E35" s="97"/>
      <c r="F35" s="97"/>
      <c r="G35" s="111"/>
      <c r="H35" s="98"/>
      <c r="I35" s="98"/>
      <c r="J35" s="98"/>
      <c r="K35" s="98"/>
      <c r="L35" s="98"/>
      <c r="N35" s="27"/>
    </row>
    <row r="36" spans="1:67" s="4" customFormat="1" x14ac:dyDescent="0.25">
      <c r="A36" s="239" t="s">
        <v>306</v>
      </c>
      <c r="B36" s="238"/>
      <c r="C36" s="238"/>
      <c r="D36" s="238"/>
      <c r="E36" s="238"/>
      <c r="F36" s="238"/>
      <c r="G36" s="246">
        <f>G37-1%</f>
        <v>0.16999999999999998</v>
      </c>
      <c r="H36" s="247">
        <f>H37-1%</f>
        <v>0.16499999999999998</v>
      </c>
      <c r="I36" s="247">
        <f t="shared" ref="I36:L36" si="16">I37-1%</f>
        <v>0.15999999999999998</v>
      </c>
      <c r="J36" s="247">
        <f t="shared" si="16"/>
        <v>0.15499999999999997</v>
      </c>
      <c r="K36" s="247">
        <f t="shared" si="16"/>
        <v>0.14999999999999997</v>
      </c>
      <c r="L36" s="247">
        <f t="shared" si="16"/>
        <v>0.14499999999999996</v>
      </c>
      <c r="N36" s="27"/>
    </row>
    <row r="37" spans="1:67" s="4" customFormat="1" x14ac:dyDescent="0.25">
      <c r="A37" s="239" t="s">
        <v>307</v>
      </c>
      <c r="B37" s="238"/>
      <c r="C37" s="238"/>
      <c r="D37" s="238"/>
      <c r="E37" s="238"/>
      <c r="F37" s="238"/>
      <c r="G37" s="246">
        <v>0.18</v>
      </c>
      <c r="H37" s="247">
        <f>G37-0.5%</f>
        <v>0.17499999999999999</v>
      </c>
      <c r="I37" s="247">
        <f t="shared" ref="I37:L37" si="17">H37-0.5%</f>
        <v>0.16999999999999998</v>
      </c>
      <c r="J37" s="247">
        <f t="shared" si="17"/>
        <v>0.16499999999999998</v>
      </c>
      <c r="K37" s="247">
        <f t="shared" si="17"/>
        <v>0.15999999999999998</v>
      </c>
      <c r="L37" s="247">
        <f t="shared" si="17"/>
        <v>0.15499999999999997</v>
      </c>
      <c r="N37" s="27"/>
    </row>
    <row r="38" spans="1:67" s="4" customFormat="1" x14ac:dyDescent="0.25">
      <c r="A38" s="239" t="s">
        <v>308</v>
      </c>
      <c r="B38" s="238"/>
      <c r="C38" s="238"/>
      <c r="D38" s="238"/>
      <c r="E38" s="238"/>
      <c r="F38" s="238"/>
      <c r="G38" s="246">
        <f>G37+1%</f>
        <v>0.19</v>
      </c>
      <c r="H38" s="247">
        <f>H37+1%</f>
        <v>0.185</v>
      </c>
      <c r="I38" s="247">
        <f t="shared" ref="I38" si="18">I37+1%</f>
        <v>0.18</v>
      </c>
      <c r="J38" s="247">
        <f t="shared" ref="J38" si="19">J37+1%</f>
        <v>0.17499999999999999</v>
      </c>
      <c r="K38" s="247">
        <f t="shared" ref="K38" si="20">K37+1%</f>
        <v>0.16999999999999998</v>
      </c>
      <c r="L38" s="247">
        <f t="shared" ref="L38" si="21">L37+1%</f>
        <v>0.16499999999999998</v>
      </c>
      <c r="N38" s="27"/>
    </row>
    <row r="39" spans="1:67" s="4" customFormat="1" x14ac:dyDescent="0.25">
      <c r="A39" s="9"/>
      <c r="B39" s="97"/>
      <c r="C39" s="97"/>
      <c r="D39" s="97"/>
      <c r="E39" s="97"/>
      <c r="F39" s="97"/>
      <c r="G39" s="111"/>
      <c r="H39" s="98"/>
      <c r="I39" s="98"/>
      <c r="J39" s="98"/>
      <c r="K39" s="98"/>
      <c r="L39" s="98"/>
      <c r="N39" s="27"/>
    </row>
    <row r="40" spans="1:67" s="249" customFormat="1" x14ac:dyDescent="0.25">
      <c r="A40" s="77" t="s">
        <v>14</v>
      </c>
      <c r="B40" s="248">
        <f>B12/(BS!B8+BS!B9+BS!B20+BS!B21+BS!B22+BS!B19+BS!B37+BS!B31)</f>
        <v>7.6003913165005127E-2</v>
      </c>
      <c r="C40" s="248">
        <f>C12/(BS!C8+BS!C9+BS!C20+BS!C21+BS!C22+BS!C19+BS!C37+BS!C31)</f>
        <v>3.1552773728886221E-2</v>
      </c>
      <c r="D40" s="248">
        <f>D12/(BS!D8+BS!D9+BS!D20+BS!D21+BS!D22+BS!D19+BS!D37+BS!D31)</f>
        <v>1.4480816925180296E-2</v>
      </c>
      <c r="E40" s="248">
        <f>E12/(BS!E8+BS!E9+BS!E20+BS!E21+BS!E22+BS!E19+BS!E37+BS!E31)</f>
        <v>0.10575926994946899</v>
      </c>
      <c r="F40" s="248">
        <f>F12/(BS!F8+BS!F9+BS!F20+BS!F21+BS!F22+BS!F19+BS!F37+BS!F31)</f>
        <v>5.6785031825242985E-2</v>
      </c>
      <c r="G40" s="256">
        <f>AVERAGE(B40:F40)</f>
        <v>5.6916361118756718E-2</v>
      </c>
      <c r="H40" s="257">
        <f>G40</f>
        <v>5.6916361118756718E-2</v>
      </c>
      <c r="I40" s="257">
        <f t="shared" ref="I40:L40" si="22">H40</f>
        <v>5.6916361118756718E-2</v>
      </c>
      <c r="J40" s="257">
        <f t="shared" si="22"/>
        <v>5.6916361118756718E-2</v>
      </c>
      <c r="K40" s="257">
        <f t="shared" si="22"/>
        <v>5.6916361118756718E-2</v>
      </c>
      <c r="L40" s="257">
        <f t="shared" si="22"/>
        <v>5.6916361118756718E-2</v>
      </c>
      <c r="N40" s="249" t="s">
        <v>187</v>
      </c>
    </row>
    <row r="41" spans="1:67" s="4" customFormat="1" x14ac:dyDescent="0.25">
      <c r="A41" s="9" t="s">
        <v>16</v>
      </c>
      <c r="B41" s="97">
        <f>B14/B13</f>
        <v>-3.9175918018787365E-2</v>
      </c>
      <c r="C41" s="97">
        <f>C14/C13</f>
        <v>0.57391304347826089</v>
      </c>
      <c r="D41" s="97">
        <f>D14/D13</f>
        <v>0.72595771737402637</v>
      </c>
      <c r="E41" s="97">
        <f>E14/E13</f>
        <v>0.57546949602122011</v>
      </c>
      <c r="F41" s="97">
        <f>F14/F13</f>
        <v>0.25126960380219626</v>
      </c>
      <c r="G41" s="256">
        <f>F41</f>
        <v>0.25126960380219626</v>
      </c>
      <c r="H41" s="257">
        <f t="shared" ref="H41:L41" si="23">G41</f>
        <v>0.25126960380219626</v>
      </c>
      <c r="I41" s="257">
        <f t="shared" si="23"/>
        <v>0.25126960380219626</v>
      </c>
      <c r="J41" s="257">
        <f t="shared" si="23"/>
        <v>0.25126960380219626</v>
      </c>
      <c r="K41" s="257">
        <f t="shared" si="23"/>
        <v>0.25126960380219626</v>
      </c>
      <c r="L41" s="257">
        <f t="shared" si="23"/>
        <v>0.25126960380219626</v>
      </c>
      <c r="N41" s="27" t="s">
        <v>188</v>
      </c>
    </row>
    <row r="42" spans="1:67" s="4" customFormat="1" x14ac:dyDescent="0.25">
      <c r="A42" s="25"/>
      <c r="B42" s="26"/>
      <c r="C42" s="26"/>
      <c r="D42" s="27"/>
      <c r="E42" s="27"/>
      <c r="F42" s="27"/>
      <c r="G42" s="110"/>
      <c r="H42" s="27"/>
      <c r="I42" s="27"/>
      <c r="J42" s="27"/>
      <c r="K42" s="27"/>
      <c r="L42" s="27"/>
      <c r="N42" s="27"/>
    </row>
    <row r="43" spans="1:67" s="6" customFormat="1" ht="42.95" customHeight="1" x14ac:dyDescent="0.25">
      <c r="A43" s="5" t="s">
        <v>138</v>
      </c>
      <c r="B43" s="7"/>
      <c r="C43" s="7"/>
      <c r="D43" s="7"/>
      <c r="G43" s="94"/>
      <c r="M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</row>
    <row r="44" spans="1:67" s="4" customFormat="1" x14ac:dyDescent="0.25">
      <c r="A44" s="9" t="s">
        <v>6</v>
      </c>
      <c r="B44" s="26"/>
      <c r="C44" s="26"/>
      <c r="D44" s="27"/>
      <c r="E44" s="27"/>
      <c r="F44" s="27"/>
      <c r="G44" s="110"/>
      <c r="H44" s="27"/>
      <c r="I44" s="27"/>
      <c r="J44" s="27"/>
      <c r="K44" s="27"/>
      <c r="L44" s="27"/>
      <c r="N44" s="27"/>
    </row>
    <row r="45" spans="1:67" s="4" customFormat="1" x14ac:dyDescent="0.25">
      <c r="A45" s="16" t="s">
        <v>7</v>
      </c>
      <c r="B45" s="97">
        <f t="shared" ref="B45:F46" si="24">B5/B$4</f>
        <v>0.38442585486159386</v>
      </c>
      <c r="C45" s="97">
        <f t="shared" si="24"/>
        <v>0.42115435331349133</v>
      </c>
      <c r="D45" s="97">
        <f t="shared" si="24"/>
        <v>0.3886502702631266</v>
      </c>
      <c r="E45" s="97">
        <f t="shared" si="24"/>
        <v>0.37349791111919306</v>
      </c>
      <c r="F45" s="97">
        <f t="shared" si="24"/>
        <v>0.3876657128330539</v>
      </c>
      <c r="G45" s="113">
        <f t="shared" ref="G45:L45" si="25">G5/G$4</f>
        <v>0.36</v>
      </c>
      <c r="H45" s="97">
        <f t="shared" si="25"/>
        <v>0.36</v>
      </c>
      <c r="I45" s="97">
        <f t="shared" si="25"/>
        <v>0.35499999999999998</v>
      </c>
      <c r="J45" s="97">
        <f t="shared" si="25"/>
        <v>0.35500000000000004</v>
      </c>
      <c r="K45" s="97">
        <f t="shared" si="25"/>
        <v>0.35</v>
      </c>
      <c r="L45" s="97">
        <f t="shared" si="25"/>
        <v>0.35</v>
      </c>
      <c r="N45" s="88"/>
    </row>
    <row r="46" spans="1:67" s="4" customFormat="1" x14ac:dyDescent="0.25">
      <c r="A46" s="9" t="s">
        <v>8</v>
      </c>
      <c r="B46" s="97">
        <f t="shared" si="24"/>
        <v>0.61557414513840614</v>
      </c>
      <c r="C46" s="97">
        <f t="shared" si="24"/>
        <v>0.57884564668650873</v>
      </c>
      <c r="D46" s="97">
        <f t="shared" si="24"/>
        <v>0.6113497297368734</v>
      </c>
      <c r="E46" s="97">
        <f t="shared" si="24"/>
        <v>0.62650208888080694</v>
      </c>
      <c r="F46" s="97">
        <f t="shared" si="24"/>
        <v>0.61233428716694605</v>
      </c>
      <c r="G46" s="113">
        <f t="shared" ref="G46:L46" si="26">G6/G$4</f>
        <v>0.64</v>
      </c>
      <c r="H46" s="97">
        <f t="shared" si="26"/>
        <v>0.64</v>
      </c>
      <c r="I46" s="97">
        <f t="shared" si="26"/>
        <v>0.64500000000000002</v>
      </c>
      <c r="J46" s="97">
        <f t="shared" si="26"/>
        <v>0.64500000000000002</v>
      </c>
      <c r="K46" s="97">
        <f t="shared" si="26"/>
        <v>0.65</v>
      </c>
      <c r="L46" s="97">
        <f t="shared" si="26"/>
        <v>0.65</v>
      </c>
      <c r="N46" s="88"/>
    </row>
    <row r="47" spans="1:67" s="4" customFormat="1" x14ac:dyDescent="0.25">
      <c r="A47" s="9" t="s">
        <v>9</v>
      </c>
      <c r="B47" s="97"/>
      <c r="C47" s="97"/>
      <c r="D47" s="97"/>
      <c r="E47" s="97"/>
      <c r="F47" s="97"/>
      <c r="G47" s="113"/>
      <c r="H47" s="97"/>
      <c r="I47" s="97"/>
      <c r="J47" s="97"/>
      <c r="K47" s="97"/>
      <c r="L47" s="97"/>
      <c r="N47" s="88"/>
    </row>
    <row r="48" spans="1:67" s="4" customFormat="1" x14ac:dyDescent="0.25">
      <c r="A48" s="9" t="s">
        <v>10</v>
      </c>
      <c r="B48" s="97">
        <f t="shared" ref="B48:F51" si="27">B8/B$4</f>
        <v>0.37347762743174917</v>
      </c>
      <c r="C48" s="97">
        <f t="shared" si="27"/>
        <v>0.40115849753230609</v>
      </c>
      <c r="D48" s="97">
        <f t="shared" si="27"/>
        <v>0.45122561868303074</v>
      </c>
      <c r="E48" s="97">
        <f t="shared" si="27"/>
        <v>0.59650027044838838</v>
      </c>
      <c r="F48" s="97">
        <f t="shared" si="27"/>
        <v>0.33747641677906776</v>
      </c>
      <c r="G48" s="113">
        <f t="shared" ref="G48:L48" si="28">G8/G$4</f>
        <v>0.32</v>
      </c>
      <c r="H48" s="97">
        <f t="shared" si="28"/>
        <v>0.32</v>
      </c>
      <c r="I48" s="97">
        <f t="shared" si="28"/>
        <v>0.3</v>
      </c>
      <c r="J48" s="97">
        <f t="shared" si="28"/>
        <v>0.3</v>
      </c>
      <c r="K48" s="97">
        <f t="shared" si="28"/>
        <v>0.28999999999999998</v>
      </c>
      <c r="L48" s="97">
        <f t="shared" si="28"/>
        <v>0.28999999999999998</v>
      </c>
      <c r="N48" s="88"/>
    </row>
    <row r="49" spans="1:67" s="4" customFormat="1" x14ac:dyDescent="0.25">
      <c r="A49" s="16" t="s">
        <v>11</v>
      </c>
      <c r="B49" s="97">
        <f t="shared" si="27"/>
        <v>0.18296085395697839</v>
      </c>
      <c r="C49" s="97">
        <f t="shared" si="27"/>
        <v>0.18973175601853595</v>
      </c>
      <c r="D49" s="97">
        <f t="shared" si="27"/>
        <v>0.18090228677406708</v>
      </c>
      <c r="E49" s="97">
        <f t="shared" si="27"/>
        <v>0.22472813277104778</v>
      </c>
      <c r="F49" s="97">
        <f t="shared" si="27"/>
        <v>0.19648972422863434</v>
      </c>
      <c r="G49" s="113">
        <f t="shared" ref="G49:L49" si="29">G9/G$4</f>
        <v>0.18</v>
      </c>
      <c r="H49" s="97">
        <f t="shared" si="29"/>
        <v>0.17499999999999999</v>
      </c>
      <c r="I49" s="97">
        <f t="shared" si="29"/>
        <v>0.16999999999999998</v>
      </c>
      <c r="J49" s="97">
        <f t="shared" si="29"/>
        <v>0.16499999999999998</v>
      </c>
      <c r="K49" s="97">
        <f t="shared" si="29"/>
        <v>0.15999999999999998</v>
      </c>
      <c r="L49" s="97">
        <f t="shared" si="29"/>
        <v>0.15499999999999997</v>
      </c>
      <c r="N49" s="88"/>
    </row>
    <row r="50" spans="1:67" s="4" customFormat="1" x14ac:dyDescent="0.25">
      <c r="A50" s="16" t="s">
        <v>12</v>
      </c>
      <c r="B50" s="97">
        <f t="shared" si="27"/>
        <v>0.55643848138872753</v>
      </c>
      <c r="C50" s="97">
        <f t="shared" si="27"/>
        <v>0.59089025355084202</v>
      </c>
      <c r="D50" s="97">
        <f t="shared" si="27"/>
        <v>0.63212790545709785</v>
      </c>
      <c r="E50" s="97">
        <f t="shared" si="27"/>
        <v>0.82122840321943613</v>
      </c>
      <c r="F50" s="97">
        <f t="shared" si="27"/>
        <v>0.53396614100770212</v>
      </c>
      <c r="G50" s="113">
        <f t="shared" ref="G50:L50" si="30">G10/G$4</f>
        <v>0.5</v>
      </c>
      <c r="H50" s="97">
        <f t="shared" si="30"/>
        <v>0.495</v>
      </c>
      <c r="I50" s="97">
        <f t="shared" si="30"/>
        <v>0.47</v>
      </c>
      <c r="J50" s="97">
        <f t="shared" si="30"/>
        <v>0.46499999999999997</v>
      </c>
      <c r="K50" s="97">
        <f t="shared" si="30"/>
        <v>0.44999999999999996</v>
      </c>
      <c r="L50" s="97">
        <f t="shared" si="30"/>
        <v>0.44499999999999995</v>
      </c>
      <c r="N50" s="88"/>
    </row>
    <row r="51" spans="1:67" s="4" customFormat="1" x14ac:dyDescent="0.25">
      <c r="A51" s="9" t="s">
        <v>13</v>
      </c>
      <c r="B51" s="97">
        <f t="shared" si="27"/>
        <v>5.9135663749678623E-2</v>
      </c>
      <c r="C51" s="97">
        <f t="shared" si="27"/>
        <v>-1.2044606864333346E-2</v>
      </c>
      <c r="D51" s="97">
        <f t="shared" si="27"/>
        <v>-2.0778175720224435E-2</v>
      </c>
      <c r="E51" s="97">
        <f t="shared" si="27"/>
        <v>-0.19472631433862919</v>
      </c>
      <c r="F51" s="97">
        <f t="shared" si="27"/>
        <v>7.8368146159243993E-2</v>
      </c>
      <c r="G51" s="113">
        <f t="shared" ref="G51:L51" si="31">G11/G$4</f>
        <v>0.14000000000000004</v>
      </c>
      <c r="H51" s="97">
        <f t="shared" si="31"/>
        <v>0.14499999999999996</v>
      </c>
      <c r="I51" s="97">
        <f t="shared" si="31"/>
        <v>0.17500000000000004</v>
      </c>
      <c r="J51" s="97">
        <f t="shared" si="31"/>
        <v>0.18000000000000002</v>
      </c>
      <c r="K51" s="97">
        <f t="shared" si="31"/>
        <v>0.2</v>
      </c>
      <c r="L51" s="97">
        <f t="shared" si="31"/>
        <v>0.20500000000000007</v>
      </c>
      <c r="N51" s="88"/>
    </row>
    <row r="52" spans="1:67" s="4" customFormat="1" x14ac:dyDescent="0.25">
      <c r="A52" s="16" t="s">
        <v>14</v>
      </c>
      <c r="B52" s="97"/>
      <c r="C52" s="97"/>
      <c r="D52" s="97"/>
      <c r="E52" s="97"/>
      <c r="F52" s="97"/>
      <c r="G52" s="113"/>
      <c r="H52" s="97"/>
      <c r="I52" s="97"/>
      <c r="J52" s="97"/>
      <c r="K52" s="97"/>
      <c r="L52" s="97"/>
      <c r="N52" s="88"/>
    </row>
    <row r="53" spans="1:67" s="4" customFormat="1" x14ac:dyDescent="0.25">
      <c r="A53" s="9" t="s">
        <v>15</v>
      </c>
      <c r="B53" s="97">
        <f>B13/B$4</f>
        <v>6.6903453726539511E-2</v>
      </c>
      <c r="C53" s="97">
        <f>C13/C$4</f>
        <v>3.8993331575179896E-3</v>
      </c>
      <c r="D53" s="97">
        <f>D13/D$4</f>
        <v>-9.2378447672036689E-3</v>
      </c>
      <c r="E53" s="97">
        <f>E13/E$4</f>
        <v>-0.16374578546435467</v>
      </c>
      <c r="F53" s="97">
        <f>F13/F$4</f>
        <v>0.16515019727968333</v>
      </c>
      <c r="G53" s="113">
        <f t="shared" ref="G53:L53" si="32">G13/G$4</f>
        <v>0.20310988122308812</v>
      </c>
      <c r="H53" s="97">
        <f t="shared" si="32"/>
        <v>0.19709538976802216</v>
      </c>
      <c r="I53" s="97">
        <f t="shared" si="32"/>
        <v>0.21800917509488932</v>
      </c>
      <c r="J53" s="97">
        <f t="shared" si="32"/>
        <v>0.21826816141624544</v>
      </c>
      <c r="K53" s="97">
        <f t="shared" si="32"/>
        <v>0.23181652015182691</v>
      </c>
      <c r="L53" s="97">
        <f t="shared" si="32"/>
        <v>0.22573313007608098</v>
      </c>
      <c r="N53" s="88"/>
    </row>
    <row r="54" spans="1:67" s="4" customFormat="1" x14ac:dyDescent="0.25">
      <c r="A54" s="9" t="s">
        <v>16</v>
      </c>
      <c r="B54" s="97">
        <f>B14/B13</f>
        <v>-3.9175918018787365E-2</v>
      </c>
      <c r="C54" s="97">
        <f t="shared" ref="C54:L54" si="33">C14/C13</f>
        <v>0.57391304347826089</v>
      </c>
      <c r="D54" s="97">
        <f t="shared" si="33"/>
        <v>0.72595771737402637</v>
      </c>
      <c r="E54" s="97">
        <f t="shared" si="33"/>
        <v>0.57546949602122011</v>
      </c>
      <c r="F54" s="97">
        <f t="shared" si="33"/>
        <v>0.25126960380219626</v>
      </c>
      <c r="G54" s="113">
        <f t="shared" si="33"/>
        <v>0.25126960380219626</v>
      </c>
      <c r="H54" s="97">
        <f t="shared" si="33"/>
        <v>0.25126960380219626</v>
      </c>
      <c r="I54" s="97">
        <f t="shared" si="33"/>
        <v>0.25126960380219626</v>
      </c>
      <c r="J54" s="97">
        <f t="shared" si="33"/>
        <v>0.25126960380219626</v>
      </c>
      <c r="K54" s="97">
        <f t="shared" si="33"/>
        <v>0.25126960380219626</v>
      </c>
      <c r="L54" s="97">
        <f t="shared" si="33"/>
        <v>0.25126960380219626</v>
      </c>
      <c r="N54" s="88"/>
    </row>
    <row r="55" spans="1:67" s="4" customFormat="1" ht="15.75" thickBot="1" x14ac:dyDescent="0.3">
      <c r="A55" s="22" t="s">
        <v>17</v>
      </c>
      <c r="B55" s="97">
        <f>B15/B$4</f>
        <v>6.9524457944904153E-2</v>
      </c>
      <c r="C55" s="97">
        <f>C15/C$4</f>
        <v>1.6614549975511434E-3</v>
      </c>
      <c r="D55" s="97">
        <f>D15/D$4</f>
        <v>-2.5315600665488992E-3</v>
      </c>
      <c r="E55" s="97">
        <f>E15/E$4</f>
        <v>-6.9515080827583647E-2</v>
      </c>
      <c r="F55" s="97">
        <f>F15/F$4</f>
        <v>0.12365297264136277</v>
      </c>
      <c r="G55" s="113">
        <f t="shared" ref="G55:L55" si="34">G15/G$4</f>
        <v>0.15207454183985164</v>
      </c>
      <c r="H55" s="97">
        <f t="shared" si="34"/>
        <v>0.14757130926977177</v>
      </c>
      <c r="I55" s="97">
        <f t="shared" si="34"/>
        <v>0.16323009604355285</v>
      </c>
      <c r="J55" s="97">
        <f t="shared" si="34"/>
        <v>0.16342400697455164</v>
      </c>
      <c r="K55" s="97">
        <f t="shared" si="34"/>
        <v>0.17356807497847351</v>
      </c>
      <c r="L55" s="97">
        <f t="shared" si="34"/>
        <v>0.16901325591683447</v>
      </c>
      <c r="N55" s="88"/>
    </row>
    <row r="56" spans="1:67" s="4" customFormat="1" ht="15.75" thickTop="1" x14ac:dyDescent="0.25">
      <c r="A56" s="25"/>
      <c r="B56" s="26"/>
      <c r="C56" s="26"/>
      <c r="D56" s="27"/>
      <c r="E56" s="27"/>
      <c r="F56" s="27"/>
      <c r="G56" s="110"/>
      <c r="H56" s="27"/>
      <c r="I56" s="27"/>
      <c r="J56" s="27"/>
      <c r="K56" s="27"/>
      <c r="L56" s="27"/>
      <c r="N56" s="27"/>
    </row>
    <row r="57" spans="1:67" s="6" customFormat="1" ht="42.95" customHeight="1" x14ac:dyDescent="0.25">
      <c r="A57" s="5" t="s">
        <v>139</v>
      </c>
      <c r="B57" s="7"/>
      <c r="C57" s="7"/>
      <c r="D57" s="7"/>
      <c r="G57" s="94"/>
      <c r="M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</row>
    <row r="58" spans="1:67" s="4" customFormat="1" x14ac:dyDescent="0.25">
      <c r="A58" s="9" t="s">
        <v>6</v>
      </c>
      <c r="B58" s="26"/>
      <c r="C58" s="97">
        <f t="shared" ref="C58:F60" si="35">C4/B4-1</f>
        <v>0.26374777416989637</v>
      </c>
      <c r="D58" s="97">
        <f t="shared" si="35"/>
        <v>0.28282974795614657</v>
      </c>
      <c r="E58" s="97">
        <f t="shared" si="35"/>
        <v>0.26780792448785107</v>
      </c>
      <c r="F58" s="97">
        <f t="shared" si="35"/>
        <v>0.37822699364475243</v>
      </c>
      <c r="G58" s="113">
        <f t="shared" ref="G58:L58" si="36">G4/F4-1</f>
        <v>0.30324300265549842</v>
      </c>
      <c r="H58" s="97">
        <f t="shared" si="36"/>
        <v>0.30296918656904159</v>
      </c>
      <c r="I58" s="97">
        <f t="shared" si="36"/>
        <v>0.30281949373709738</v>
      </c>
      <c r="J58" s="97">
        <f t="shared" si="36"/>
        <v>0.30100652712182074</v>
      </c>
      <c r="K58" s="97">
        <f t="shared" si="36"/>
        <v>0.29975342928611526</v>
      </c>
      <c r="L58" s="97">
        <f t="shared" si="36"/>
        <v>0.29886759990900402</v>
      </c>
      <c r="N58" s="88"/>
    </row>
    <row r="59" spans="1:67" s="4" customFormat="1" x14ac:dyDescent="0.25">
      <c r="A59" s="16" t="s">
        <v>7</v>
      </c>
      <c r="B59" s="26"/>
      <c r="C59" s="97">
        <f t="shared" si="35"/>
        <v>0.38448772331795533</v>
      </c>
      <c r="D59" s="97">
        <f t="shared" si="35"/>
        <v>0.18382280587188138</v>
      </c>
      <c r="E59" s="97">
        <f t="shared" si="35"/>
        <v>0.21837973038326686</v>
      </c>
      <c r="F59" s="97">
        <f t="shared" si="35"/>
        <v>0.43050692930527079</v>
      </c>
      <c r="G59" s="113">
        <f t="shared" ref="G59:L59" si="37">G5/F5-1</f>
        <v>0.21023723642545544</v>
      </c>
      <c r="H59" s="97">
        <f t="shared" si="37"/>
        <v>0.30296918656904159</v>
      </c>
      <c r="I59" s="97">
        <f t="shared" si="37"/>
        <v>0.28472477854630451</v>
      </c>
      <c r="J59" s="97">
        <f t="shared" si="37"/>
        <v>0.30100652712182097</v>
      </c>
      <c r="K59" s="97">
        <f t="shared" si="37"/>
        <v>0.28144704295814149</v>
      </c>
      <c r="L59" s="97">
        <f t="shared" si="37"/>
        <v>0.29886759990900402</v>
      </c>
      <c r="N59" s="88"/>
    </row>
    <row r="60" spans="1:67" s="4" customFormat="1" x14ac:dyDescent="0.25">
      <c r="A60" s="9" t="s">
        <v>8</v>
      </c>
      <c r="B60" s="26"/>
      <c r="C60" s="97">
        <f t="shared" si="35"/>
        <v>0.18834571491552032</v>
      </c>
      <c r="D60" s="97">
        <f t="shared" si="35"/>
        <v>0.3548648490331483</v>
      </c>
      <c r="E60" s="97">
        <f t="shared" si="35"/>
        <v>0.2992306602198731</v>
      </c>
      <c r="F60" s="97">
        <f t="shared" si="35"/>
        <v>0.34705958477380716</v>
      </c>
      <c r="G60" s="113">
        <f t="shared" ref="G60:L60" si="38">G6/F6-1</f>
        <v>0.36212447870344011</v>
      </c>
      <c r="H60" s="97">
        <f t="shared" si="38"/>
        <v>0.30296918656904159</v>
      </c>
      <c r="I60" s="97">
        <f t="shared" si="38"/>
        <v>0.3129977710319185</v>
      </c>
      <c r="J60" s="97">
        <f t="shared" si="38"/>
        <v>0.30100652712182074</v>
      </c>
      <c r="K60" s="97">
        <f t="shared" si="38"/>
        <v>0.30982903726507738</v>
      </c>
      <c r="L60" s="97">
        <f t="shared" si="38"/>
        <v>0.29886759990900402</v>
      </c>
      <c r="N60" s="88"/>
    </row>
    <row r="61" spans="1:67" s="4" customFormat="1" x14ac:dyDescent="0.25">
      <c r="A61" s="9" t="s">
        <v>9</v>
      </c>
      <c r="B61" s="26"/>
      <c r="C61" s="97"/>
      <c r="D61" s="97"/>
      <c r="E61" s="97"/>
      <c r="F61" s="97"/>
      <c r="G61" s="113"/>
      <c r="H61" s="97"/>
      <c r="I61" s="97"/>
      <c r="J61" s="97"/>
      <c r="K61" s="97"/>
      <c r="L61" s="97"/>
      <c r="N61" s="88"/>
    </row>
    <row r="62" spans="1:67" s="4" customFormat="1" x14ac:dyDescent="0.25">
      <c r="A62" s="9" t="s">
        <v>10</v>
      </c>
      <c r="B62" s="26"/>
      <c r="C62" s="97">
        <f t="shared" ref="C62:F69" si="39">C8/B8-1</f>
        <v>0.35741238861338798</v>
      </c>
      <c r="D62" s="97">
        <f t="shared" si="39"/>
        <v>0.44293502505177051</v>
      </c>
      <c r="E62" s="97">
        <f t="shared" si="39"/>
        <v>0.67598588936690907</v>
      </c>
      <c r="F62" s="97">
        <f t="shared" si="39"/>
        <v>-0.22025331694520656</v>
      </c>
      <c r="G62" s="113">
        <f t="shared" ref="G62:L62" si="40">G8/F8-1</f>
        <v>0.23575378934634528</v>
      </c>
      <c r="H62" s="97">
        <f t="shared" si="40"/>
        <v>0.30296918656904159</v>
      </c>
      <c r="I62" s="97">
        <f t="shared" si="40"/>
        <v>0.22139327537852882</v>
      </c>
      <c r="J62" s="97">
        <f t="shared" si="40"/>
        <v>0.30100652712182097</v>
      </c>
      <c r="K62" s="97">
        <f t="shared" si="40"/>
        <v>0.25642831497657803</v>
      </c>
      <c r="L62" s="97">
        <f t="shared" si="40"/>
        <v>0.29886759990900402</v>
      </c>
      <c r="N62" s="88"/>
    </row>
    <row r="63" spans="1:67" s="4" customFormat="1" x14ac:dyDescent="0.25">
      <c r="A63" s="16" t="s">
        <v>11</v>
      </c>
      <c r="B63" s="26"/>
      <c r="C63" s="97">
        <f t="shared" si="39"/>
        <v>0.31051576975122308</v>
      </c>
      <c r="D63" s="97">
        <f t="shared" si="39"/>
        <v>0.22313122387585516</v>
      </c>
      <c r="E63" s="97">
        <f t="shared" si="39"/>
        <v>0.57495028207313603</v>
      </c>
      <c r="F63" s="97">
        <f t="shared" si="39"/>
        <v>0.20504468473297388</v>
      </c>
      <c r="G63" s="113">
        <f t="shared" ref="G63:L63" si="41">G9/F9-1</f>
        <v>0.19387281649919452</v>
      </c>
      <c r="H63" s="97">
        <f t="shared" si="41"/>
        <v>0.26677559805323514</v>
      </c>
      <c r="I63" s="97">
        <f t="shared" si="41"/>
        <v>0.26559607963032317</v>
      </c>
      <c r="J63" s="97">
        <f t="shared" si="41"/>
        <v>0.26274162926529643</v>
      </c>
      <c r="K63" s="97">
        <f t="shared" si="41"/>
        <v>0.26036696173199037</v>
      </c>
      <c r="L63" s="97">
        <f t="shared" si="41"/>
        <v>0.25827798741184749</v>
      </c>
      <c r="N63" s="88"/>
    </row>
    <row r="64" spans="1:67" s="4" customFormat="1" x14ac:dyDescent="0.25">
      <c r="A64" s="16" t="s">
        <v>12</v>
      </c>
      <c r="B64" s="26"/>
      <c r="C64" s="97">
        <f t="shared" si="39"/>
        <v>0.34199245321765015</v>
      </c>
      <c r="D64" s="97">
        <f t="shared" si="39"/>
        <v>0.37235717929099721</v>
      </c>
      <c r="E64" s="97">
        <f t="shared" si="39"/>
        <v>0.64707153161231279</v>
      </c>
      <c r="F64" s="97">
        <f t="shared" si="39"/>
        <v>-0.10387104690472804</v>
      </c>
      <c r="G64" s="113">
        <f t="shared" ref="G64:L64" si="42">G10/F10-1</f>
        <v>0.22034236121789985</v>
      </c>
      <c r="H64" s="97">
        <f t="shared" si="42"/>
        <v>0.28993949470335134</v>
      </c>
      <c r="I64" s="97">
        <f t="shared" si="42"/>
        <v>0.23702052940694096</v>
      </c>
      <c r="J64" s="97">
        <f t="shared" si="42"/>
        <v>0.28716603215243963</v>
      </c>
      <c r="K64" s="97">
        <f t="shared" si="42"/>
        <v>0.25782589930914379</v>
      </c>
      <c r="L64" s="97">
        <f t="shared" si="42"/>
        <v>0.28443573768779284</v>
      </c>
      <c r="N64" s="88"/>
    </row>
    <row r="65" spans="1:67" s="4" customFormat="1" x14ac:dyDescent="0.25">
      <c r="A65" s="9" t="s">
        <v>13</v>
      </c>
      <c r="B65" s="26"/>
      <c r="C65" s="97">
        <f t="shared" si="39"/>
        <v>-1.2573970452075198</v>
      </c>
      <c r="D65" s="97">
        <f t="shared" si="39"/>
        <v>1.2130121989365028</v>
      </c>
      <c r="E65" s="97">
        <f t="shared" si="39"/>
        <v>10.881484098939929</v>
      </c>
      <c r="F65" s="97">
        <f t="shared" si="39"/>
        <v>-1.5546712823349571</v>
      </c>
      <c r="G65" s="113">
        <f t="shared" ref="G65:L65" si="43">G11/F11-1</f>
        <v>1.3281655789205917</v>
      </c>
      <c r="H65" s="97">
        <f t="shared" si="43"/>
        <v>0.34950380037507833</v>
      </c>
      <c r="I65" s="97">
        <f t="shared" si="43"/>
        <v>0.57236835451029067</v>
      </c>
      <c r="J65" s="97">
        <f t="shared" si="43"/>
        <v>0.33817814218244413</v>
      </c>
      <c r="K65" s="97">
        <f t="shared" si="43"/>
        <v>0.44417047698457246</v>
      </c>
      <c r="L65" s="97">
        <f t="shared" si="43"/>
        <v>0.33133928990672956</v>
      </c>
      <c r="N65" s="88"/>
    </row>
    <row r="66" spans="1:67" s="4" customFormat="1" x14ac:dyDescent="0.25">
      <c r="A66" s="16" t="s">
        <v>14</v>
      </c>
      <c r="B66" s="26"/>
      <c r="C66" s="97">
        <f t="shared" si="39"/>
        <v>1.5939319644498928</v>
      </c>
      <c r="D66" s="97">
        <f t="shared" si="39"/>
        <v>-7.1479206049149369E-2</v>
      </c>
      <c r="E66" s="97">
        <f t="shared" si="39"/>
        <v>2.4034864486575902</v>
      </c>
      <c r="F66" s="97">
        <f t="shared" si="39"/>
        <v>2.8606624794377149</v>
      </c>
      <c r="G66" s="113">
        <f t="shared" ref="G66:L66" si="44">G12/F12-1</f>
        <v>-5.2252049352198071E-2</v>
      </c>
      <c r="H66" s="97">
        <f t="shared" si="44"/>
        <v>7.5563545906411234E-2</v>
      </c>
      <c r="I66" s="97">
        <f t="shared" si="44"/>
        <v>7.558830009116746E-2</v>
      </c>
      <c r="J66" s="97">
        <f t="shared" si="44"/>
        <v>0.15759318037706005</v>
      </c>
      <c r="K66" s="97">
        <f t="shared" si="44"/>
        <v>8.0627593405429909E-2</v>
      </c>
      <c r="L66" s="97">
        <f t="shared" si="44"/>
        <v>-0.15359722647185625</v>
      </c>
      <c r="N66" s="88"/>
    </row>
    <row r="67" spans="1:67" s="4" customFormat="1" x14ac:dyDescent="0.25">
      <c r="A67" s="9" t="s">
        <v>15</v>
      </c>
      <c r="B67" s="26"/>
      <c r="C67" s="97">
        <f t="shared" si="39"/>
        <v>-0.92634500426985478</v>
      </c>
      <c r="D67" s="97">
        <f t="shared" si="39"/>
        <v>-4.0391304347826082</v>
      </c>
      <c r="E67" s="97">
        <f t="shared" si="39"/>
        <v>21.472579876013352</v>
      </c>
      <c r="F67" s="97">
        <f t="shared" si="39"/>
        <v>-2.3900477453580899</v>
      </c>
      <c r="G67" s="113">
        <f t="shared" ref="G67:L67" si="45">G13/F13-1</f>
        <v>0.60279270527242912</v>
      </c>
      <c r="H67" s="97">
        <f t="shared" si="45"/>
        <v>0.26438565241677559</v>
      </c>
      <c r="I67" s="97">
        <f t="shared" si="45"/>
        <v>0.44106162737474608</v>
      </c>
      <c r="J67" s="97">
        <f t="shared" si="45"/>
        <v>0.30255207168146114</v>
      </c>
      <c r="K67" s="97">
        <f t="shared" si="45"/>
        <v>0.38043182788309848</v>
      </c>
      <c r="L67" s="97">
        <f t="shared" si="45"/>
        <v>0.26478237482746381</v>
      </c>
      <c r="N67" s="88"/>
    </row>
    <row r="68" spans="1:67" s="4" customFormat="1" x14ac:dyDescent="0.25">
      <c r="A68" s="9" t="s">
        <v>16</v>
      </c>
      <c r="B68" s="26"/>
      <c r="C68" s="97">
        <f t="shared" si="39"/>
        <v>-2.0790190735694822</v>
      </c>
      <c r="D68" s="97">
        <f t="shared" si="39"/>
        <v>-4.8442760942760943</v>
      </c>
      <c r="E68" s="97">
        <f t="shared" si="39"/>
        <v>16.814101160499234</v>
      </c>
      <c r="F68" s="97">
        <f t="shared" si="39"/>
        <v>-1.6069422422164044</v>
      </c>
      <c r="G68" s="113">
        <f t="shared" ref="G68:L68" si="46">G14/F14-1</f>
        <v>0.60279270527242912</v>
      </c>
      <c r="H68" s="97">
        <f t="shared" si="46"/>
        <v>0.26438565241677559</v>
      </c>
      <c r="I68" s="97">
        <f t="shared" si="46"/>
        <v>0.44106162737474608</v>
      </c>
      <c r="J68" s="97">
        <f t="shared" si="46"/>
        <v>0.30255207168146092</v>
      </c>
      <c r="K68" s="97">
        <f t="shared" si="46"/>
        <v>0.38043182788309871</v>
      </c>
      <c r="L68" s="97">
        <f t="shared" si="46"/>
        <v>0.26478237482746381</v>
      </c>
      <c r="N68" s="88"/>
    </row>
    <row r="69" spans="1:67" s="4" customFormat="1" ht="15.75" thickBot="1" x14ac:dyDescent="0.3">
      <c r="A69" s="22" t="s">
        <v>17</v>
      </c>
      <c r="B69" s="26"/>
      <c r="C69" s="97">
        <f t="shared" si="39"/>
        <v>-0.96979969183359016</v>
      </c>
      <c r="D69" s="97">
        <f t="shared" si="39"/>
        <v>-2.9546485260770976</v>
      </c>
      <c r="E69" s="97">
        <f t="shared" si="39"/>
        <v>33.81322505800464</v>
      </c>
      <c r="F69" s="97">
        <f t="shared" si="39"/>
        <v>-3.4515811923089741</v>
      </c>
      <c r="G69" s="113">
        <f t="shared" ref="G69:L69" si="47">G15/F15-1</f>
        <v>0.6027927052724289</v>
      </c>
      <c r="H69" s="97">
        <f t="shared" si="47"/>
        <v>0.26438565241677559</v>
      </c>
      <c r="I69" s="97">
        <f t="shared" si="47"/>
        <v>0.4410616273747463</v>
      </c>
      <c r="J69" s="97">
        <f t="shared" si="47"/>
        <v>0.30255207168146114</v>
      </c>
      <c r="K69" s="97">
        <f t="shared" si="47"/>
        <v>0.38043182788309826</v>
      </c>
      <c r="L69" s="97">
        <f t="shared" si="47"/>
        <v>0.26478237482746403</v>
      </c>
      <c r="N69" s="88"/>
    </row>
    <row r="70" spans="1:67" s="4" customFormat="1" ht="15.75" thickTop="1" x14ac:dyDescent="0.25">
      <c r="A70" s="25"/>
      <c r="B70" s="26"/>
      <c r="C70" s="26"/>
      <c r="D70" s="27"/>
      <c r="E70" s="27"/>
      <c r="F70" s="27"/>
      <c r="G70" s="110"/>
      <c r="H70" s="27"/>
      <c r="I70" s="27"/>
      <c r="J70" s="27"/>
      <c r="K70" s="27"/>
      <c r="L70" s="27"/>
      <c r="N70" s="27"/>
    </row>
    <row r="71" spans="1:67" s="4" customFormat="1" x14ac:dyDescent="0.25">
      <c r="A71" s="25"/>
      <c r="B71" s="26"/>
      <c r="C71" s="26"/>
      <c r="D71" s="27"/>
      <c r="E71" s="27"/>
      <c r="F71" s="27"/>
      <c r="G71" s="110"/>
      <c r="H71" s="27"/>
      <c r="I71" s="27"/>
      <c r="J71" s="27"/>
      <c r="K71" s="27"/>
      <c r="L71" s="27"/>
      <c r="N71" s="27"/>
    </row>
    <row r="72" spans="1:67" s="4" customFormat="1" x14ac:dyDescent="0.25">
      <c r="A72" s="25"/>
      <c r="B72" s="26"/>
      <c r="C72" s="26"/>
      <c r="D72" s="27"/>
      <c r="E72" s="27"/>
      <c r="F72" s="27"/>
      <c r="G72" s="110"/>
      <c r="H72" s="27"/>
      <c r="I72" s="27"/>
      <c r="J72" s="27"/>
      <c r="K72" s="27"/>
      <c r="L72" s="27"/>
      <c r="N72" s="27"/>
    </row>
    <row r="73" spans="1:67" s="4" customFormat="1" x14ac:dyDescent="0.25">
      <c r="A73" s="25"/>
      <c r="B73" s="26"/>
      <c r="C73" s="26"/>
      <c r="D73" s="27"/>
      <c r="E73" s="27"/>
      <c r="F73" s="27"/>
      <c r="G73" s="110"/>
      <c r="H73" s="27"/>
      <c r="I73" s="27"/>
      <c r="J73" s="27"/>
      <c r="K73" s="27"/>
      <c r="L73" s="27"/>
      <c r="N73" s="27"/>
    </row>
    <row r="74" spans="1:67" s="6" customFormat="1" ht="40.5" customHeight="1" x14ac:dyDescent="0.25">
      <c r="A74" s="28" t="s">
        <v>18</v>
      </c>
      <c r="G74" s="94"/>
      <c r="M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</row>
    <row r="75" spans="1:67" s="4" customFormat="1" x14ac:dyDescent="0.25">
      <c r="A75" s="29" t="s">
        <v>19</v>
      </c>
      <c r="B75" s="63"/>
      <c r="C75" s="26"/>
      <c r="D75" s="27"/>
      <c r="E75" s="27"/>
      <c r="F75" s="27"/>
      <c r="G75" s="110"/>
      <c r="H75" s="27"/>
      <c r="I75" s="27"/>
      <c r="J75" s="27"/>
      <c r="K75" s="27"/>
      <c r="L75" s="27"/>
      <c r="N75" s="27"/>
    </row>
    <row r="76" spans="1:67" s="4" customFormat="1" x14ac:dyDescent="0.25">
      <c r="A76" s="30" t="s">
        <v>20</v>
      </c>
      <c r="B76" s="61">
        <v>29205</v>
      </c>
      <c r="C76" s="31">
        <v>882</v>
      </c>
      <c r="D76" s="31">
        <v>-1724</v>
      </c>
      <c r="E76" s="31">
        <v>-60018</v>
      </c>
      <c r="F76" s="31">
        <v>147139</v>
      </c>
      <c r="G76" s="114"/>
      <c r="H76" s="31"/>
      <c r="I76" s="31"/>
      <c r="J76" s="31"/>
      <c r="K76" s="31"/>
      <c r="L76" s="31"/>
      <c r="N76" s="31"/>
    </row>
    <row r="77" spans="1:67" s="4" customFormat="1" x14ac:dyDescent="0.25">
      <c r="A77" s="25" t="s">
        <v>21</v>
      </c>
      <c r="B77" s="63"/>
      <c r="C77" s="27"/>
      <c r="D77" s="27"/>
      <c r="E77" s="27"/>
      <c r="F77" s="27"/>
      <c r="G77" s="110"/>
      <c r="H77" s="27"/>
      <c r="I77" s="27"/>
      <c r="J77" s="27"/>
      <c r="K77" s="27"/>
      <c r="L77" s="27"/>
      <c r="N77" s="27"/>
    </row>
    <row r="78" spans="1:67" s="11" customFormat="1" x14ac:dyDescent="0.25">
      <c r="A78" s="32" t="s">
        <v>22</v>
      </c>
      <c r="B78" s="61">
        <v>21879</v>
      </c>
      <c r="C78" s="10">
        <v>78495</v>
      </c>
      <c r="D78" s="10">
        <v>133572</v>
      </c>
      <c r="E78" s="10">
        <v>303331</v>
      </c>
      <c r="F78" s="12">
        <v>106176</v>
      </c>
      <c r="G78" s="106"/>
      <c r="H78" s="12"/>
      <c r="I78" s="12"/>
      <c r="J78" s="12"/>
      <c r="K78" s="12"/>
      <c r="L78" s="12"/>
      <c r="N78" s="12"/>
    </row>
    <row r="79" spans="1:67" s="11" customFormat="1" x14ac:dyDescent="0.25">
      <c r="A79" s="32" t="s">
        <v>23</v>
      </c>
      <c r="B79" s="61">
        <v>2117</v>
      </c>
      <c r="C79" s="10">
        <v>2609</v>
      </c>
      <c r="D79" s="10">
        <v>2042</v>
      </c>
      <c r="E79" s="10">
        <v>238</v>
      </c>
      <c r="F79" s="12">
        <v>5562</v>
      </c>
      <c r="G79" s="106"/>
      <c r="H79" s="12"/>
      <c r="I79" s="12"/>
      <c r="J79" s="12"/>
      <c r="K79" s="12"/>
      <c r="L79" s="12"/>
      <c r="N79" s="12"/>
    </row>
    <row r="80" spans="1:67" s="11" customFormat="1" x14ac:dyDescent="0.25">
      <c r="A80" s="32"/>
      <c r="B80" s="63">
        <v>303</v>
      </c>
      <c r="C80" s="10"/>
      <c r="D80" s="10"/>
      <c r="E80" s="10"/>
      <c r="F80" s="12"/>
      <c r="G80" s="106"/>
      <c r="H80" s="12"/>
      <c r="I80" s="12"/>
      <c r="J80" s="12"/>
      <c r="K80" s="12"/>
      <c r="L80" s="12"/>
      <c r="N80" s="12"/>
    </row>
    <row r="81" spans="1:14" s="11" customFormat="1" x14ac:dyDescent="0.25">
      <c r="A81" s="32" t="s">
        <v>24</v>
      </c>
      <c r="B81" s="63"/>
      <c r="C81" s="10">
        <v>240</v>
      </c>
      <c r="D81" s="10">
        <v>19064</v>
      </c>
      <c r="E81" s="10">
        <v>741</v>
      </c>
      <c r="F81" s="12">
        <v>545</v>
      </c>
      <c r="G81" s="106"/>
      <c r="H81" s="12"/>
      <c r="I81" s="12"/>
      <c r="J81" s="12"/>
      <c r="K81" s="12"/>
      <c r="L81" s="12"/>
      <c r="N81" s="12"/>
    </row>
    <row r="82" spans="1:14" s="11" customFormat="1" ht="30" x14ac:dyDescent="0.25">
      <c r="A82" s="33" t="s">
        <v>25</v>
      </c>
      <c r="B82" s="61">
        <v>1382</v>
      </c>
      <c r="C82" s="10">
        <v>0</v>
      </c>
      <c r="D82" s="10">
        <v>1032</v>
      </c>
      <c r="E82" s="10">
        <v>2068</v>
      </c>
      <c r="F82" s="12">
        <v>2368</v>
      </c>
      <c r="G82" s="106"/>
      <c r="H82" s="12"/>
      <c r="I82" s="12"/>
      <c r="J82" s="12"/>
      <c r="K82" s="12"/>
      <c r="L82" s="12"/>
      <c r="N82" s="12"/>
    </row>
    <row r="83" spans="1:14" s="11" customFormat="1" x14ac:dyDescent="0.25">
      <c r="A83" s="33" t="s">
        <v>26</v>
      </c>
      <c r="B83" s="61">
        <v>-5683</v>
      </c>
      <c r="C83" s="10"/>
      <c r="D83" s="10">
        <v>0</v>
      </c>
      <c r="E83" s="10">
        <v>0</v>
      </c>
      <c r="F83" s="12">
        <v>0</v>
      </c>
      <c r="G83" s="106"/>
      <c r="H83" s="12"/>
      <c r="I83" s="12"/>
      <c r="J83" s="12"/>
      <c r="K83" s="12"/>
      <c r="L83" s="12"/>
      <c r="N83" s="12"/>
    </row>
    <row r="84" spans="1:14" s="11" customFormat="1" x14ac:dyDescent="0.25">
      <c r="A84" s="32" t="s">
        <v>27</v>
      </c>
      <c r="B84" s="63" t="s">
        <v>47</v>
      </c>
      <c r="C84" s="10">
        <v>0</v>
      </c>
      <c r="D84" s="10">
        <v>-2055</v>
      </c>
      <c r="E84" s="10">
        <v>-23035</v>
      </c>
      <c r="F84" s="12">
        <v>-98943</v>
      </c>
      <c r="G84" s="106"/>
      <c r="H84" s="12"/>
      <c r="I84" s="12"/>
      <c r="J84" s="12"/>
      <c r="K84" s="12"/>
      <c r="L84" s="12"/>
      <c r="N84" s="12"/>
    </row>
    <row r="85" spans="1:14" s="11" customFormat="1" x14ac:dyDescent="0.25">
      <c r="A85" s="32" t="s">
        <v>28</v>
      </c>
      <c r="B85" s="63" t="s">
        <v>48</v>
      </c>
      <c r="C85" s="10">
        <v>0</v>
      </c>
      <c r="D85" s="10">
        <v>0</v>
      </c>
      <c r="E85" s="10">
        <v>18933</v>
      </c>
      <c r="F85" s="12">
        <v>0</v>
      </c>
      <c r="G85" s="106"/>
      <c r="H85" s="12"/>
      <c r="I85" s="12"/>
      <c r="J85" s="12"/>
      <c r="K85" s="12"/>
      <c r="L85" s="12"/>
      <c r="N85" s="12"/>
    </row>
    <row r="86" spans="1:14" s="11" customFormat="1" x14ac:dyDescent="0.25">
      <c r="A86" s="32" t="s">
        <v>29</v>
      </c>
      <c r="B86" s="61">
        <v>-6366</v>
      </c>
      <c r="C86" s="10">
        <v>-20068</v>
      </c>
      <c r="D86" s="10">
        <v>-38156</v>
      </c>
      <c r="E86" s="10">
        <v>-75274</v>
      </c>
      <c r="F86" s="12">
        <v>-3936.4817700000003</v>
      </c>
      <c r="G86" s="106"/>
      <c r="H86" s="12"/>
      <c r="I86" s="12"/>
      <c r="J86" s="12"/>
      <c r="K86" s="12"/>
      <c r="L86" s="12"/>
      <c r="N86" s="12"/>
    </row>
    <row r="87" spans="1:14" s="4" customFormat="1" ht="18" thickBot="1" x14ac:dyDescent="0.3">
      <c r="A87" s="34" t="s">
        <v>30</v>
      </c>
      <c r="B87" s="66">
        <v>42837</v>
      </c>
      <c r="C87" s="35">
        <v>62158</v>
      </c>
      <c r="D87" s="35">
        <v>113775</v>
      </c>
      <c r="E87" s="35">
        <v>166984</v>
      </c>
      <c r="F87" s="35">
        <v>158910.51822999999</v>
      </c>
      <c r="G87" s="115"/>
      <c r="H87" s="35"/>
      <c r="I87" s="35"/>
      <c r="J87" s="35"/>
      <c r="K87" s="35"/>
      <c r="L87" s="35"/>
      <c r="N87" s="35"/>
    </row>
    <row r="88" spans="1:14" s="4" customFormat="1" ht="18.75" thickTop="1" thickBot="1" x14ac:dyDescent="0.3">
      <c r="A88" s="36" t="s">
        <v>31</v>
      </c>
      <c r="B88" s="67">
        <v>0.74</v>
      </c>
      <c r="C88" s="37">
        <v>1.035655969875704</v>
      </c>
      <c r="D88" s="38">
        <v>1.8415557929494026</v>
      </c>
      <c r="E88" s="38">
        <v>2.5227598918281942</v>
      </c>
      <c r="F88" s="39">
        <v>2.1908417877133481</v>
      </c>
      <c r="G88" s="116"/>
      <c r="H88" s="39"/>
      <c r="I88" s="39"/>
      <c r="J88" s="39"/>
      <c r="K88" s="39"/>
      <c r="L88" s="39"/>
      <c r="N88" s="39"/>
    </row>
    <row r="89" spans="1:14" s="11" customFormat="1" ht="15.75" thickTop="1" x14ac:dyDescent="0.25">
      <c r="A89" s="40" t="s">
        <v>32</v>
      </c>
      <c r="B89" s="61">
        <v>57922</v>
      </c>
      <c r="C89" s="10">
        <v>60018</v>
      </c>
      <c r="D89" s="10">
        <v>62707</v>
      </c>
      <c r="E89" s="10">
        <v>71066</v>
      </c>
      <c r="F89" s="12">
        <v>72534</v>
      </c>
      <c r="G89" s="106"/>
      <c r="H89" s="12"/>
      <c r="I89" s="12"/>
      <c r="J89" s="12"/>
      <c r="K89" s="12"/>
      <c r="L89" s="12"/>
      <c r="N89" s="12"/>
    </row>
    <row r="90" spans="1:14" s="11" customFormat="1" x14ac:dyDescent="0.25">
      <c r="A90" s="41"/>
      <c r="B90" s="63"/>
      <c r="C90" s="10"/>
      <c r="D90" s="10"/>
      <c r="E90" s="10"/>
      <c r="F90" s="12"/>
      <c r="G90" s="106"/>
      <c r="H90" s="12"/>
      <c r="I90" s="12"/>
      <c r="J90" s="12"/>
      <c r="K90" s="12"/>
      <c r="L90" s="12"/>
      <c r="N90" s="12"/>
    </row>
    <row r="91" spans="1:14" s="11" customFormat="1" x14ac:dyDescent="0.25">
      <c r="A91" s="42" t="s">
        <v>33</v>
      </c>
      <c r="B91" s="63"/>
      <c r="C91" s="20"/>
      <c r="D91" s="10"/>
      <c r="E91" s="10"/>
      <c r="F91" s="12"/>
      <c r="G91" s="106"/>
      <c r="H91" s="12"/>
      <c r="I91" s="12"/>
      <c r="J91" s="12"/>
      <c r="K91" s="12"/>
      <c r="L91" s="12"/>
      <c r="N91" s="12"/>
    </row>
    <row r="92" spans="1:14" s="11" customFormat="1" x14ac:dyDescent="0.25">
      <c r="A92" s="9" t="s">
        <v>34</v>
      </c>
      <c r="B92" s="61">
        <v>29205</v>
      </c>
      <c r="C92" s="10">
        <v>882</v>
      </c>
      <c r="D92" s="10">
        <v>-1724</v>
      </c>
      <c r="E92" s="10">
        <v>-60018</v>
      </c>
      <c r="F92" s="12">
        <v>147139</v>
      </c>
      <c r="G92" s="106"/>
      <c r="H92" s="12"/>
      <c r="I92" s="12"/>
      <c r="J92" s="12"/>
      <c r="K92" s="12"/>
      <c r="L92" s="12"/>
      <c r="N92" s="12"/>
    </row>
    <row r="93" spans="1:14" s="11" customFormat="1" x14ac:dyDescent="0.25">
      <c r="A93" s="43" t="s">
        <v>35</v>
      </c>
      <c r="B93" s="61">
        <v>10615</v>
      </c>
      <c r="C93" s="10">
        <v>11361</v>
      </c>
      <c r="D93" s="10">
        <v>12475</v>
      </c>
      <c r="E93" s="10">
        <v>18694</v>
      </c>
      <c r="F93" s="12">
        <v>24381</v>
      </c>
      <c r="G93" s="106"/>
      <c r="H93" s="12"/>
      <c r="I93" s="12"/>
      <c r="J93" s="12"/>
      <c r="K93" s="12"/>
      <c r="L93" s="12"/>
      <c r="N93" s="12"/>
    </row>
    <row r="94" spans="1:14" s="11" customFormat="1" ht="14.25" customHeight="1" x14ac:dyDescent="0.25">
      <c r="A94" s="32" t="s">
        <v>36</v>
      </c>
      <c r="B94" s="61">
        <v>-2916</v>
      </c>
      <c r="C94" s="10">
        <v>-6994</v>
      </c>
      <c r="D94" s="10">
        <v>-4031</v>
      </c>
      <c r="E94" s="10">
        <v>-1483</v>
      </c>
      <c r="F94" s="12">
        <v>-4294</v>
      </c>
      <c r="G94" s="106"/>
      <c r="H94" s="12"/>
      <c r="I94" s="12"/>
      <c r="J94" s="12"/>
      <c r="K94" s="12"/>
      <c r="L94" s="12"/>
      <c r="N94" s="12"/>
    </row>
    <row r="95" spans="1:14" s="11" customFormat="1" x14ac:dyDescent="0.25">
      <c r="A95" s="44" t="s">
        <v>16</v>
      </c>
      <c r="B95" s="62">
        <v>-1101</v>
      </c>
      <c r="C95" s="17">
        <v>1188</v>
      </c>
      <c r="D95" s="17">
        <v>-4567</v>
      </c>
      <c r="E95" s="17">
        <v>-81357</v>
      </c>
      <c r="F95" s="18">
        <v>49379</v>
      </c>
      <c r="G95" s="107"/>
      <c r="H95" s="18"/>
      <c r="I95" s="18"/>
      <c r="J95" s="18"/>
      <c r="K95" s="18"/>
      <c r="L95" s="18"/>
      <c r="N95" s="18"/>
    </row>
    <row r="96" spans="1:14" s="11" customFormat="1" ht="17.25" x14ac:dyDescent="0.25">
      <c r="A96" s="45" t="s">
        <v>37</v>
      </c>
      <c r="B96" s="61">
        <v>35803</v>
      </c>
      <c r="C96" s="10">
        <v>6437</v>
      </c>
      <c r="D96" s="10">
        <v>2153</v>
      </c>
      <c r="E96" s="10">
        <v>-124164</v>
      </c>
      <c r="F96" s="12">
        <v>216605</v>
      </c>
      <c r="G96" s="106"/>
      <c r="H96" s="12"/>
      <c r="I96" s="12"/>
      <c r="J96" s="12"/>
      <c r="K96" s="12"/>
      <c r="L96" s="12"/>
      <c r="N96" s="12"/>
    </row>
    <row r="97" spans="1:14" s="11" customFormat="1" x14ac:dyDescent="0.25">
      <c r="A97" s="43" t="s">
        <v>22</v>
      </c>
      <c r="B97" s="61">
        <v>21879</v>
      </c>
      <c r="C97" s="10">
        <v>78495</v>
      </c>
      <c r="D97" s="10">
        <v>133572</v>
      </c>
      <c r="E97" s="10">
        <v>303331</v>
      </c>
      <c r="F97" s="12">
        <v>106176</v>
      </c>
      <c r="G97" s="106"/>
      <c r="H97" s="12"/>
      <c r="I97" s="12"/>
      <c r="J97" s="12"/>
      <c r="K97" s="12"/>
      <c r="L97" s="12"/>
      <c r="N97" s="12"/>
    </row>
    <row r="98" spans="1:14" s="11" customFormat="1" x14ac:dyDescent="0.25">
      <c r="A98" s="32" t="s">
        <v>25</v>
      </c>
      <c r="B98" s="61">
        <v>1382</v>
      </c>
      <c r="C98" s="10">
        <v>0</v>
      </c>
      <c r="D98" s="10">
        <v>1032</v>
      </c>
      <c r="E98" s="10">
        <v>2068</v>
      </c>
      <c r="F98" s="12">
        <v>2368</v>
      </c>
      <c r="G98" s="106"/>
      <c r="H98" s="12"/>
      <c r="I98" s="12"/>
      <c r="J98" s="12"/>
      <c r="K98" s="12"/>
      <c r="L98" s="12"/>
      <c r="N98" s="12"/>
    </row>
    <row r="99" spans="1:14" s="46" customFormat="1" x14ac:dyDescent="0.25">
      <c r="A99" s="32" t="s">
        <v>23</v>
      </c>
      <c r="B99" s="61">
        <v>2117</v>
      </c>
      <c r="C99" s="10">
        <v>2609</v>
      </c>
      <c r="D99" s="10">
        <v>2042</v>
      </c>
      <c r="E99" s="10">
        <v>238</v>
      </c>
      <c r="F99" s="12">
        <v>5562</v>
      </c>
      <c r="G99" s="106"/>
      <c r="H99" s="12"/>
      <c r="I99" s="12"/>
      <c r="J99" s="12"/>
      <c r="K99" s="12"/>
      <c r="L99" s="12"/>
      <c r="N99" s="12"/>
    </row>
    <row r="100" spans="1:14" s="46" customFormat="1" x14ac:dyDescent="0.25">
      <c r="A100" s="32" t="s">
        <v>26</v>
      </c>
      <c r="B100" s="63">
        <v>303</v>
      </c>
      <c r="C100" s="10"/>
      <c r="D100" s="10"/>
      <c r="E100" s="10"/>
      <c r="F100" s="12"/>
      <c r="G100" s="106"/>
      <c r="H100" s="12"/>
      <c r="I100" s="12"/>
      <c r="J100" s="12"/>
      <c r="K100" s="12"/>
      <c r="L100" s="12"/>
      <c r="N100" s="12"/>
    </row>
    <row r="101" spans="1:14" s="11" customFormat="1" x14ac:dyDescent="0.25">
      <c r="A101" s="32" t="s">
        <v>24</v>
      </c>
      <c r="B101" s="63" t="s">
        <v>48</v>
      </c>
      <c r="C101" s="10">
        <v>240</v>
      </c>
      <c r="D101" s="10">
        <v>19064</v>
      </c>
      <c r="E101" s="10">
        <v>741</v>
      </c>
      <c r="F101" s="12">
        <v>545</v>
      </c>
      <c r="G101" s="106"/>
      <c r="H101" s="12"/>
      <c r="I101" s="12"/>
      <c r="J101" s="12"/>
      <c r="K101" s="12"/>
      <c r="L101" s="12"/>
      <c r="N101" s="12"/>
    </row>
    <row r="102" spans="1:14" s="11" customFormat="1" x14ac:dyDescent="0.25">
      <c r="A102" s="32" t="s">
        <v>28</v>
      </c>
      <c r="B102" s="63" t="s">
        <v>48</v>
      </c>
      <c r="C102" s="10">
        <v>0</v>
      </c>
      <c r="D102" s="10">
        <v>0</v>
      </c>
      <c r="E102" s="10">
        <v>18933</v>
      </c>
      <c r="F102" s="12">
        <v>0</v>
      </c>
      <c r="G102" s="106"/>
      <c r="H102" s="12"/>
      <c r="I102" s="12"/>
      <c r="J102" s="12"/>
      <c r="K102" s="12"/>
      <c r="L102" s="12"/>
      <c r="N102" s="12"/>
    </row>
    <row r="103" spans="1:14" s="11" customFormat="1" x14ac:dyDescent="0.25">
      <c r="A103" s="43" t="s">
        <v>38</v>
      </c>
      <c r="B103" s="68" t="s">
        <v>48</v>
      </c>
      <c r="C103" s="17">
        <v>0</v>
      </c>
      <c r="D103" s="17">
        <v>-2055</v>
      </c>
      <c r="E103" s="17">
        <v>-23035</v>
      </c>
      <c r="F103" s="18">
        <v>-98943</v>
      </c>
      <c r="G103" s="107"/>
      <c r="H103" s="18"/>
      <c r="I103" s="18"/>
      <c r="J103" s="18"/>
      <c r="K103" s="18"/>
      <c r="L103" s="18"/>
      <c r="N103" s="18"/>
    </row>
    <row r="104" spans="1:14" s="11" customFormat="1" ht="18" thickBot="1" x14ac:dyDescent="0.3">
      <c r="A104" s="47" t="s">
        <v>39</v>
      </c>
      <c r="B104" s="69">
        <v>61484</v>
      </c>
      <c r="C104" s="48">
        <v>87781</v>
      </c>
      <c r="D104" s="48">
        <v>155808</v>
      </c>
      <c r="E104" s="48">
        <v>178112</v>
      </c>
      <c r="F104" s="49">
        <v>232313</v>
      </c>
      <c r="G104" s="117"/>
      <c r="H104" s="49"/>
      <c r="I104" s="49"/>
      <c r="J104" s="49"/>
      <c r="K104" s="49"/>
      <c r="L104" s="49"/>
      <c r="N104" s="49"/>
    </row>
    <row r="105" spans="1:14" s="53" customFormat="1" x14ac:dyDescent="0.25">
      <c r="A105" s="50" t="s">
        <v>40</v>
      </c>
      <c r="B105" s="70">
        <v>0.14599999999999999</v>
      </c>
      <c r="C105" s="51">
        <v>0.16535621444448631</v>
      </c>
      <c r="D105" s="51">
        <v>0.22879194364782535</v>
      </c>
      <c r="E105" s="51">
        <v>0.20629594582229629</v>
      </c>
      <c r="F105" s="52">
        <v>0.19523167231823588</v>
      </c>
      <c r="G105" s="118"/>
      <c r="H105" s="52"/>
      <c r="I105" s="52"/>
      <c r="J105" s="52"/>
      <c r="K105" s="52"/>
      <c r="L105" s="52"/>
      <c r="N105" s="52"/>
    </row>
    <row r="106" spans="1:14" s="53" customFormat="1" x14ac:dyDescent="0.25">
      <c r="A106" s="50"/>
      <c r="B106" s="71"/>
      <c r="C106" s="51"/>
      <c r="D106" s="51"/>
      <c r="E106" s="51"/>
      <c r="F106" s="52"/>
      <c r="G106" s="118"/>
      <c r="H106" s="52"/>
      <c r="I106" s="52"/>
      <c r="J106" s="52"/>
      <c r="K106" s="52"/>
      <c r="L106" s="52"/>
      <c r="N106" s="52"/>
    </row>
    <row r="107" spans="1:14" s="11" customFormat="1" x14ac:dyDescent="0.25">
      <c r="A107" s="54" t="s">
        <v>41</v>
      </c>
      <c r="B107" s="63"/>
      <c r="C107" s="55"/>
      <c r="D107" s="56"/>
      <c r="E107" s="56"/>
      <c r="F107" s="57"/>
      <c r="G107" s="119"/>
      <c r="H107" s="57"/>
      <c r="I107" s="57"/>
      <c r="J107" s="57"/>
      <c r="K107" s="57"/>
      <c r="L107" s="57"/>
      <c r="N107" s="57"/>
    </row>
    <row r="108" spans="1:14" s="11" customFormat="1" x14ac:dyDescent="0.25">
      <c r="A108" s="32" t="s">
        <v>42</v>
      </c>
      <c r="B108" s="63">
        <v>511</v>
      </c>
      <c r="C108" s="58">
        <v>1565</v>
      </c>
      <c r="D108" s="58">
        <v>3464</v>
      </c>
      <c r="E108" s="58">
        <v>5844</v>
      </c>
      <c r="F108" s="59">
        <v>4607</v>
      </c>
      <c r="G108" s="120"/>
      <c r="H108" s="59"/>
      <c r="I108" s="59"/>
      <c r="J108" s="59"/>
      <c r="K108" s="59"/>
      <c r="L108" s="59"/>
      <c r="N108" s="59"/>
    </row>
    <row r="109" spans="1:14" s="11" customFormat="1" x14ac:dyDescent="0.25">
      <c r="A109" s="32" t="s">
        <v>43</v>
      </c>
      <c r="B109" s="61">
        <v>12710</v>
      </c>
      <c r="C109" s="10">
        <v>59342</v>
      </c>
      <c r="D109" s="10">
        <v>103860</v>
      </c>
      <c r="E109" s="10">
        <v>238813</v>
      </c>
      <c r="F109" s="12">
        <v>51301</v>
      </c>
      <c r="G109" s="106"/>
      <c r="H109" s="12"/>
      <c r="I109" s="12"/>
      <c r="J109" s="12"/>
      <c r="K109" s="12"/>
      <c r="L109" s="12"/>
      <c r="N109" s="12"/>
    </row>
    <row r="110" spans="1:14" s="11" customFormat="1" x14ac:dyDescent="0.25">
      <c r="A110" s="60" t="s">
        <v>44</v>
      </c>
      <c r="B110" s="62">
        <v>8658</v>
      </c>
      <c r="C110" s="17">
        <v>17588</v>
      </c>
      <c r="D110" s="17">
        <v>26248</v>
      </c>
      <c r="E110" s="17">
        <v>58674</v>
      </c>
      <c r="F110" s="18">
        <v>50268</v>
      </c>
      <c r="G110" s="107"/>
      <c r="H110" s="18"/>
      <c r="I110" s="18"/>
      <c r="J110" s="18"/>
      <c r="K110" s="18"/>
      <c r="L110" s="18"/>
      <c r="N110" s="18"/>
    </row>
    <row r="111" spans="1:14" s="4" customFormat="1" x14ac:dyDescent="0.25">
      <c r="A111" s="25" t="s">
        <v>45</v>
      </c>
      <c r="B111" s="61">
        <v>21879</v>
      </c>
      <c r="C111" s="31">
        <v>78495</v>
      </c>
      <c r="D111" s="31">
        <v>133572</v>
      </c>
      <c r="E111" s="31">
        <v>303331</v>
      </c>
      <c r="F111" s="31">
        <v>106176</v>
      </c>
      <c r="G111" s="114"/>
      <c r="H111" s="31"/>
      <c r="I111" s="31"/>
      <c r="J111" s="31"/>
      <c r="K111" s="31"/>
      <c r="L111" s="31"/>
      <c r="N111" s="31"/>
    </row>
    <row r="112" spans="1:14" x14ac:dyDescent="0.25">
      <c r="B112" s="61"/>
    </row>
  </sheetData>
  <phoneticPr fontId="15" type="noConversion"/>
  <hyperlinks>
    <hyperlink ref="A1" location="Index!A1" display="Index" xr:uid="{9833BB2A-508C-4FC6-9631-D77EA09480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35BA-4747-4CBE-8573-91B99EC58EBD}">
  <dimension ref="A1:BO164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59" sqref="L59"/>
    </sheetView>
  </sheetViews>
  <sheetFormatPr defaultRowHeight="15" x14ac:dyDescent="0.25"/>
  <cols>
    <col min="1" max="1" width="39" bestFit="1" customWidth="1"/>
    <col min="2" max="2" width="9" bestFit="1" customWidth="1"/>
    <col min="3" max="3" width="8.85546875" bestFit="1" customWidth="1"/>
    <col min="4" max="11" width="9.7109375" bestFit="1" customWidth="1"/>
    <col min="12" max="12" width="11.5703125" bestFit="1" customWidth="1"/>
    <col min="14" max="14" width="11.5703125" bestFit="1" customWidth="1"/>
  </cols>
  <sheetData>
    <row r="1" spans="1:67" x14ac:dyDescent="0.25">
      <c r="A1" s="260" t="s">
        <v>332</v>
      </c>
    </row>
    <row r="2" spans="1:67" x14ac:dyDescent="0.25">
      <c r="A2" s="1" t="s">
        <v>0</v>
      </c>
      <c r="B2" s="2" t="s">
        <v>46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168</v>
      </c>
      <c r="H2" s="2" t="s">
        <v>169</v>
      </c>
      <c r="I2" s="2" t="s">
        <v>170</v>
      </c>
      <c r="J2" s="2" t="s">
        <v>171</v>
      </c>
      <c r="K2" s="2" t="s">
        <v>172</v>
      </c>
      <c r="L2" s="2" t="s">
        <v>173</v>
      </c>
      <c r="N2" s="2"/>
    </row>
    <row r="3" spans="1:67" s="6" customFormat="1" ht="48.6" customHeight="1" x14ac:dyDescent="0.25">
      <c r="A3" s="5" t="s">
        <v>149</v>
      </c>
      <c r="M3" s="8"/>
      <c r="N3" s="6" t="s">
        <v>166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spans="1:67" s="11" customFormat="1" x14ac:dyDescent="0.25">
      <c r="A4" s="54" t="s">
        <v>49</v>
      </c>
      <c r="B4" s="63"/>
      <c r="C4" s="20"/>
      <c r="D4" s="10"/>
      <c r="E4" s="10"/>
      <c r="F4" s="12"/>
      <c r="G4" s="12"/>
      <c r="H4" s="12"/>
      <c r="I4" s="12"/>
      <c r="J4" s="12"/>
      <c r="K4" s="12"/>
      <c r="L4" s="12"/>
      <c r="N4" s="12"/>
    </row>
    <row r="5" spans="1:67" s="11" customFormat="1" x14ac:dyDescent="0.25">
      <c r="A5" s="9" t="s">
        <v>50</v>
      </c>
      <c r="B5" s="63"/>
      <c r="C5" s="20"/>
      <c r="D5" s="10"/>
      <c r="E5" s="10"/>
      <c r="F5" s="12"/>
      <c r="G5" s="12"/>
      <c r="H5" s="12"/>
      <c r="I5" s="12"/>
      <c r="J5" s="12"/>
      <c r="K5" s="12"/>
      <c r="L5" s="12"/>
      <c r="N5" s="12"/>
    </row>
    <row r="6" spans="1:67" s="11" customFormat="1" x14ac:dyDescent="0.25">
      <c r="A6" s="9" t="s">
        <v>51</v>
      </c>
      <c r="B6" s="71"/>
      <c r="C6" s="51"/>
      <c r="D6" s="10"/>
      <c r="E6" s="10"/>
      <c r="F6" s="12"/>
      <c r="G6" s="12"/>
      <c r="H6" s="12"/>
      <c r="I6" s="12"/>
      <c r="J6" s="12"/>
      <c r="K6" s="12"/>
      <c r="L6" s="12"/>
      <c r="N6" s="12"/>
    </row>
    <row r="7" spans="1:67" s="11" customFormat="1" x14ac:dyDescent="0.25">
      <c r="A7" s="9" t="s">
        <v>52</v>
      </c>
      <c r="B7" s="61">
        <v>349462</v>
      </c>
      <c r="C7" s="10">
        <v>172250</v>
      </c>
      <c r="D7" s="10">
        <v>155440</v>
      </c>
      <c r="E7" s="10">
        <v>356332</v>
      </c>
      <c r="F7" s="12">
        <v>353684</v>
      </c>
      <c r="G7" s="124">
        <f>'Derived Cash Flow'!B61</f>
        <v>798116.93452421937</v>
      </c>
      <c r="H7" s="124">
        <f>'Derived Cash Flow'!C61</f>
        <v>1051294.1899664318</v>
      </c>
      <c r="I7" s="124">
        <f>'Derived Cash Flow'!D61</f>
        <v>1497536.7804259881</v>
      </c>
      <c r="J7" s="124">
        <f>'Derived Cash Flow'!E61</f>
        <v>2047699.2489207597</v>
      </c>
      <c r="K7" s="124">
        <f>'Derived Cash Flow'!F61</f>
        <v>3098242.6744169891</v>
      </c>
      <c r="L7" s="124">
        <f>'Derived Cash Flow'!G61</f>
        <v>4503318.6072154697</v>
      </c>
      <c r="N7" s="12"/>
    </row>
    <row r="8" spans="1:67" s="11" customFormat="1" x14ac:dyDescent="0.25">
      <c r="A8" s="9" t="s">
        <v>53</v>
      </c>
      <c r="B8" s="10">
        <v>0</v>
      </c>
      <c r="C8" s="10">
        <v>178534</v>
      </c>
      <c r="D8" s="10">
        <v>406525</v>
      </c>
      <c r="E8" s="10">
        <v>14510</v>
      </c>
      <c r="F8" s="12">
        <v>581769</v>
      </c>
      <c r="G8" s="12">
        <f>G54*IS!G4</f>
        <v>465232.33870946115</v>
      </c>
      <c r="H8" s="12">
        <f>H54*IS!H4</f>
        <v>505152.8349448996</v>
      </c>
      <c r="I8" s="12">
        <f>I54*IS!I4</f>
        <v>526498.36854621896</v>
      </c>
      <c r="J8" s="12">
        <f>J54*IS!J4</f>
        <v>684977.81399762072</v>
      </c>
      <c r="K8" s="12">
        <f>K54*IS!K4</f>
        <v>667726.69704623567</v>
      </c>
      <c r="L8" s="12">
        <f>L54*IS!L4</f>
        <v>693830.85791008861</v>
      </c>
      <c r="N8" s="12" t="s">
        <v>189</v>
      </c>
    </row>
    <row r="9" spans="1:67" s="11" customFormat="1" x14ac:dyDescent="0.25">
      <c r="A9" s="9" t="s">
        <v>54</v>
      </c>
      <c r="B9" s="10">
        <v>0</v>
      </c>
      <c r="C9" s="10">
        <v>0</v>
      </c>
      <c r="D9" s="10">
        <v>0</v>
      </c>
      <c r="E9" s="10">
        <v>72180</v>
      </c>
      <c r="F9" s="12">
        <v>39240</v>
      </c>
      <c r="G9" s="12">
        <f>G55*IS!G4</f>
        <v>51175.557258040732</v>
      </c>
      <c r="H9" s="12">
        <f>H55*IS!H4</f>
        <v>66680.17421272675</v>
      </c>
      <c r="I9" s="12">
        <f>I55*IS!I4</f>
        <v>86872.230810126115</v>
      </c>
      <c r="J9" s="12">
        <f>J55*IS!J4</f>
        <v>113021.33930960743</v>
      </c>
      <c r="K9" s="12">
        <f>K55*IS!K4</f>
        <v>146899.87335017187</v>
      </c>
      <c r="L9" s="12">
        <f>L55*IS!L4</f>
        <v>190803.48592527438</v>
      </c>
      <c r="N9" s="12" t="s">
        <v>189</v>
      </c>
    </row>
    <row r="10" spans="1:67" s="11" customFormat="1" x14ac:dyDescent="0.25">
      <c r="A10" s="9" t="s">
        <v>55</v>
      </c>
      <c r="B10" s="61">
        <v>130579</v>
      </c>
      <c r="C10" s="10">
        <v>146878</v>
      </c>
      <c r="D10" s="10">
        <v>229201</v>
      </c>
      <c r="E10" s="10">
        <v>320819</v>
      </c>
      <c r="F10" s="12">
        <v>358190</v>
      </c>
      <c r="G10" s="12">
        <f>G56*IS!G4</f>
        <v>404752.13467723125</v>
      </c>
      <c r="H10" s="12">
        <f>H56*IS!H4</f>
        <v>507173.44628467923</v>
      </c>
      <c r="I10" s="12">
        <f>I56*IS!I4</f>
        <v>634430.53409819375</v>
      </c>
      <c r="J10" s="12">
        <f>J56*IS!J4</f>
        <v>791149.37516725191</v>
      </c>
      <c r="K10" s="12">
        <f>K56*IS!K4</f>
        <v>983784.00031478715</v>
      </c>
      <c r="L10" s="12">
        <f>L56*IS!L4</f>
        <v>1219985.9251585724</v>
      </c>
      <c r="N10" s="12" t="s">
        <v>189</v>
      </c>
    </row>
    <row r="11" spans="1:67" s="11" customFormat="1" x14ac:dyDescent="0.25">
      <c r="A11" s="9" t="s">
        <v>56</v>
      </c>
      <c r="B11" s="61">
        <v>13960</v>
      </c>
      <c r="C11" s="10">
        <v>38102</v>
      </c>
      <c r="D11" s="10">
        <v>63945</v>
      </c>
      <c r="E11" s="10">
        <v>180421</v>
      </c>
      <c r="F11" s="12">
        <v>196902</v>
      </c>
      <c r="G11" s="12">
        <f>G57*IS!G4</f>
        <v>232616.16935473058</v>
      </c>
      <c r="H11" s="12">
        <f>H57*IS!H4</f>
        <v>282885.58756914374</v>
      </c>
      <c r="I11" s="12">
        <f>I57*IS!I4</f>
        <v>342223.93955504219</v>
      </c>
      <c r="J11" s="12">
        <f>J57*IS!J4</f>
        <v>410986.68839857238</v>
      </c>
      <c r="K11" s="12">
        <f>K57*IS!K4</f>
        <v>489666.24450057279</v>
      </c>
      <c r="L11" s="12">
        <f>L57*IS!L4</f>
        <v>578192.38159174053</v>
      </c>
      <c r="N11" s="12" t="s">
        <v>189</v>
      </c>
    </row>
    <row r="12" spans="1:67" s="11" customFormat="1" x14ac:dyDescent="0.25">
      <c r="A12" s="9" t="s">
        <v>57</v>
      </c>
      <c r="B12" s="61">
        <v>33763</v>
      </c>
      <c r="C12" s="10">
        <v>38845</v>
      </c>
      <c r="D12" s="10">
        <v>89958</v>
      </c>
      <c r="E12" s="10">
        <v>108688</v>
      </c>
      <c r="F12" s="12">
        <v>202471</v>
      </c>
      <c r="G12" s="12">
        <f>G58*IS!G5</f>
        <v>251225.46290310903</v>
      </c>
      <c r="H12" s="12">
        <f>H58*IS!H5</f>
        <v>312790.63539788179</v>
      </c>
      <c r="I12" s="12">
        <f>I58*IS!I5</f>
        <v>383159.18770951073</v>
      </c>
      <c r="J12" s="12">
        <f>J58*IS!J5</f>
        <v>425542.46694602189</v>
      </c>
      <c r="K12" s="12">
        <f>K58*IS!K5</f>
        <v>467408.68793236493</v>
      </c>
      <c r="L12" s="12">
        <f>L58*IS!L5</f>
        <v>505918.33389277291</v>
      </c>
      <c r="N12" s="12" t="s">
        <v>190</v>
      </c>
    </row>
    <row r="13" spans="1:67" s="11" customFormat="1" x14ac:dyDescent="0.25">
      <c r="A13" s="16" t="s">
        <v>58</v>
      </c>
      <c r="B13" s="62">
        <v>30391</v>
      </c>
      <c r="C13" s="17">
        <v>34866</v>
      </c>
      <c r="D13" s="17">
        <v>36883</v>
      </c>
      <c r="E13" s="17">
        <v>56540</v>
      </c>
      <c r="F13" s="18">
        <v>73022</v>
      </c>
      <c r="G13" s="18">
        <f>G59*IS!G10</f>
        <v>75890.652317796936</v>
      </c>
      <c r="H13" s="18">
        <f>H59*IS!H10</f>
        <v>97894.349703526692</v>
      </c>
      <c r="I13" s="18">
        <f>I59*IS!I10</f>
        <v>121097.32029620479</v>
      </c>
      <c r="J13" s="18">
        <f>J59*IS!J10</f>
        <v>155872.35726995903</v>
      </c>
      <c r="K13" s="18">
        <f>K59*IS!K10</f>
        <v>196060.28796052237</v>
      </c>
      <c r="L13" s="18">
        <f>L59*IS!L10</f>
        <v>251826.84059785461</v>
      </c>
      <c r="N13" s="18" t="s">
        <v>191</v>
      </c>
    </row>
    <row r="14" spans="1:67" s="11" customFormat="1" x14ac:dyDescent="0.25">
      <c r="A14" s="9" t="s">
        <v>59</v>
      </c>
      <c r="B14" s="61">
        <v>558155</v>
      </c>
      <c r="C14" s="10">
        <v>609475</v>
      </c>
      <c r="D14" s="10">
        <v>981952</v>
      </c>
      <c r="E14" s="10">
        <v>1109490</v>
      </c>
      <c r="F14" s="12">
        <v>1805278</v>
      </c>
      <c r="G14" s="12">
        <f>SUM(G7:G13)</f>
        <v>2279009.249744589</v>
      </c>
      <c r="H14" s="12">
        <f t="shared" ref="H14:L14" si="0">SUM(H7:H13)</f>
        <v>2823871.2180792894</v>
      </c>
      <c r="I14" s="12">
        <f t="shared" si="0"/>
        <v>3591818.3614412849</v>
      </c>
      <c r="J14" s="12">
        <f t="shared" si="0"/>
        <v>4629249.2900097929</v>
      </c>
      <c r="K14" s="12">
        <f t="shared" si="0"/>
        <v>6049788.4655216439</v>
      </c>
      <c r="L14" s="12">
        <f t="shared" si="0"/>
        <v>7943876.4322917731</v>
      </c>
      <c r="N14" s="12"/>
    </row>
    <row r="15" spans="1:67" s="11" customFormat="1" x14ac:dyDescent="0.25">
      <c r="A15" s="237" t="s">
        <v>60</v>
      </c>
      <c r="B15" s="61">
        <v>37893</v>
      </c>
      <c r="C15" s="10">
        <v>43770</v>
      </c>
      <c r="D15" s="10">
        <v>105494</v>
      </c>
      <c r="E15" s="10">
        <v>138457</v>
      </c>
      <c r="F15" s="12">
        <v>169843</v>
      </c>
      <c r="G15" s="12">
        <f>Schedules!G25</f>
        <v>206152.71097063998</v>
      </c>
      <c r="H15" s="12">
        <f>Schedules!H25</f>
        <v>245040.69499341655</v>
      </c>
      <c r="I15" s="12">
        <f>Schedules!I25</f>
        <v>285203.0488612809</v>
      </c>
      <c r="J15" s="12">
        <f>Schedules!J25</f>
        <v>324690.28750171495</v>
      </c>
      <c r="K15" s="12">
        <f>Schedules!K25</f>
        <v>360770.70925963635</v>
      </c>
      <c r="L15" s="12">
        <f>Schedules!L25</f>
        <v>389792.57144170074</v>
      </c>
      <c r="N15" s="12"/>
    </row>
    <row r="16" spans="1:67" s="11" customFormat="1" x14ac:dyDescent="0.25">
      <c r="A16" s="77" t="s">
        <v>61</v>
      </c>
      <c r="B16" s="61">
        <v>19347</v>
      </c>
      <c r="C16" s="10">
        <v>27688</v>
      </c>
      <c r="D16" s="10">
        <v>45770</v>
      </c>
      <c r="E16" s="10">
        <v>127193</v>
      </c>
      <c r="F16" s="12">
        <v>156866</v>
      </c>
      <c r="G16" s="12">
        <f>F16</f>
        <v>156866</v>
      </c>
      <c r="H16" s="12">
        <f t="shared" ref="H16:L16" si="1">G16</f>
        <v>156866</v>
      </c>
      <c r="I16" s="12">
        <f t="shared" si="1"/>
        <v>156866</v>
      </c>
      <c r="J16" s="12">
        <f t="shared" si="1"/>
        <v>156866</v>
      </c>
      <c r="K16" s="12">
        <f t="shared" si="1"/>
        <v>156866</v>
      </c>
      <c r="L16" s="12">
        <f t="shared" si="1"/>
        <v>156866</v>
      </c>
      <c r="N16" s="12" t="s">
        <v>204</v>
      </c>
    </row>
    <row r="17" spans="1:14" s="11" customFormat="1" x14ac:dyDescent="0.25">
      <c r="A17" s="77" t="s">
        <v>62</v>
      </c>
      <c r="B17" s="61">
        <v>15935</v>
      </c>
      <c r="C17" s="10">
        <v>12771</v>
      </c>
      <c r="D17" s="10">
        <v>9448</v>
      </c>
      <c r="E17" s="10">
        <v>15470</v>
      </c>
      <c r="F17" s="12">
        <v>12158</v>
      </c>
      <c r="G17" s="12">
        <f>Schedules!G37</f>
        <v>10987.325195733916</v>
      </c>
      <c r="H17" s="12">
        <f>Schedules!H37</f>
        <v>9560.9073767237969</v>
      </c>
      <c r="I17" s="12">
        <f>Schedules!I37</f>
        <v>7852.0905728771213</v>
      </c>
      <c r="J17" s="12">
        <f>Schedules!J37</f>
        <v>5831.9297653463727</v>
      </c>
      <c r="K17" s="12">
        <f>Schedules!K37</f>
        <v>3469.0114936758473</v>
      </c>
      <c r="L17" s="12">
        <f>Schedules!L37</f>
        <v>729.26113578288641</v>
      </c>
      <c r="N17" s="12" t="s">
        <v>230</v>
      </c>
    </row>
    <row r="18" spans="1:14" s="11" customFormat="1" x14ac:dyDescent="0.25">
      <c r="A18" s="9" t="s">
        <v>63</v>
      </c>
      <c r="B18" s="61">
        <v>24981</v>
      </c>
      <c r="C18" s="10">
        <v>25013</v>
      </c>
      <c r="D18" s="10">
        <v>25205</v>
      </c>
      <c r="E18" s="10">
        <v>43592</v>
      </c>
      <c r="F18" s="12">
        <v>44983</v>
      </c>
      <c r="G18" s="12">
        <f>F18</f>
        <v>44983</v>
      </c>
      <c r="H18" s="12">
        <f t="shared" ref="H18:L18" si="2">G18</f>
        <v>44983</v>
      </c>
      <c r="I18" s="12">
        <f t="shared" si="2"/>
        <v>44983</v>
      </c>
      <c r="J18" s="12">
        <f t="shared" si="2"/>
        <v>44983</v>
      </c>
      <c r="K18" s="12">
        <f t="shared" si="2"/>
        <v>44983</v>
      </c>
      <c r="L18" s="12">
        <f t="shared" si="2"/>
        <v>44983</v>
      </c>
      <c r="N18" s="12" t="s">
        <v>193</v>
      </c>
    </row>
    <row r="19" spans="1:14" s="11" customFormat="1" x14ac:dyDescent="0.25">
      <c r="A19" s="121" t="s">
        <v>64</v>
      </c>
      <c r="B19" s="10">
        <v>0</v>
      </c>
      <c r="C19" s="10">
        <v>45499</v>
      </c>
      <c r="D19" s="10">
        <v>90681</v>
      </c>
      <c r="E19" s="10">
        <v>31232</v>
      </c>
      <c r="F19" s="12">
        <v>156207</v>
      </c>
      <c r="G19" s="12">
        <f>G60*IS!G4</f>
        <v>149771.36343523764</v>
      </c>
      <c r="H19" s="12">
        <f>H60*IS!H4</f>
        <v>195147.47158654788</v>
      </c>
      <c r="I19" s="12">
        <f>I60*IS!I4</f>
        <v>254241.9301364609</v>
      </c>
      <c r="J19" s="12">
        <f>J60*IS!J4</f>
        <v>330770.41057558561</v>
      </c>
      <c r="K19" s="12">
        <f>K60*IS!K4</f>
        <v>429919.9754519937</v>
      </c>
      <c r="L19" s="12">
        <f>L60*IS!L4</f>
        <v>558409.12666826893</v>
      </c>
      <c r="N19" s="12" t="s">
        <v>192</v>
      </c>
    </row>
    <row r="20" spans="1:14" s="11" customFormat="1" x14ac:dyDescent="0.25">
      <c r="A20" s="9" t="s">
        <v>65</v>
      </c>
      <c r="B20" s="61">
        <v>40230</v>
      </c>
      <c r="C20" s="10">
        <v>31598</v>
      </c>
      <c r="D20" s="10">
        <v>22457</v>
      </c>
      <c r="E20" s="10">
        <v>11256</v>
      </c>
      <c r="F20" s="12">
        <v>5210</v>
      </c>
      <c r="G20" s="12">
        <f>G61*IS!G4</f>
        <v>6789.8960438351469</v>
      </c>
      <c r="H20" s="12">
        <f>H61*IS!H4</f>
        <v>8847.0253251242357</v>
      </c>
      <c r="I20" s="12">
        <f>I61*IS!I4</f>
        <v>11526.077055157637</v>
      </c>
      <c r="J20" s="12">
        <f>J61*IS!J4</f>
        <v>14995.501480869139</v>
      </c>
      <c r="K20" s="12">
        <f>K61*IS!K4</f>
        <v>19490.454473624683</v>
      </c>
      <c r="L20" s="12">
        <f>L61*IS!L4</f>
        <v>25315.519823292601</v>
      </c>
      <c r="N20" s="12"/>
    </row>
    <row r="21" spans="1:14" s="11" customFormat="1" x14ac:dyDescent="0.25">
      <c r="A21" s="9" t="s">
        <v>66</v>
      </c>
      <c r="B21" s="10">
        <v>0</v>
      </c>
      <c r="C21" s="10">
        <v>9644</v>
      </c>
      <c r="D21" s="10">
        <v>20099</v>
      </c>
      <c r="E21" s="10">
        <v>29753</v>
      </c>
      <c r="F21" s="12">
        <v>45170</v>
      </c>
      <c r="G21" s="12">
        <f>G62*IS!G4</f>
        <v>46562.645517451783</v>
      </c>
      <c r="H21" s="12">
        <f>H62*IS!H4</f>
        <v>60669.692354376784</v>
      </c>
      <c r="I21" s="12">
        <f>I62*IS!I4</f>
        <v>79041.657878314611</v>
      </c>
      <c r="J21" s="12">
        <f>J62*IS!J4</f>
        <v>102833.7128142172</v>
      </c>
      <c r="K21" s="12">
        <f>K62*IS!K4</f>
        <v>133658.47087650234</v>
      </c>
      <c r="L21" s="12">
        <f>L62*IS!L4</f>
        <v>173604.65727487009</v>
      </c>
      <c r="N21" s="12"/>
    </row>
    <row r="22" spans="1:14" s="11" customFormat="1" x14ac:dyDescent="0.25">
      <c r="A22" s="9" t="s">
        <v>67</v>
      </c>
      <c r="B22" s="10">
        <v>0</v>
      </c>
      <c r="C22" s="10">
        <v>0</v>
      </c>
      <c r="D22" s="10">
        <v>0</v>
      </c>
      <c r="E22" s="10">
        <v>83520</v>
      </c>
      <c r="F22" s="12">
        <v>296563</v>
      </c>
      <c r="G22" s="12">
        <f>F22</f>
        <v>296563</v>
      </c>
      <c r="H22" s="12">
        <f t="shared" ref="H22:L22" si="3">G22</f>
        <v>296563</v>
      </c>
      <c r="I22" s="12">
        <f t="shared" si="3"/>
        <v>296563</v>
      </c>
      <c r="J22" s="12">
        <f t="shared" si="3"/>
        <v>296563</v>
      </c>
      <c r="K22" s="12">
        <f t="shared" si="3"/>
        <v>296563</v>
      </c>
      <c r="L22" s="12">
        <f t="shared" si="3"/>
        <v>296563</v>
      </c>
      <c r="N22" s="12" t="s">
        <v>193</v>
      </c>
    </row>
    <row r="23" spans="1:14" s="11" customFormat="1" x14ac:dyDescent="0.25">
      <c r="A23" s="72" t="s">
        <v>68</v>
      </c>
      <c r="B23" s="62">
        <v>22999</v>
      </c>
      <c r="C23" s="17">
        <v>40181</v>
      </c>
      <c r="D23" s="17">
        <v>79917</v>
      </c>
      <c r="E23" s="17">
        <v>98247</v>
      </c>
      <c r="F23" s="18">
        <v>159616</v>
      </c>
      <c r="G23" s="18">
        <f>G63*IS!G4</f>
        <v>153751.44256394339</v>
      </c>
      <c r="H23" s="18">
        <f>H63*IS!H4</f>
        <v>200333.39205135807</v>
      </c>
      <c r="I23" s="18">
        <f>I63*IS!I4</f>
        <v>260998.24841098578</v>
      </c>
      <c r="J23" s="18">
        <f>J63*IS!J4</f>
        <v>339560.4247500549</v>
      </c>
      <c r="K23" s="18">
        <f>K63*IS!K4</f>
        <v>441344.82651873369</v>
      </c>
      <c r="L23" s="18">
        <f>L63*IS!L4</f>
        <v>573248.49555264332</v>
      </c>
      <c r="N23" s="18"/>
    </row>
    <row r="24" spans="1:14" s="4" customFormat="1" x14ac:dyDescent="0.25">
      <c r="A24" s="25" t="s">
        <v>69</v>
      </c>
      <c r="B24" s="61">
        <v>719540</v>
      </c>
      <c r="C24" s="10">
        <v>845639</v>
      </c>
      <c r="D24" s="10">
        <v>1381023</v>
      </c>
      <c r="E24" s="10">
        <v>1688210</v>
      </c>
      <c r="F24" s="12">
        <v>2851894</v>
      </c>
      <c r="G24" s="12">
        <f>SUM(G14:G23)</f>
        <v>3351436.6334714312</v>
      </c>
      <c r="H24" s="12">
        <f t="shared" ref="H24:L24" si="4">SUM(H14:H23)</f>
        <v>4041882.4017668371</v>
      </c>
      <c r="I24" s="12">
        <f t="shared" si="4"/>
        <v>4989093.414356363</v>
      </c>
      <c r="J24" s="12">
        <f t="shared" si="4"/>
        <v>6246343.5568975816</v>
      </c>
      <c r="K24" s="12">
        <f t="shared" si="4"/>
        <v>7936853.9135958115</v>
      </c>
      <c r="L24" s="12">
        <f t="shared" si="4"/>
        <v>10163388.064188333</v>
      </c>
      <c r="N24" s="234">
        <f>(F24/B24)^(1/5)-1</f>
        <v>0.31709071313008508</v>
      </c>
    </row>
    <row r="25" spans="1:14" s="4" customFormat="1" x14ac:dyDescent="0.25">
      <c r="A25" s="25"/>
      <c r="B25" s="63"/>
      <c r="C25" s="27"/>
      <c r="D25" s="27"/>
      <c r="E25" s="27"/>
      <c r="F25" s="27"/>
      <c r="G25" s="27"/>
      <c r="H25" s="27"/>
      <c r="I25" s="27"/>
      <c r="J25" s="27"/>
      <c r="K25" s="27"/>
      <c r="L25" s="27"/>
      <c r="N25" s="235">
        <f>(L24/H24)^(1/5)-1</f>
        <v>0.20251628628193319</v>
      </c>
    </row>
    <row r="26" spans="1:14" s="11" customFormat="1" x14ac:dyDescent="0.25">
      <c r="A26" s="9" t="s">
        <v>70</v>
      </c>
      <c r="B26" s="63"/>
      <c r="C26" s="10"/>
      <c r="D26" s="10"/>
      <c r="E26" s="10"/>
      <c r="F26" s="12"/>
      <c r="G26" s="12"/>
      <c r="H26" s="12"/>
      <c r="I26" s="12"/>
      <c r="J26" s="12"/>
      <c r="K26" s="12"/>
      <c r="L26" s="12"/>
      <c r="N26" s="12"/>
    </row>
    <row r="27" spans="1:14" s="11" customFormat="1" x14ac:dyDescent="0.25">
      <c r="A27" s="9" t="s">
        <v>71</v>
      </c>
      <c r="B27" s="63"/>
      <c r="C27" s="10"/>
      <c r="D27" s="10"/>
      <c r="E27" s="10"/>
      <c r="F27" s="12"/>
      <c r="G27" s="12"/>
      <c r="H27" s="12"/>
      <c r="I27" s="12"/>
      <c r="J27" s="12"/>
      <c r="K27" s="12"/>
      <c r="L27" s="12"/>
      <c r="N27" s="12"/>
    </row>
    <row r="28" spans="1:14" s="11" customFormat="1" x14ac:dyDescent="0.25">
      <c r="A28" s="121" t="s">
        <v>72</v>
      </c>
      <c r="B28" s="61">
        <v>15164</v>
      </c>
      <c r="C28" s="10">
        <v>25874</v>
      </c>
      <c r="D28" s="10">
        <v>24142</v>
      </c>
      <c r="E28" s="10">
        <v>32220</v>
      </c>
      <c r="F28" s="12">
        <v>59918</v>
      </c>
      <c r="G28" s="12">
        <f>G66*IS!G5</f>
        <v>72514.994732140432</v>
      </c>
      <c r="H28" s="12">
        <f>H66*IS!H5</f>
        <v>101759.00452340193</v>
      </c>
      <c r="I28" s="12">
        <f>I66*IS!I5</f>
        <v>140077.66059311532</v>
      </c>
      <c r="J28" s="12">
        <f>J66*IS!J5</f>
        <v>194400.3069340559</v>
      </c>
      <c r="K28" s="12">
        <f>K66*IS!K5</f>
        <v>264693.98806854652</v>
      </c>
      <c r="L28" s="12">
        <f>L66*IS!L5</f>
        <v>364039.1783486465</v>
      </c>
      <c r="N28" s="12"/>
    </row>
    <row r="29" spans="1:14" s="11" customFormat="1" x14ac:dyDescent="0.25">
      <c r="A29" s="9" t="s">
        <v>73</v>
      </c>
      <c r="B29" s="61">
        <v>41092</v>
      </c>
      <c r="C29" s="10">
        <v>45001</v>
      </c>
      <c r="D29" s="10">
        <v>59843</v>
      </c>
      <c r="E29" s="10">
        <v>103707</v>
      </c>
      <c r="F29" s="12">
        <v>155934</v>
      </c>
      <c r="G29" s="12">
        <f>G67*IS!G5</f>
        <v>199882.70935379405</v>
      </c>
      <c r="H29" s="12">
        <f>H67*IS!H5</f>
        <v>274989.41286234237</v>
      </c>
      <c r="I29" s="12">
        <f>I67*IS!I5</f>
        <v>371976.40462554182</v>
      </c>
      <c r="J29" s="12">
        <f>J67*IS!J5</f>
        <v>508260.44275005296</v>
      </c>
      <c r="K29" s="12">
        <f>K67*IS!K5</f>
        <v>682469.42061014217</v>
      </c>
      <c r="L29" s="12">
        <f>L67*IS!L5</f>
        <v>926910.88507060579</v>
      </c>
      <c r="N29" s="12"/>
    </row>
    <row r="30" spans="1:14" s="11" customFormat="1" x14ac:dyDescent="0.25">
      <c r="A30" s="121" t="s">
        <v>74</v>
      </c>
      <c r="B30" s="61">
        <v>107016</v>
      </c>
      <c r="C30" s="10">
        <v>117864</v>
      </c>
      <c r="D30" s="10">
        <v>163959</v>
      </c>
      <c r="E30" s="10">
        <v>265591</v>
      </c>
      <c r="F30" s="12">
        <v>360037</v>
      </c>
      <c r="G30" s="12">
        <f>BS!G68*IS!G4</f>
        <v>469215.70094707771</v>
      </c>
      <c r="H30" s="12">
        <f>BS!H68*IS!H4</f>
        <v>621476.65688733454</v>
      </c>
      <c r="I30" s="12">
        <f>BS!I68*IS!I4</f>
        <v>822834.36270903645</v>
      </c>
      <c r="J30" s="12">
        <f>BS!J68*IS!J4</f>
        <v>1087637.3219745208</v>
      </c>
      <c r="K30" s="12">
        <f>BS!K68*IS!K4</f>
        <v>1435917.8956241577</v>
      </c>
      <c r="L30" s="12">
        <f>BS!L68*IS!L4</f>
        <v>1893976.8498353246</v>
      </c>
      <c r="N30" s="12"/>
    </row>
    <row r="31" spans="1:14" s="11" customFormat="1" x14ac:dyDescent="0.25">
      <c r="A31" s="9" t="s">
        <v>75</v>
      </c>
      <c r="B31" s="61">
        <v>2702</v>
      </c>
      <c r="C31" s="10">
        <v>2974</v>
      </c>
      <c r="D31" s="10">
        <v>2956</v>
      </c>
      <c r="E31" s="10">
        <v>10463</v>
      </c>
      <c r="F31" s="12">
        <v>20399</v>
      </c>
      <c r="G31" s="12">
        <f>G69*IS!G4</f>
        <v>29464.714784932541</v>
      </c>
      <c r="H31" s="12">
        <f>H69*IS!H4</f>
        <v>42432.838135371559</v>
      </c>
      <c r="I31" s="12">
        <f>I69*IS!I4</f>
        <v>60547.312382815173</v>
      </c>
      <c r="J31" s="12">
        <f>J69*IS!J4</f>
        <v>85622.22674970259</v>
      </c>
      <c r="K31" s="12">
        <f>K69*IS!K4</f>
        <v>120190.80546832245</v>
      </c>
      <c r="L31" s="12">
        <f>L69*IS!L4</f>
        <v>167675.79066160478</v>
      </c>
      <c r="N31" s="12"/>
    </row>
    <row r="32" spans="1:14" s="11" customFormat="1" x14ac:dyDescent="0.25">
      <c r="A32" s="16" t="s">
        <v>76</v>
      </c>
      <c r="B32" s="68">
        <v>37</v>
      </c>
      <c r="C32" s="17">
        <v>3853</v>
      </c>
      <c r="D32" s="17">
        <v>5431</v>
      </c>
      <c r="E32" s="17">
        <v>6540</v>
      </c>
      <c r="F32" s="18">
        <v>6358</v>
      </c>
      <c r="G32" s="18">
        <f>G70*IS!G10</f>
        <v>6868.0690917948214</v>
      </c>
      <c r="H32" s="18">
        <f>H70*IS!H10</f>
        <v>8859.3935738575165</v>
      </c>
      <c r="I32" s="18">
        <f>I70*IS!I10</f>
        <v>10959.251728957675</v>
      </c>
      <c r="J32" s="18">
        <f>J70*IS!J10</f>
        <v>14106.376563322214</v>
      </c>
      <c r="K32" s="18">
        <f>K70*IS!K10</f>
        <v>17743.365786754192</v>
      </c>
      <c r="L32" s="18">
        <f>L70*IS!L10</f>
        <v>22790.213123373964</v>
      </c>
      <c r="N32" s="18" t="s">
        <v>199</v>
      </c>
    </row>
    <row r="33" spans="1:14" s="11" customFormat="1" x14ac:dyDescent="0.25">
      <c r="A33" s="9" t="s">
        <v>77</v>
      </c>
      <c r="B33" s="61">
        <v>166011</v>
      </c>
      <c r="C33" s="10">
        <v>195566</v>
      </c>
      <c r="D33" s="10">
        <v>256331</v>
      </c>
      <c r="E33" s="10">
        <v>418521</v>
      </c>
      <c r="F33" s="12">
        <v>602646</v>
      </c>
      <c r="G33" s="12">
        <f>SUM(G28:G32)</f>
        <v>777946.18890973949</v>
      </c>
      <c r="H33" s="12">
        <f t="shared" ref="H33:L33" si="5">SUM(H28:H32)</f>
        <v>1049517.305982308</v>
      </c>
      <c r="I33" s="12">
        <f t="shared" si="5"/>
        <v>1406394.9920394665</v>
      </c>
      <c r="J33" s="12">
        <f t="shared" si="5"/>
        <v>1890026.6749716545</v>
      </c>
      <c r="K33" s="12">
        <f t="shared" si="5"/>
        <v>2521015.4755579229</v>
      </c>
      <c r="L33" s="12">
        <f t="shared" si="5"/>
        <v>3375392.9170395555</v>
      </c>
      <c r="N33" s="12"/>
    </row>
    <row r="34" spans="1:14" s="11" customFormat="1" x14ac:dyDescent="0.25">
      <c r="A34" s="9" t="s">
        <v>78</v>
      </c>
      <c r="B34" s="61">
        <v>74417</v>
      </c>
      <c r="C34" s="10">
        <v>87936</v>
      </c>
      <c r="D34" s="10">
        <v>111222</v>
      </c>
      <c r="E34" s="10">
        <v>185721</v>
      </c>
      <c r="F34" s="12">
        <v>248003</v>
      </c>
      <c r="G34" s="12">
        <f>G71*IS!G4</f>
        <v>323208.17438757158</v>
      </c>
      <c r="H34" s="12">
        <f>H71*IS!H4</f>
        <v>431233.34877313714</v>
      </c>
      <c r="I34" s="12">
        <f>I71*IS!I4</f>
        <v>574981.67234482709</v>
      </c>
      <c r="J34" s="12">
        <f>J71*IS!J4</f>
        <v>765179.35404598073</v>
      </c>
      <c r="K34" s="12">
        <f>K71*IS!K4</f>
        <v>1016802.0460084059</v>
      </c>
      <c r="L34" s="12">
        <f>L71*IS!L4</f>
        <v>1349600.8521610897</v>
      </c>
      <c r="N34" s="12"/>
    </row>
    <row r="35" spans="1:14" s="11" customFormat="1" x14ac:dyDescent="0.25">
      <c r="A35" s="77" t="s">
        <v>79</v>
      </c>
      <c r="B35" s="61">
        <v>2849</v>
      </c>
      <c r="C35" s="10">
        <v>3832</v>
      </c>
      <c r="D35" s="10">
        <v>4503</v>
      </c>
      <c r="E35" s="10">
        <v>3797</v>
      </c>
      <c r="F35" s="12">
        <v>10745</v>
      </c>
      <c r="G35" s="12">
        <f>F35+9000</f>
        <v>19745</v>
      </c>
      <c r="H35" s="12">
        <f>G35</f>
        <v>19745</v>
      </c>
      <c r="I35" s="12">
        <f t="shared" ref="I35:L35" si="6">H35</f>
        <v>19745</v>
      </c>
      <c r="J35" s="12">
        <f t="shared" si="6"/>
        <v>19745</v>
      </c>
      <c r="K35" s="12">
        <f t="shared" si="6"/>
        <v>19745</v>
      </c>
      <c r="L35" s="12">
        <f t="shared" si="6"/>
        <v>19745</v>
      </c>
      <c r="N35" s="12" t="s">
        <v>200</v>
      </c>
    </row>
    <row r="36" spans="1:14" s="11" customFormat="1" x14ac:dyDescent="0.25">
      <c r="A36" s="9" t="s">
        <v>80</v>
      </c>
      <c r="B36" s="61">
        <v>3235</v>
      </c>
      <c r="C36" s="10">
        <v>3936</v>
      </c>
      <c r="D36" s="10">
        <v>4732</v>
      </c>
      <c r="E36" s="10">
        <v>5679</v>
      </c>
      <c r="F36" s="12">
        <v>6285</v>
      </c>
      <c r="G36" s="12">
        <f>G72*IS!G8</f>
        <v>7518.5886520634003</v>
      </c>
      <c r="H36" s="12">
        <f>H72*IS!H8</f>
        <v>9473.1915257615401</v>
      </c>
      <c r="I36" s="12">
        <f>I72*IS!I8</f>
        <v>11175.618649528344</v>
      </c>
      <c r="J36" s="12">
        <f>J72*IS!J8</f>
        <v>14025.819447162508</v>
      </c>
      <c r="K36" s="12">
        <f>K72*IS!K8</f>
        <v>16976.967553686081</v>
      </c>
      <c r="L36" s="12">
        <f>L72*IS!L8</f>
        <v>21212.454146881249</v>
      </c>
      <c r="N36" s="12"/>
    </row>
    <row r="37" spans="1:14" s="123" customFormat="1" x14ac:dyDescent="0.25">
      <c r="A37" s="121" t="s">
        <v>81</v>
      </c>
      <c r="B37" s="263">
        <v>0</v>
      </c>
      <c r="C37" s="236">
        <v>0</v>
      </c>
      <c r="D37" s="236">
        <v>0</v>
      </c>
      <c r="E37" s="236">
        <v>0</v>
      </c>
      <c r="F37" s="124">
        <v>673967</v>
      </c>
      <c r="G37" s="124">
        <v>673967</v>
      </c>
      <c r="H37" s="124">
        <v>673967</v>
      </c>
      <c r="I37" s="124">
        <v>673967</v>
      </c>
      <c r="J37" s="124">
        <v>673967</v>
      </c>
      <c r="K37" s="124">
        <v>673967</v>
      </c>
      <c r="L37" s="236">
        <v>0</v>
      </c>
      <c r="N37" s="124" t="s">
        <v>201</v>
      </c>
    </row>
    <row r="38" spans="1:14" s="11" customFormat="1" x14ac:dyDescent="0.25">
      <c r="A38" s="9" t="s">
        <v>82</v>
      </c>
      <c r="B38" s="264">
        <v>0</v>
      </c>
      <c r="C38" s="10">
        <v>354</v>
      </c>
      <c r="D38" s="10">
        <v>649</v>
      </c>
      <c r="E38" s="10">
        <v>811</v>
      </c>
      <c r="F38" s="12">
        <v>1</v>
      </c>
      <c r="G38" s="12">
        <f>G73*IS!G4</f>
        <v>31.405546130234928</v>
      </c>
      <c r="H38" s="12">
        <f>H73*IS!H4</f>
        <v>40.92045889506872</v>
      </c>
      <c r="I38" s="12">
        <f>I73*IS!I4</f>
        <v>53.311971541163132</v>
      </c>
      <c r="J38" s="12">
        <f>J73*IS!J4</f>
        <v>69.359222948785984</v>
      </c>
      <c r="K38" s="12">
        <f>K73*IS!K4</f>
        <v>90.149887880304803</v>
      </c>
      <c r="L38" s="12">
        <f>L73*IS!L4</f>
        <v>117.09276850315732</v>
      </c>
      <c r="N38" s="12"/>
    </row>
    <row r="39" spans="1:14" s="11" customFormat="1" x14ac:dyDescent="0.25">
      <c r="A39" s="77" t="s">
        <v>83</v>
      </c>
      <c r="B39" s="10">
        <v>0</v>
      </c>
      <c r="C39" s="10">
        <v>6792</v>
      </c>
      <c r="D39" s="10">
        <v>18952</v>
      </c>
      <c r="E39" s="10">
        <v>20440</v>
      </c>
      <c r="F39" s="12">
        <v>37143</v>
      </c>
      <c r="G39" s="12">
        <f>G74*IS!G4</f>
        <v>42759.100143596377</v>
      </c>
      <c r="H39" s="12">
        <f>H74*IS!H4</f>
        <v>55713.789932525964</v>
      </c>
      <c r="I39" s="12">
        <f>I74*IS!I4</f>
        <v>72585.011594068463</v>
      </c>
      <c r="J39" s="12">
        <f>J74*IS!J4</f>
        <v>94433.57385509611</v>
      </c>
      <c r="K39" s="12">
        <f>K74*IS!K4</f>
        <v>122740.3614579048</v>
      </c>
      <c r="L39" s="12">
        <f>L74*IS!L4</f>
        <v>159423.47869879243</v>
      </c>
      <c r="N39" s="12"/>
    </row>
    <row r="40" spans="1:14" s="11" customFormat="1" x14ac:dyDescent="0.25">
      <c r="A40" s="129" t="s">
        <v>84</v>
      </c>
      <c r="B40" s="62">
        <v>5704</v>
      </c>
      <c r="C40" s="17">
        <v>3728</v>
      </c>
      <c r="D40" s="17">
        <v>8379</v>
      </c>
      <c r="E40" s="17">
        <v>5392</v>
      </c>
      <c r="F40" s="18">
        <v>4613</v>
      </c>
      <c r="G40" s="18">
        <f>G75*IS!G4</f>
        <v>6011.8599712498144</v>
      </c>
      <c r="H40" s="18">
        <f>H75*IS!H4</f>
        <v>7833.2682965063532</v>
      </c>
      <c r="I40" s="18">
        <f>I75*IS!I4</f>
        <v>10205.334636361262</v>
      </c>
      <c r="J40" s="18">
        <f>J75*IS!J4</f>
        <v>13277.206973368397</v>
      </c>
      <c r="K40" s="18">
        <f>K75*IS!K4</f>
        <v>17257.095294977094</v>
      </c>
      <c r="L40" s="18">
        <f>L75*IS!L4</f>
        <v>22414.681947187866</v>
      </c>
      <c r="N40" s="18"/>
    </row>
    <row r="41" spans="1:14" s="11" customFormat="1" x14ac:dyDescent="0.25">
      <c r="A41" s="9" t="s">
        <v>85</v>
      </c>
      <c r="B41" s="73">
        <v>252216</v>
      </c>
      <c r="C41" s="10">
        <v>302144</v>
      </c>
      <c r="D41" s="10">
        <v>404768</v>
      </c>
      <c r="E41" s="10">
        <v>640361</v>
      </c>
      <c r="F41" s="12">
        <v>1583403</v>
      </c>
      <c r="G41" s="12">
        <f>SUM(G33:G40)</f>
        <v>1851187.3176103507</v>
      </c>
      <c r="H41" s="12">
        <f t="shared" ref="H41:L41" si="7">SUM(H33:H40)</f>
        <v>2247523.8249691343</v>
      </c>
      <c r="I41" s="12">
        <f t="shared" si="7"/>
        <v>2769107.9412357924</v>
      </c>
      <c r="J41" s="12">
        <f t="shared" si="7"/>
        <v>3470723.988516211</v>
      </c>
      <c r="K41" s="12">
        <f t="shared" si="7"/>
        <v>4388594.0957607767</v>
      </c>
      <c r="L41" s="12">
        <f t="shared" si="7"/>
        <v>4947906.4767620107</v>
      </c>
      <c r="N41" s="233">
        <f>(F41/B41)^(1/5)-1</f>
        <v>0.44398860451912303</v>
      </c>
    </row>
    <row r="42" spans="1:14" s="11" customFormat="1" x14ac:dyDescent="0.25">
      <c r="A42" s="9"/>
      <c r="B42" s="63" t="s">
        <v>47</v>
      </c>
      <c r="C42" s="10">
        <v>0</v>
      </c>
      <c r="D42" s="10"/>
      <c r="E42" s="10"/>
      <c r="F42" s="12"/>
      <c r="G42" s="12"/>
      <c r="H42" s="12"/>
      <c r="I42" s="12"/>
      <c r="J42" s="12"/>
      <c r="K42" s="12"/>
      <c r="L42" s="12"/>
      <c r="N42" s="233">
        <f>(L41/H41)^(1/5)-1</f>
        <v>0.17096370942036954</v>
      </c>
    </row>
    <row r="43" spans="1:14" s="11" customFormat="1" x14ac:dyDescent="0.25">
      <c r="A43" s="9" t="s">
        <v>144</v>
      </c>
      <c r="B43" s="63"/>
      <c r="C43" s="10"/>
      <c r="D43" s="10"/>
      <c r="E43" s="10"/>
      <c r="F43" s="12"/>
      <c r="G43" s="12"/>
      <c r="H43" s="12"/>
      <c r="I43" s="12"/>
      <c r="J43" s="12"/>
      <c r="K43" s="12"/>
      <c r="L43" s="12"/>
      <c r="N43" s="12"/>
    </row>
    <row r="44" spans="1:14" s="11" customFormat="1" x14ac:dyDescent="0.25">
      <c r="A44" s="32" t="s">
        <v>145</v>
      </c>
      <c r="B44" s="61">
        <v>453400</v>
      </c>
      <c r="C44" s="10">
        <v>528272</v>
      </c>
      <c r="D44" s="10">
        <v>962159</v>
      </c>
      <c r="E44" s="10">
        <v>1095229</v>
      </c>
      <c r="F44" s="12">
        <v>1174594</v>
      </c>
      <c r="G44" s="12">
        <f>F44</f>
        <v>1174594</v>
      </c>
      <c r="H44" s="12">
        <f t="shared" ref="H44:K44" si="8">G44</f>
        <v>1174594</v>
      </c>
      <c r="I44" s="12">
        <f t="shared" si="8"/>
        <v>1174594</v>
      </c>
      <c r="J44" s="12">
        <f t="shared" si="8"/>
        <v>1174594</v>
      </c>
      <c r="K44" s="12">
        <f t="shared" si="8"/>
        <v>1174594</v>
      </c>
      <c r="L44" s="12">
        <f>K44+690000</f>
        <v>1864594</v>
      </c>
      <c r="N44" s="12" t="s">
        <v>337</v>
      </c>
    </row>
    <row r="45" spans="1:14" s="11" customFormat="1" x14ac:dyDescent="0.25">
      <c r="A45" s="32" t="s">
        <v>146</v>
      </c>
      <c r="B45" s="10">
        <v>-155947</v>
      </c>
      <c r="C45" s="10">
        <v>-155947</v>
      </c>
      <c r="D45" s="10">
        <v>-155947</v>
      </c>
      <c r="E45" s="10">
        <v>-155947</v>
      </c>
      <c r="F45" s="10">
        <v>-155947</v>
      </c>
      <c r="G45" s="10">
        <f>F45</f>
        <v>-155947</v>
      </c>
      <c r="H45" s="10">
        <f t="shared" ref="H45:L45" si="9">G45</f>
        <v>-155947</v>
      </c>
      <c r="I45" s="10">
        <f t="shared" si="9"/>
        <v>-155947</v>
      </c>
      <c r="J45" s="10">
        <f t="shared" si="9"/>
        <v>-155947</v>
      </c>
      <c r="K45" s="10">
        <f t="shared" si="9"/>
        <v>-155947</v>
      </c>
      <c r="L45" s="10">
        <f t="shared" si="9"/>
        <v>-155947</v>
      </c>
      <c r="N45" s="10" t="s">
        <v>203</v>
      </c>
    </row>
    <row r="46" spans="1:14" s="11" customFormat="1" x14ac:dyDescent="0.25">
      <c r="A46" s="43" t="s">
        <v>147</v>
      </c>
      <c r="B46" s="61">
        <v>171383</v>
      </c>
      <c r="C46" s="10">
        <v>172265</v>
      </c>
      <c r="D46" s="10">
        <v>169901</v>
      </c>
      <c r="E46" s="10">
        <v>109883</v>
      </c>
      <c r="F46" s="12">
        <v>257022</v>
      </c>
      <c r="G46" s="12">
        <f>Schedules!G16</f>
        <v>488780.31586107996</v>
      </c>
      <c r="H46" s="12">
        <f>Schedules!H16</f>
        <v>782889.57679770305</v>
      </c>
      <c r="I46" s="12">
        <f>Schedules!I16</f>
        <v>1208516.473120569</v>
      </c>
      <c r="J46" s="12">
        <f>Schedules!J16</f>
        <v>1764150.5683813705</v>
      </c>
      <c r="K46" s="12">
        <f>Schedules!K16</f>
        <v>2536790.8178350339</v>
      </c>
      <c r="L46" s="12">
        <f>Schedules!L16</f>
        <v>3514012.5874263225</v>
      </c>
      <c r="N46" s="12"/>
    </row>
    <row r="47" spans="1:14" s="11" customFormat="1" x14ac:dyDescent="0.25">
      <c r="A47" s="32" t="s">
        <v>148</v>
      </c>
      <c r="B47" s="10">
        <v>-1513</v>
      </c>
      <c r="C47" s="10">
        <v>-1096</v>
      </c>
      <c r="D47" s="10">
        <v>141</v>
      </c>
      <c r="E47" s="10">
        <v>-1317</v>
      </c>
      <c r="F47" s="12">
        <v>-7179</v>
      </c>
      <c r="G47" s="12">
        <f>F47</f>
        <v>-7179</v>
      </c>
      <c r="H47" s="12">
        <f t="shared" ref="H47:L47" si="10">G47</f>
        <v>-7179</v>
      </c>
      <c r="I47" s="12">
        <f t="shared" si="10"/>
        <v>-7179</v>
      </c>
      <c r="J47" s="12">
        <f t="shared" si="10"/>
        <v>-7179</v>
      </c>
      <c r="K47" s="12">
        <f t="shared" si="10"/>
        <v>-7179</v>
      </c>
      <c r="L47" s="12">
        <f t="shared" si="10"/>
        <v>-7179</v>
      </c>
      <c r="N47" s="12" t="s">
        <v>204</v>
      </c>
    </row>
    <row r="48" spans="1:14" s="11" customFormat="1" x14ac:dyDescent="0.25">
      <c r="A48" s="16" t="s">
        <v>86</v>
      </c>
      <c r="B48" s="62">
        <v>467324</v>
      </c>
      <c r="C48" s="17">
        <v>543495</v>
      </c>
      <c r="D48" s="17">
        <v>976255</v>
      </c>
      <c r="E48" s="17">
        <v>1047849</v>
      </c>
      <c r="F48" s="18">
        <v>1268491</v>
      </c>
      <c r="G48" s="18">
        <f>SUM(G44:G47)</f>
        <v>1500248.3158610798</v>
      </c>
      <c r="H48" s="18">
        <f t="shared" ref="H48:L48" si="11">SUM(H44:H47)</f>
        <v>1794357.576797703</v>
      </c>
      <c r="I48" s="18">
        <f t="shared" si="11"/>
        <v>2219984.4731205693</v>
      </c>
      <c r="J48" s="18">
        <f t="shared" si="11"/>
        <v>2775618.5683813705</v>
      </c>
      <c r="K48" s="18">
        <f t="shared" si="11"/>
        <v>3548258.8178350339</v>
      </c>
      <c r="L48" s="18">
        <f t="shared" si="11"/>
        <v>5215480.5874263225</v>
      </c>
      <c r="N48" s="18"/>
    </row>
    <row r="49" spans="1:67" s="11" customFormat="1" x14ac:dyDescent="0.25">
      <c r="A49" s="9" t="s">
        <v>87</v>
      </c>
      <c r="B49" s="61">
        <v>719540</v>
      </c>
      <c r="C49" s="10">
        <v>845639</v>
      </c>
      <c r="D49" s="10">
        <v>1381023</v>
      </c>
      <c r="E49" s="10">
        <v>1688210</v>
      </c>
      <c r="F49" s="12">
        <v>2851894</v>
      </c>
      <c r="G49" s="12">
        <f>G41+G48</f>
        <v>3351435.6334714303</v>
      </c>
      <c r="H49" s="12">
        <f t="shared" ref="H49:L49" si="12">H41+H48</f>
        <v>4041881.4017668376</v>
      </c>
      <c r="I49" s="12">
        <f t="shared" si="12"/>
        <v>4989092.4143563621</v>
      </c>
      <c r="J49" s="12">
        <f t="shared" si="12"/>
        <v>6246342.5568975816</v>
      </c>
      <c r="K49" s="12">
        <f t="shared" si="12"/>
        <v>7936852.9135958105</v>
      </c>
      <c r="L49" s="12">
        <f t="shared" si="12"/>
        <v>10163387.064188333</v>
      </c>
      <c r="N49" s="12"/>
    </row>
    <row r="51" spans="1:67" x14ac:dyDescent="0.25">
      <c r="F51" s="92"/>
      <c r="G51" s="92"/>
      <c r="H51" s="92"/>
      <c r="I51" s="92"/>
      <c r="J51" s="92"/>
      <c r="K51" s="92"/>
      <c r="L51" s="92"/>
      <c r="N51" s="92"/>
    </row>
    <row r="52" spans="1:67" s="6" customFormat="1" ht="48.6" customHeight="1" x14ac:dyDescent="0.25">
      <c r="A52" s="5" t="s">
        <v>166</v>
      </c>
      <c r="M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</row>
    <row r="53" spans="1:67" x14ac:dyDescent="0.25">
      <c r="A53" s="9" t="s">
        <v>51</v>
      </c>
      <c r="F53" s="92"/>
      <c r="G53" s="92"/>
      <c r="H53" s="92"/>
      <c r="I53" s="92"/>
      <c r="J53" s="92"/>
      <c r="K53" s="92"/>
      <c r="L53" s="92"/>
      <c r="N53" s="92"/>
    </row>
    <row r="54" spans="1:67" x14ac:dyDescent="0.25">
      <c r="A54" s="9" t="s">
        <v>53</v>
      </c>
      <c r="B54" s="90"/>
      <c r="C54" s="90">
        <f>C8/IS!C$4</f>
        <v>0.33631089176053952</v>
      </c>
      <c r="D54" s="90">
        <f>D8/IS!D$4</f>
        <v>0.59695038054164229</v>
      </c>
      <c r="E54" s="90">
        <f>E8/IS!E$4</f>
        <v>1.6806021906898578E-2</v>
      </c>
      <c r="F54" s="90">
        <f>F8/IS!F$4</f>
        <v>0.48890821767575537</v>
      </c>
      <c r="G54" s="90">
        <v>0.3</v>
      </c>
      <c r="H54" s="90">
        <f>G54-5%</f>
        <v>0.25</v>
      </c>
      <c r="I54" s="90">
        <f t="shared" ref="I54" si="13">H54-5%</f>
        <v>0.2</v>
      </c>
      <c r="J54" s="90">
        <v>0.2</v>
      </c>
      <c r="K54" s="90">
        <v>0.15</v>
      </c>
      <c r="L54" s="90">
        <v>0.12</v>
      </c>
      <c r="N54" s="92" t="s">
        <v>300</v>
      </c>
    </row>
    <row r="55" spans="1:67" x14ac:dyDescent="0.25">
      <c r="A55" s="9" t="s">
        <v>54</v>
      </c>
      <c r="B55" s="90"/>
      <c r="C55" s="90">
        <f>C9/IS!C4</f>
        <v>0</v>
      </c>
      <c r="D55" s="90">
        <f>D9/IS!D4</f>
        <v>0</v>
      </c>
      <c r="E55" s="90">
        <f>E9/IS!E4</f>
        <v>8.3601561767053009E-2</v>
      </c>
      <c r="F55" s="90">
        <f>F9/IS!F4</f>
        <v>3.2976591158340583E-2</v>
      </c>
      <c r="G55" s="90">
        <v>3.3000000000000002E-2</v>
      </c>
      <c r="H55" s="90">
        <f>G55</f>
        <v>3.3000000000000002E-2</v>
      </c>
      <c r="I55" s="90">
        <f t="shared" ref="I55:L55" si="14">H55</f>
        <v>3.3000000000000002E-2</v>
      </c>
      <c r="J55" s="90">
        <f t="shared" si="14"/>
        <v>3.3000000000000002E-2</v>
      </c>
      <c r="K55" s="90">
        <f t="shared" si="14"/>
        <v>3.3000000000000002E-2</v>
      </c>
      <c r="L55" s="90">
        <f t="shared" si="14"/>
        <v>3.3000000000000002E-2</v>
      </c>
      <c r="N55" s="92" t="s">
        <v>195</v>
      </c>
    </row>
    <row r="56" spans="1:67" x14ac:dyDescent="0.25">
      <c r="A56" s="9" t="s">
        <v>55</v>
      </c>
      <c r="B56" s="90">
        <f>B10/IS!B4</f>
        <v>0.31085205252482934</v>
      </c>
      <c r="C56" s="90">
        <f>C10/IS!C4</f>
        <v>0.27667935048788755</v>
      </c>
      <c r="D56" s="90">
        <f>D10/IS!D4</f>
        <v>0.33656386242057673</v>
      </c>
      <c r="E56" s="90">
        <f>E10/IS!E4</f>
        <v>0.37158450324943448</v>
      </c>
      <c r="F56" s="90">
        <f>F10/IS!F4</f>
        <v>0.30101644207456713</v>
      </c>
      <c r="G56" s="90">
        <v>0.26100000000000001</v>
      </c>
      <c r="H56" s="90">
        <f>G56-1%</f>
        <v>0.251</v>
      </c>
      <c r="I56" s="90">
        <f t="shared" ref="I56:L56" si="15">H56-1%</f>
        <v>0.24099999999999999</v>
      </c>
      <c r="J56" s="90">
        <f t="shared" si="15"/>
        <v>0.23099999999999998</v>
      </c>
      <c r="K56" s="90">
        <f t="shared" si="15"/>
        <v>0.22099999999999997</v>
      </c>
      <c r="L56" s="90">
        <f t="shared" si="15"/>
        <v>0.21099999999999997</v>
      </c>
      <c r="N56" s="92" t="s">
        <v>300</v>
      </c>
    </row>
    <row r="57" spans="1:67" x14ac:dyDescent="0.25">
      <c r="A57" s="9" t="s">
        <v>56</v>
      </c>
      <c r="B57" s="90">
        <f>B11/IS!B4</f>
        <v>3.3232714703333749E-2</v>
      </c>
      <c r="C57" s="90">
        <f>C11/IS!C4</f>
        <v>7.1774102399879441E-2</v>
      </c>
      <c r="D57" s="90">
        <f>D11/IS!D4</f>
        <v>9.3898264765353456E-2</v>
      </c>
      <c r="E57" s="90">
        <f>E11/IS!E4</f>
        <v>0.20897031553856293</v>
      </c>
      <c r="F57" s="90">
        <f>F11/IS!F4</f>
        <v>0.16547290398215028</v>
      </c>
      <c r="G57" s="90">
        <v>0.15</v>
      </c>
      <c r="H57" s="90">
        <f>G57-1%</f>
        <v>0.13999999999999999</v>
      </c>
      <c r="I57" s="90">
        <f t="shared" ref="I57:L57" si="16">H57-1%</f>
        <v>0.12999999999999998</v>
      </c>
      <c r="J57" s="90">
        <f t="shared" si="16"/>
        <v>0.11999999999999998</v>
      </c>
      <c r="K57" s="90">
        <f t="shared" si="16"/>
        <v>0.10999999999999999</v>
      </c>
      <c r="L57" s="90">
        <f t="shared" si="16"/>
        <v>9.9999999999999992E-2</v>
      </c>
      <c r="N57" s="92" t="s">
        <v>301</v>
      </c>
    </row>
    <row r="58" spans="1:67" x14ac:dyDescent="0.25">
      <c r="A58" s="9" t="s">
        <v>57</v>
      </c>
      <c r="B58" s="90">
        <f>B12/IS!B5</f>
        <v>0.20907824256122859</v>
      </c>
      <c r="C58" s="90">
        <f>C12/IS!C5</f>
        <v>0.17374560548185389</v>
      </c>
      <c r="D58" s="90">
        <f>D12/IS!D5</f>
        <v>0.33988483859267321</v>
      </c>
      <c r="E58" s="90">
        <f>E12/IS!E5</f>
        <v>0.33704736239847927</v>
      </c>
      <c r="F58" s="90">
        <f>F12/IS!F5</f>
        <v>0.43891679330236266</v>
      </c>
      <c r="G58" s="90">
        <v>0.45</v>
      </c>
      <c r="H58" s="90">
        <f>G58-2%</f>
        <v>0.43</v>
      </c>
      <c r="I58" s="90">
        <f>H58-2%</f>
        <v>0.41</v>
      </c>
      <c r="J58" s="90">
        <v>0.35</v>
      </c>
      <c r="K58" s="90">
        <v>0.3</v>
      </c>
      <c r="L58" s="90">
        <v>0.25</v>
      </c>
      <c r="N58" s="92" t="s">
        <v>302</v>
      </c>
    </row>
    <row r="59" spans="1:67" x14ac:dyDescent="0.25">
      <c r="A59" s="16" t="s">
        <v>58</v>
      </c>
      <c r="B59" s="90">
        <f>B13/IS!B10</f>
        <v>0.13001942312464171</v>
      </c>
      <c r="C59" s="90">
        <f>C13/IS!C10</f>
        <v>0.11115149196633511</v>
      </c>
      <c r="D59" s="90">
        <f>D13/IS!D10</f>
        <v>8.5678578148629086E-2</v>
      </c>
      <c r="E59" s="90">
        <f>E13/IS!E10</f>
        <v>7.9742409732692268E-2</v>
      </c>
      <c r="F59" s="90">
        <f>F13/IS!F10</f>
        <v>0.11492559629201193</v>
      </c>
      <c r="G59" s="90">
        <f>AVERAGE(C59:F59)</f>
        <v>9.7874519034917104E-2</v>
      </c>
      <c r="H59" s="90">
        <f>G59</f>
        <v>9.7874519034917104E-2</v>
      </c>
      <c r="I59" s="90">
        <f t="shared" ref="I59:L59" si="17">H59</f>
        <v>9.7874519034917104E-2</v>
      </c>
      <c r="J59" s="90">
        <f t="shared" si="17"/>
        <v>9.7874519034917104E-2</v>
      </c>
      <c r="K59" s="90">
        <f t="shared" si="17"/>
        <v>9.7874519034917104E-2</v>
      </c>
      <c r="L59" s="90">
        <f t="shared" si="17"/>
        <v>9.7874519034917104E-2</v>
      </c>
      <c r="N59" s="92" t="s">
        <v>194</v>
      </c>
    </row>
    <row r="60" spans="1:67" x14ac:dyDescent="0.25">
      <c r="A60" s="9" t="s">
        <v>64</v>
      </c>
      <c r="B60" s="90">
        <f>B19/IS!B4</f>
        <v>0</v>
      </c>
      <c r="C60" s="90">
        <f>C19/IS!C4</f>
        <v>8.5708096296575373E-2</v>
      </c>
      <c r="D60" s="90">
        <f>D19/IS!D4</f>
        <v>0.13315800370923475</v>
      </c>
      <c r="E60" s="90">
        <f>E19/IS!E4</f>
        <v>3.6174064520761981E-2</v>
      </c>
      <c r="F60" s="90">
        <f>F19/IS!F4</f>
        <v>0.13127355695899356</v>
      </c>
      <c r="G60" s="90">
        <f>AVERAGE(C60:F60)</f>
        <v>9.6578430371391424E-2</v>
      </c>
      <c r="H60" s="90">
        <f t="shared" ref="H60:L60" si="18">G60</f>
        <v>9.6578430371391424E-2</v>
      </c>
      <c r="I60" s="90">
        <f t="shared" si="18"/>
        <v>9.6578430371391424E-2</v>
      </c>
      <c r="J60" s="90">
        <f t="shared" si="18"/>
        <v>9.6578430371391424E-2</v>
      </c>
      <c r="K60" s="90">
        <f t="shared" si="18"/>
        <v>9.6578430371391424E-2</v>
      </c>
      <c r="L60" s="90">
        <f t="shared" si="18"/>
        <v>9.6578430371391424E-2</v>
      </c>
      <c r="N60" s="92" t="s">
        <v>194</v>
      </c>
    </row>
    <row r="61" spans="1:67" x14ac:dyDescent="0.25">
      <c r="A61" s="9" t="s">
        <v>65</v>
      </c>
      <c r="B61" s="90">
        <f>B20/IS!B4</f>
        <v>9.5770208632888015E-2</v>
      </c>
      <c r="C61" s="90">
        <f>C20/IS!C4</f>
        <v>5.9522284594808426E-2</v>
      </c>
      <c r="D61" s="90">
        <f>D20/IS!D4</f>
        <v>3.2976359869192944E-2</v>
      </c>
      <c r="E61" s="90">
        <f>E20/IS!E4</f>
        <v>1.3037118027846338E-2</v>
      </c>
      <c r="F61" s="90">
        <f>F20/IS!F4</f>
        <v>4.3783904162832425E-3</v>
      </c>
      <c r="G61" s="90">
        <f>F61</f>
        <v>4.3783904162832425E-3</v>
      </c>
      <c r="H61" s="90">
        <f t="shared" ref="H61:L62" si="19">G61</f>
        <v>4.3783904162832425E-3</v>
      </c>
      <c r="I61" s="90">
        <f t="shared" si="19"/>
        <v>4.3783904162832425E-3</v>
      </c>
      <c r="J61" s="90">
        <f t="shared" si="19"/>
        <v>4.3783904162832425E-3</v>
      </c>
      <c r="K61" s="90">
        <f t="shared" si="19"/>
        <v>4.3783904162832425E-3</v>
      </c>
      <c r="L61" s="90">
        <f t="shared" si="19"/>
        <v>4.3783904162832425E-3</v>
      </c>
      <c r="N61" s="92" t="s">
        <v>195</v>
      </c>
    </row>
    <row r="62" spans="1:67" x14ac:dyDescent="0.25">
      <c r="A62" s="9" t="s">
        <v>66</v>
      </c>
      <c r="B62" s="90">
        <f>B21/IS!B4</f>
        <v>0</v>
      </c>
      <c r="C62" s="90">
        <f>C21/IS!C4</f>
        <v>1.8166748295219078E-2</v>
      </c>
      <c r="D62" s="90">
        <f>D21/IS!D4</f>
        <v>2.9513820056592997E-2</v>
      </c>
      <c r="E62" s="90">
        <f>E21/IS!E4</f>
        <v>3.446103168821181E-2</v>
      </c>
      <c r="F62" s="90">
        <f>F21/IS!F4</f>
        <v>3.796005664174934E-2</v>
      </c>
      <c r="G62" s="90">
        <f>AVERAGE(C62:F62)</f>
        <v>3.0025414170443306E-2</v>
      </c>
      <c r="H62" s="90">
        <f>G62</f>
        <v>3.0025414170443306E-2</v>
      </c>
      <c r="I62" s="90">
        <f t="shared" si="19"/>
        <v>3.0025414170443306E-2</v>
      </c>
      <c r="J62" s="90">
        <f t="shared" si="19"/>
        <v>3.0025414170443306E-2</v>
      </c>
      <c r="K62" s="90">
        <f t="shared" si="19"/>
        <v>3.0025414170443306E-2</v>
      </c>
      <c r="L62" s="90">
        <f t="shared" si="19"/>
        <v>3.0025414170443306E-2</v>
      </c>
      <c r="N62" s="92" t="s">
        <v>194</v>
      </c>
    </row>
    <row r="63" spans="1:67" x14ac:dyDescent="0.25">
      <c r="A63" s="72" t="s">
        <v>68</v>
      </c>
      <c r="B63" s="90">
        <f>B23/IS!B4</f>
        <v>5.4750659417046765E-2</v>
      </c>
      <c r="C63" s="90">
        <f>C23/IS!C4</f>
        <v>7.5690389179821418E-2</v>
      </c>
      <c r="D63" s="90">
        <f>D23/IS!D4</f>
        <v>0.11735190593874036</v>
      </c>
      <c r="E63" s="90">
        <f>E23/IS!E4</f>
        <v>0.11379333110179631</v>
      </c>
      <c r="F63" s="90">
        <f>F23/IS!F4</f>
        <v>0.13413841932542533</v>
      </c>
      <c r="G63" s="90">
        <f>AVERAGE(B63:F63)</f>
        <v>9.914494099256603E-2</v>
      </c>
      <c r="H63" s="90">
        <f>G63</f>
        <v>9.914494099256603E-2</v>
      </c>
      <c r="I63" s="90">
        <f t="shared" ref="I63:L63" si="20">H63</f>
        <v>9.914494099256603E-2</v>
      </c>
      <c r="J63" s="90">
        <f t="shared" si="20"/>
        <v>9.914494099256603E-2</v>
      </c>
      <c r="K63" s="90">
        <f t="shared" si="20"/>
        <v>9.914494099256603E-2</v>
      </c>
      <c r="L63" s="90">
        <f t="shared" si="20"/>
        <v>9.914494099256603E-2</v>
      </c>
      <c r="N63" s="92" t="s">
        <v>194</v>
      </c>
    </row>
    <row r="64" spans="1:67" x14ac:dyDescent="0.25">
      <c r="A64" s="25"/>
      <c r="F64" s="92"/>
      <c r="G64" s="92"/>
      <c r="H64" s="92"/>
      <c r="I64" s="92"/>
      <c r="J64" s="92"/>
      <c r="K64" s="92"/>
      <c r="L64" s="92"/>
      <c r="N64" s="92"/>
    </row>
    <row r="65" spans="1:67" x14ac:dyDescent="0.25">
      <c r="A65" s="9" t="s">
        <v>71</v>
      </c>
      <c r="F65" s="92"/>
      <c r="G65" s="92"/>
      <c r="H65" s="92"/>
      <c r="I65" s="92"/>
      <c r="J65" s="92"/>
      <c r="K65" s="92"/>
      <c r="L65" s="92"/>
      <c r="N65" s="92"/>
    </row>
    <row r="66" spans="1:67" x14ac:dyDescent="0.25">
      <c r="A66" s="9" t="s">
        <v>72</v>
      </c>
      <c r="B66" s="90">
        <f>B28/IS!B5</f>
        <v>9.3903458525559647E-2</v>
      </c>
      <c r="C66" s="90">
        <f>C28/IS!C5</f>
        <v>0.1157290203690948</v>
      </c>
      <c r="D66" s="90">
        <f>D28/IS!D5</f>
        <v>9.1214786603796394E-2</v>
      </c>
      <c r="E66" s="90">
        <f>E28/IS!E5</f>
        <v>9.9915961435291856E-2</v>
      </c>
      <c r="F66" s="90">
        <f>F28/IS!F5</f>
        <v>0.12989028760213051</v>
      </c>
      <c r="G66" s="90">
        <f>F66</f>
        <v>0.12989028760213051</v>
      </c>
      <c r="H66" s="90">
        <f>G66+1%</f>
        <v>0.13989028760213051</v>
      </c>
      <c r="I66" s="90">
        <f t="shared" ref="I66:L66" si="21">H66+1%</f>
        <v>0.14989028760213052</v>
      </c>
      <c r="J66" s="90">
        <f t="shared" si="21"/>
        <v>0.15989028760213053</v>
      </c>
      <c r="K66" s="90">
        <f t="shared" si="21"/>
        <v>0.16989028760213054</v>
      </c>
      <c r="L66" s="90">
        <f t="shared" si="21"/>
        <v>0.17989028760213055</v>
      </c>
      <c r="N66" s="92" t="s">
        <v>304</v>
      </c>
    </row>
    <row r="67" spans="1:67" x14ac:dyDescent="0.25">
      <c r="A67" s="9" t="s">
        <v>73</v>
      </c>
      <c r="B67" s="90">
        <f>B29/IS!B5</f>
        <v>0.25446326284175003</v>
      </c>
      <c r="C67" s="90">
        <f>C29/IS!C5</f>
        <v>0.20128011307218191</v>
      </c>
      <c r="D67" s="90">
        <f>D29/IS!D5</f>
        <v>0.22610249667512997</v>
      </c>
      <c r="E67" s="90">
        <f>E29/IS!E5</f>
        <v>0.32160101218404136</v>
      </c>
      <c r="F67" s="90">
        <f>F29/IS!F5</f>
        <v>0.33803384804150038</v>
      </c>
      <c r="G67" s="90">
        <f>F67+2%</f>
        <v>0.3580338480415004</v>
      </c>
      <c r="H67" s="90">
        <f t="shared" ref="H67:L67" si="22">G67+2%</f>
        <v>0.37803384804150042</v>
      </c>
      <c r="I67" s="90">
        <f t="shared" si="22"/>
        <v>0.39803384804150044</v>
      </c>
      <c r="J67" s="90">
        <f t="shared" si="22"/>
        <v>0.41803384804150046</v>
      </c>
      <c r="K67" s="90">
        <f t="shared" si="22"/>
        <v>0.43803384804150047</v>
      </c>
      <c r="L67" s="90">
        <f t="shared" si="22"/>
        <v>0.45803384804150049</v>
      </c>
      <c r="N67" s="92" t="s">
        <v>197</v>
      </c>
    </row>
    <row r="68" spans="1:67" x14ac:dyDescent="0.25">
      <c r="A68" s="9" t="s">
        <v>74</v>
      </c>
      <c r="B68" s="90">
        <f>B30/IS!B4</f>
        <v>0.25475875334469655</v>
      </c>
      <c r="C68" s="90">
        <f>C30/IS!C4</f>
        <v>0.22202463926458954</v>
      </c>
      <c r="D68" s="90">
        <f>D30/IS!D4</f>
        <v>0.24076105391606203</v>
      </c>
      <c r="E68" s="90">
        <f>E30/IS!E4</f>
        <v>0.30761737865438316</v>
      </c>
      <c r="F68" s="90">
        <f>F30/IS!F4</f>
        <v>0.30256862769815157</v>
      </c>
      <c r="G68" s="90">
        <f>F68</f>
        <v>0.30256862769815157</v>
      </c>
      <c r="H68" s="90">
        <f>G68+0.5%</f>
        <v>0.30756862769815158</v>
      </c>
      <c r="I68" s="90">
        <f t="shared" ref="I68:L68" si="23">H68+0.5%</f>
        <v>0.31256862769815158</v>
      </c>
      <c r="J68" s="90">
        <f t="shared" si="23"/>
        <v>0.31756862769815158</v>
      </c>
      <c r="K68" s="90">
        <f t="shared" si="23"/>
        <v>0.32256862769815159</v>
      </c>
      <c r="L68" s="90">
        <f t="shared" si="23"/>
        <v>0.32756862769815159</v>
      </c>
      <c r="N68" s="92" t="s">
        <v>305</v>
      </c>
    </row>
    <row r="69" spans="1:67" x14ac:dyDescent="0.25">
      <c r="A69" s="9" t="s">
        <v>75</v>
      </c>
      <c r="B69" s="90">
        <f>B31/IS!B4</f>
        <v>6.432291914642391E-3</v>
      </c>
      <c r="C69" s="90">
        <f>C31/IS!C4</f>
        <v>5.6022303432166675E-3</v>
      </c>
      <c r="D69" s="90">
        <f>D31/IS!D4</f>
        <v>4.3406563554051888E-3</v>
      </c>
      <c r="E69" s="90">
        <f>E31/IS!E4</f>
        <v>1.2118635920873868E-2</v>
      </c>
      <c r="F69" s="90">
        <f>F31/IS!F4</f>
        <v>1.7142953186518591E-2</v>
      </c>
      <c r="G69" s="90">
        <v>1.9E-2</v>
      </c>
      <c r="H69" s="90">
        <f>G69+0.2%</f>
        <v>2.0999999999999998E-2</v>
      </c>
      <c r="I69" s="90">
        <f t="shared" ref="I69:L69" si="24">H69+0.2%</f>
        <v>2.3E-2</v>
      </c>
      <c r="J69" s="90">
        <f t="shared" si="24"/>
        <v>2.5000000000000001E-2</v>
      </c>
      <c r="K69" s="90">
        <f t="shared" si="24"/>
        <v>2.7000000000000003E-2</v>
      </c>
      <c r="L69" s="90">
        <f t="shared" si="24"/>
        <v>2.9000000000000005E-2</v>
      </c>
      <c r="N69" s="92" t="s">
        <v>197</v>
      </c>
    </row>
    <row r="70" spans="1:67" x14ac:dyDescent="0.25">
      <c r="A70" s="16" t="s">
        <v>76</v>
      </c>
      <c r="B70" s="90">
        <f>B32/IS!B10</f>
        <v>1.5829418760855986E-4</v>
      </c>
      <c r="C70" s="90">
        <f>C32/IS!C10</f>
        <v>1.2283218566692171E-2</v>
      </c>
      <c r="D70" s="90">
        <f>D32/IS!D10</f>
        <v>1.2616120107507648E-2</v>
      </c>
      <c r="E70" s="90">
        <f>E32/IS!E10</f>
        <v>9.2238302025434635E-3</v>
      </c>
      <c r="F70" s="90">
        <f>F32/IS!F10</f>
        <v>1.0006531473043902E-2</v>
      </c>
      <c r="G70" s="90">
        <f>AVERAGE(B70:F70)</f>
        <v>8.8575989074791486E-3</v>
      </c>
      <c r="H70" s="90">
        <f>G70</f>
        <v>8.8575989074791486E-3</v>
      </c>
      <c r="I70" s="90">
        <f t="shared" ref="I70:L70" si="25">H70</f>
        <v>8.8575989074791486E-3</v>
      </c>
      <c r="J70" s="90">
        <f t="shared" si="25"/>
        <v>8.8575989074791486E-3</v>
      </c>
      <c r="K70" s="90">
        <f t="shared" si="25"/>
        <v>8.8575989074791486E-3</v>
      </c>
      <c r="L70" s="90">
        <f t="shared" si="25"/>
        <v>8.8575989074791486E-3</v>
      </c>
      <c r="N70" s="92" t="s">
        <v>196</v>
      </c>
    </row>
    <row r="71" spans="1:67" x14ac:dyDescent="0.25">
      <c r="A71" s="9" t="s">
        <v>78</v>
      </c>
      <c r="B71" s="90">
        <f>B34/IS!B4</f>
        <v>0.1771546511517183</v>
      </c>
      <c r="C71" s="90">
        <f>C34/IS!C4</f>
        <v>0.16564819349734394</v>
      </c>
      <c r="D71" s="90">
        <f>D34/IS!D4</f>
        <v>0.1633208664279012</v>
      </c>
      <c r="E71" s="90">
        <f>E34/IS!E4</f>
        <v>0.21510897274783669</v>
      </c>
      <c r="F71" s="90">
        <f>F34/IS!F4</f>
        <v>0.20841726648934605</v>
      </c>
      <c r="G71" s="90">
        <f>F71</f>
        <v>0.20841726648934605</v>
      </c>
      <c r="H71" s="90">
        <f>G71+0.5%</f>
        <v>0.21341726648934606</v>
      </c>
      <c r="I71" s="90">
        <f t="shared" ref="I71:L71" si="26">H71+0.5%</f>
        <v>0.21841726648934606</v>
      </c>
      <c r="J71" s="90">
        <f t="shared" si="26"/>
        <v>0.22341726648934607</v>
      </c>
      <c r="K71" s="90">
        <f t="shared" si="26"/>
        <v>0.22841726648934607</v>
      </c>
      <c r="L71" s="90">
        <f t="shared" si="26"/>
        <v>0.23341726648934608</v>
      </c>
      <c r="N71" s="92" t="s">
        <v>195</v>
      </c>
    </row>
    <row r="72" spans="1:67" x14ac:dyDescent="0.25">
      <c r="A72" s="9" t="s">
        <v>80</v>
      </c>
      <c r="B72" s="90">
        <f>B36/IS!B8</f>
        <v>2.0620068074907894E-2</v>
      </c>
      <c r="C72" s="90">
        <f>C36/IS!C8</f>
        <v>1.8482430890453091E-2</v>
      </c>
      <c r="D72" s="90">
        <f>D36/IS!D8</f>
        <v>1.5399334821631964E-2</v>
      </c>
      <c r="E72" s="90">
        <f>E36/IS!E8</f>
        <v>1.1027034583995945E-2</v>
      </c>
      <c r="F72" s="90">
        <f>F36/IS!F8</f>
        <v>1.5650874680943783E-2</v>
      </c>
      <c r="G72" s="90">
        <f>F72-0.05%</f>
        <v>1.5150874680943782E-2</v>
      </c>
      <c r="H72" s="90">
        <f t="shared" ref="H72:L72" si="27">G72-0.05%</f>
        <v>1.4650874680943782E-2</v>
      </c>
      <c r="I72" s="90">
        <f t="shared" si="27"/>
        <v>1.4150874680943781E-2</v>
      </c>
      <c r="J72" s="90">
        <f t="shared" si="27"/>
        <v>1.3650874680943781E-2</v>
      </c>
      <c r="K72" s="90">
        <f t="shared" si="27"/>
        <v>1.315087468094378E-2</v>
      </c>
      <c r="L72" s="90">
        <f t="shared" si="27"/>
        <v>1.265087468094378E-2</v>
      </c>
      <c r="N72" s="92" t="s">
        <v>198</v>
      </c>
    </row>
    <row r="73" spans="1:67" x14ac:dyDescent="0.25">
      <c r="A73" s="9" t="s">
        <v>82</v>
      </c>
      <c r="B73" s="90"/>
      <c r="C73" s="90">
        <f>C38/IS!C14</f>
        <v>0.29797979797979796</v>
      </c>
      <c r="D73" s="90">
        <f>D38/IS!D14</f>
        <v>-0.14210641559010292</v>
      </c>
      <c r="E73" s="90">
        <f>E38/IS!E14</f>
        <v>-9.9684108312745063E-3</v>
      </c>
      <c r="F73" s="90">
        <f>F38/IS!F14</f>
        <v>2.0251523927175519E-5</v>
      </c>
      <c r="G73" s="90">
        <v>2.0251523927175519E-5</v>
      </c>
      <c r="H73" s="90">
        <f t="shared" ref="H73:L73" si="28">G73</f>
        <v>2.0251523927175519E-5</v>
      </c>
      <c r="I73" s="90">
        <f t="shared" si="28"/>
        <v>2.0251523927175519E-5</v>
      </c>
      <c r="J73" s="90">
        <f t="shared" si="28"/>
        <v>2.0251523927175519E-5</v>
      </c>
      <c r="K73" s="90">
        <f t="shared" si="28"/>
        <v>2.0251523927175519E-5</v>
      </c>
      <c r="L73" s="90">
        <f t="shared" si="28"/>
        <v>2.0251523927175519E-5</v>
      </c>
      <c r="N73" s="92" t="s">
        <v>195</v>
      </c>
    </row>
    <row r="74" spans="1:67" x14ac:dyDescent="0.25">
      <c r="A74" s="77" t="s">
        <v>83</v>
      </c>
      <c r="B74" s="90">
        <f>B39/IS!B4</f>
        <v>0</v>
      </c>
      <c r="C74" s="90">
        <f>C39/IS!C4</f>
        <v>1.2794333722638737E-2</v>
      </c>
      <c r="D74" s="90">
        <f>D39/IS!D4</f>
        <v>2.7829539664289291E-2</v>
      </c>
      <c r="E74" s="90">
        <f>E39/IS!E4</f>
        <v>2.3674368558029422E-2</v>
      </c>
      <c r="F74" s="90">
        <f>F39/IS!F4</f>
        <v>3.1214310025337519E-2</v>
      </c>
      <c r="G74" s="90">
        <f>AVERAGE(D74:F74)</f>
        <v>2.7572739415885412E-2</v>
      </c>
      <c r="H74" s="90">
        <f>G74</f>
        <v>2.7572739415885412E-2</v>
      </c>
      <c r="I74" s="90">
        <f t="shared" ref="I74:L74" si="29">H74</f>
        <v>2.7572739415885412E-2</v>
      </c>
      <c r="J74" s="90">
        <f t="shared" si="29"/>
        <v>2.7572739415885412E-2</v>
      </c>
      <c r="K74" s="90">
        <f t="shared" si="29"/>
        <v>2.7572739415885412E-2</v>
      </c>
      <c r="L74" s="90">
        <f t="shared" si="29"/>
        <v>2.7572739415885412E-2</v>
      </c>
      <c r="N74" s="92" t="s">
        <v>197</v>
      </c>
    </row>
    <row r="75" spans="1:67" x14ac:dyDescent="0.25">
      <c r="A75" s="129" t="s">
        <v>84</v>
      </c>
      <c r="B75" s="90">
        <f>B40/IS!B4</f>
        <v>1.3578753916032643E-2</v>
      </c>
      <c r="C75" s="90">
        <f>C40/IS!C4</f>
        <v>7.0225671551821574E-3</v>
      </c>
      <c r="D75" s="90">
        <f>D40/IS!D4</f>
        <v>1.2303910555460108E-2</v>
      </c>
      <c r="E75" s="90">
        <f>E40/IS!E4</f>
        <v>6.2452150325290924E-3</v>
      </c>
      <c r="F75" s="90">
        <f>F40/IS!F4</f>
        <v>3.8766823397916694E-3</v>
      </c>
      <c r="G75" s="90">
        <f>F75</f>
        <v>3.8766823397916694E-3</v>
      </c>
      <c r="H75" s="90">
        <f>G75</f>
        <v>3.8766823397916694E-3</v>
      </c>
      <c r="I75" s="90">
        <f t="shared" ref="I75:L75" si="30">H75</f>
        <v>3.8766823397916694E-3</v>
      </c>
      <c r="J75" s="90">
        <f t="shared" si="30"/>
        <v>3.8766823397916694E-3</v>
      </c>
      <c r="K75" s="90">
        <f t="shared" si="30"/>
        <v>3.8766823397916694E-3</v>
      </c>
      <c r="L75" s="90">
        <f t="shared" si="30"/>
        <v>3.8766823397916694E-3</v>
      </c>
      <c r="N75" s="92" t="s">
        <v>195</v>
      </c>
    </row>
    <row r="76" spans="1:67" x14ac:dyDescent="0.25">
      <c r="F76" s="92"/>
      <c r="G76" s="92"/>
      <c r="H76" s="92"/>
      <c r="I76" s="92"/>
      <c r="J76" s="92"/>
      <c r="K76" s="92"/>
      <c r="L76" s="92"/>
      <c r="N76" s="92"/>
    </row>
    <row r="77" spans="1:67" s="6" customFormat="1" ht="48.6" customHeight="1" x14ac:dyDescent="0.25">
      <c r="A77" s="5" t="s">
        <v>140</v>
      </c>
      <c r="M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9" t="s">
        <v>50</v>
      </c>
    </row>
    <row r="79" spans="1:67" x14ac:dyDescent="0.25">
      <c r="A79" s="9" t="s">
        <v>51</v>
      </c>
    </row>
    <row r="80" spans="1:67" x14ac:dyDescent="0.25">
      <c r="A80" s="9" t="s">
        <v>52</v>
      </c>
      <c r="B80" s="90">
        <f>B7/B$24</f>
        <v>0.48567418072657531</v>
      </c>
      <c r="C80" s="90">
        <f t="shared" ref="C80:F80" si="31">C7/C$24</f>
        <v>0.20369211921399083</v>
      </c>
      <c r="D80" s="90">
        <f t="shared" si="31"/>
        <v>0.11255424420882201</v>
      </c>
      <c r="E80" s="90">
        <f t="shared" si="31"/>
        <v>0.21107089757790795</v>
      </c>
      <c r="F80" s="90">
        <f t="shared" si="31"/>
        <v>0.12401723205701194</v>
      </c>
      <c r="G80" s="90">
        <f t="shared" ref="G80:L80" si="32">G7/G$24</f>
        <v>0.23814173496621557</v>
      </c>
      <c r="H80" s="90">
        <f t="shared" si="32"/>
        <v>0.26010014282129468</v>
      </c>
      <c r="I80" s="90">
        <f t="shared" si="32"/>
        <v>0.3001621048258491</v>
      </c>
      <c r="J80" s="90">
        <f t="shared" si="32"/>
        <v>0.32782366680096697</v>
      </c>
      <c r="K80" s="90">
        <f t="shared" si="32"/>
        <v>0.39036155990092081</v>
      </c>
      <c r="L80" s="90">
        <f t="shared" si="32"/>
        <v>0.44309226202661117</v>
      </c>
      <c r="N80" s="90"/>
    </row>
    <row r="81" spans="1:14" x14ac:dyDescent="0.25">
      <c r="A81" s="9" t="s">
        <v>53</v>
      </c>
      <c r="B81" s="90"/>
      <c r="C81" s="90">
        <f t="shared" ref="C81:F81" si="33">C8/C$24</f>
        <v>0.21112318613498196</v>
      </c>
      <c r="D81" s="90">
        <f t="shared" si="33"/>
        <v>0.29436511919062897</v>
      </c>
      <c r="E81" s="90">
        <f t="shared" si="33"/>
        <v>8.5949022929611846E-3</v>
      </c>
      <c r="F81" s="90">
        <f t="shared" si="33"/>
        <v>0.20399390720692986</v>
      </c>
      <c r="G81" s="90">
        <f t="shared" ref="G81:L81" si="34">G8/G$24</f>
        <v>0.13881579441577319</v>
      </c>
      <c r="H81" s="90">
        <f t="shared" si="34"/>
        <v>0.12497959730943212</v>
      </c>
      <c r="I81" s="90">
        <f t="shared" si="34"/>
        <v>0.10552986781750645</v>
      </c>
      <c r="J81" s="90">
        <f t="shared" si="34"/>
        <v>0.10966060508170861</v>
      </c>
      <c r="K81" s="90">
        <f t="shared" si="34"/>
        <v>8.4129896343741628E-2</v>
      </c>
      <c r="L81" s="90">
        <f t="shared" si="34"/>
        <v>6.8267673489204622E-2</v>
      </c>
      <c r="N81" s="90"/>
    </row>
    <row r="82" spans="1:14" x14ac:dyDescent="0.25">
      <c r="A82" s="9" t="s">
        <v>54</v>
      </c>
      <c r="B82" s="90"/>
      <c r="C82" s="90">
        <f t="shared" ref="C82:F82" si="35">C9/C$24</f>
        <v>0</v>
      </c>
      <c r="D82" s="90">
        <f t="shared" si="35"/>
        <v>0</v>
      </c>
      <c r="E82" s="90">
        <f t="shared" si="35"/>
        <v>4.2755344418052253E-2</v>
      </c>
      <c r="F82" s="90">
        <f t="shared" si="35"/>
        <v>1.375927716808549E-2</v>
      </c>
      <c r="G82" s="90">
        <f t="shared" ref="G82:L82" si="36">G9/G$24</f>
        <v>1.526973738573505E-2</v>
      </c>
      <c r="H82" s="90">
        <f t="shared" si="36"/>
        <v>1.6497306844845041E-2</v>
      </c>
      <c r="I82" s="90">
        <f t="shared" si="36"/>
        <v>1.7412428189888564E-2</v>
      </c>
      <c r="J82" s="90">
        <f t="shared" si="36"/>
        <v>1.8093999838481922E-2</v>
      </c>
      <c r="K82" s="90">
        <f t="shared" si="36"/>
        <v>1.8508577195623162E-2</v>
      </c>
      <c r="L82" s="90">
        <f t="shared" si="36"/>
        <v>1.8773610209531274E-2</v>
      </c>
      <c r="N82" s="90"/>
    </row>
    <row r="83" spans="1:14" x14ac:dyDescent="0.25">
      <c r="A83" s="9" t="s">
        <v>55</v>
      </c>
      <c r="B83" s="90">
        <f t="shared" ref="B83:F83" si="37">B10/B$24</f>
        <v>0.18147566500819967</v>
      </c>
      <c r="C83" s="90">
        <f t="shared" si="37"/>
        <v>0.17368877263229346</v>
      </c>
      <c r="D83" s="90">
        <f t="shared" si="37"/>
        <v>0.16596465084216555</v>
      </c>
      <c r="E83" s="90">
        <f t="shared" si="37"/>
        <v>0.19003500749314362</v>
      </c>
      <c r="F83" s="90">
        <f t="shared" si="37"/>
        <v>0.12559723467983031</v>
      </c>
      <c r="G83" s="90">
        <f t="shared" ref="G83:L83" si="38">G10/G$24</f>
        <v>0.12076974114172268</v>
      </c>
      <c r="H83" s="90">
        <f t="shared" si="38"/>
        <v>0.12547951569866986</v>
      </c>
      <c r="I83" s="90">
        <f t="shared" si="38"/>
        <v>0.12716349072009525</v>
      </c>
      <c r="J83" s="90">
        <f t="shared" si="38"/>
        <v>0.12665799886937343</v>
      </c>
      <c r="K83" s="90">
        <f t="shared" si="38"/>
        <v>0.12395138061311266</v>
      </c>
      <c r="L83" s="90">
        <f t="shared" si="38"/>
        <v>0.12003732588518479</v>
      </c>
      <c r="N83" s="90"/>
    </row>
    <row r="84" spans="1:14" x14ac:dyDescent="0.25">
      <c r="A84" s="9" t="s">
        <v>56</v>
      </c>
      <c r="B84" s="90">
        <f t="shared" ref="B84:F84" si="39">B11/B$24</f>
        <v>1.9401284153764905E-2</v>
      </c>
      <c r="C84" s="90">
        <f t="shared" si="39"/>
        <v>4.5057051531445451E-2</v>
      </c>
      <c r="D84" s="90">
        <f t="shared" si="39"/>
        <v>4.6302632179188903E-2</v>
      </c>
      <c r="E84" s="90">
        <f t="shared" si="39"/>
        <v>0.10687118308741211</v>
      </c>
      <c r="F84" s="90">
        <f t="shared" si="39"/>
        <v>6.9042538046645494E-2</v>
      </c>
      <c r="G84" s="90">
        <f t="shared" ref="G84:L84" si="40">G11/G$24</f>
        <v>6.9407897207886593E-2</v>
      </c>
      <c r="H84" s="90">
        <f t="shared" si="40"/>
        <v>6.9988574493281969E-2</v>
      </c>
      <c r="I84" s="90">
        <f t="shared" si="40"/>
        <v>6.8594414081379174E-2</v>
      </c>
      <c r="J84" s="90">
        <f t="shared" si="40"/>
        <v>6.5796363049025156E-2</v>
      </c>
      <c r="K84" s="90">
        <f t="shared" si="40"/>
        <v>6.1695257318743854E-2</v>
      </c>
      <c r="L84" s="90">
        <f t="shared" si="40"/>
        <v>5.6889727907670523E-2</v>
      </c>
      <c r="N84" s="90"/>
    </row>
    <row r="85" spans="1:14" x14ac:dyDescent="0.25">
      <c r="A85" s="9" t="s">
        <v>57</v>
      </c>
      <c r="B85" s="90">
        <f t="shared" ref="B85:F85" si="41">B12/B$24</f>
        <v>4.6923034160713792E-2</v>
      </c>
      <c r="C85" s="90">
        <f t="shared" si="41"/>
        <v>4.5935677044223362E-2</v>
      </c>
      <c r="D85" s="90">
        <f t="shared" si="41"/>
        <v>6.51386689432399E-2</v>
      </c>
      <c r="E85" s="90">
        <f t="shared" si="41"/>
        <v>6.4380616155573056E-2</v>
      </c>
      <c r="F85" s="90">
        <f t="shared" si="41"/>
        <v>7.0995275420474957E-2</v>
      </c>
      <c r="G85" s="90">
        <f t="shared" ref="G85:L85" si="42">G12/G$24</f>
        <v>7.4960528984517522E-2</v>
      </c>
      <c r="H85" s="90">
        <f t="shared" si="42"/>
        <v>7.7387366654000353E-2</v>
      </c>
      <c r="I85" s="90">
        <f t="shared" si="42"/>
        <v>7.6799361304190294E-2</v>
      </c>
      <c r="J85" s="90">
        <f t="shared" si="42"/>
        <v>6.8126650907011477E-2</v>
      </c>
      <c r="K85" s="90">
        <f t="shared" si="42"/>
        <v>5.8890927440619134E-2</v>
      </c>
      <c r="L85" s="90">
        <f t="shared" si="42"/>
        <v>4.9778511919211704E-2</v>
      </c>
      <c r="N85" s="90"/>
    </row>
    <row r="86" spans="1:14" x14ac:dyDescent="0.25">
      <c r="A86" s="16" t="s">
        <v>58</v>
      </c>
      <c r="B86" s="90">
        <f t="shared" ref="B86:F86" si="43">B13/B$24</f>
        <v>4.2236706784890346E-2</v>
      </c>
      <c r="C86" s="90">
        <f t="shared" si="43"/>
        <v>4.123035952693762E-2</v>
      </c>
      <c r="D86" s="90">
        <f t="shared" si="43"/>
        <v>2.6707013568926803E-2</v>
      </c>
      <c r="E86" s="90">
        <f t="shared" si="43"/>
        <v>3.3491094117437996E-2</v>
      </c>
      <c r="F86" s="90">
        <f t="shared" si="43"/>
        <v>2.5604738465034114E-2</v>
      </c>
      <c r="G86" s="90">
        <f t="shared" ref="G86:L86" si="44">G13/G$24</f>
        <v>2.2644215188156222E-2</v>
      </c>
      <c r="H86" s="90">
        <f t="shared" si="44"/>
        <v>2.4219989592159812E-2</v>
      </c>
      <c r="I86" s="90">
        <f t="shared" si="44"/>
        <v>2.4272409882673526E-2</v>
      </c>
      <c r="J86" s="90">
        <f t="shared" si="44"/>
        <v>2.4954176127221752E-2</v>
      </c>
      <c r="K86" s="90">
        <f t="shared" si="44"/>
        <v>2.470251942330343E-2</v>
      </c>
      <c r="L86" s="90">
        <f t="shared" si="44"/>
        <v>2.4777843668607961E-2</v>
      </c>
      <c r="N86" s="90"/>
    </row>
    <row r="87" spans="1:14" x14ac:dyDescent="0.25">
      <c r="A87" s="9" t="s">
        <v>59</v>
      </c>
      <c r="B87" s="90">
        <f t="shared" ref="B87:F87" si="45">B14/B$24</f>
        <v>0.77571087083414403</v>
      </c>
      <c r="C87" s="90">
        <f t="shared" si="45"/>
        <v>0.72072716608387266</v>
      </c>
      <c r="D87" s="90">
        <f t="shared" si="45"/>
        <v>0.71103232893297219</v>
      </c>
      <c r="E87" s="90">
        <f t="shared" si="45"/>
        <v>0.65719904514248817</v>
      </c>
      <c r="F87" s="90">
        <f t="shared" si="45"/>
        <v>0.63301020304401212</v>
      </c>
      <c r="G87" s="90">
        <f t="shared" ref="G87:L87" si="46">G14/G$24</f>
        <v>0.68000964929000685</v>
      </c>
      <c r="H87" s="90">
        <f t="shared" si="46"/>
        <v>0.69865249341368374</v>
      </c>
      <c r="I87" s="90">
        <f t="shared" si="46"/>
        <v>0.71993407682158239</v>
      </c>
      <c r="J87" s="90">
        <f t="shared" si="46"/>
        <v>0.74111346067378925</v>
      </c>
      <c r="K87" s="90">
        <f t="shared" si="46"/>
        <v>0.76224011823606463</v>
      </c>
      <c r="L87" s="90">
        <f t="shared" si="46"/>
        <v>0.78161695510602214</v>
      </c>
      <c r="N87" s="90"/>
    </row>
    <row r="88" spans="1:14" x14ac:dyDescent="0.25">
      <c r="A88" s="9" t="s">
        <v>60</v>
      </c>
      <c r="B88" s="90">
        <f t="shared" ref="B88:F88" si="47">B15/B$24</f>
        <v>5.2662812352336212E-2</v>
      </c>
      <c r="C88" s="90">
        <f t="shared" si="47"/>
        <v>5.1759675227845449E-2</v>
      </c>
      <c r="D88" s="90">
        <f t="shared" si="47"/>
        <v>7.6388300556906E-2</v>
      </c>
      <c r="E88" s="90">
        <f t="shared" si="47"/>
        <v>8.2014085925329189E-2</v>
      </c>
      <c r="F88" s="90">
        <f t="shared" si="47"/>
        <v>5.9554457493861977E-2</v>
      </c>
      <c r="G88" s="90">
        <f t="shared" ref="G88:L88" si="48">G15/G$24</f>
        <v>6.1511743624138339E-2</v>
      </c>
      <c r="H88" s="90">
        <f t="shared" si="48"/>
        <v>6.0625389518087255E-2</v>
      </c>
      <c r="I88" s="90">
        <f t="shared" si="48"/>
        <v>5.716530543216429E-2</v>
      </c>
      <c r="J88" s="90">
        <f t="shared" si="48"/>
        <v>5.1980856407293309E-2</v>
      </c>
      <c r="K88" s="90">
        <f t="shared" si="48"/>
        <v>4.5455127836186701E-2</v>
      </c>
      <c r="L88" s="90">
        <f t="shared" si="48"/>
        <v>3.8352621092485099E-2</v>
      </c>
      <c r="N88" s="90"/>
    </row>
    <row r="89" spans="1:14" x14ac:dyDescent="0.25">
      <c r="A89" s="9" t="s">
        <v>61</v>
      </c>
      <c r="B89" s="90">
        <f t="shared" ref="B89:F89" si="49">B16/B$24</f>
        <v>2.6888011785307281E-2</v>
      </c>
      <c r="C89" s="90">
        <f t="shared" si="49"/>
        <v>3.2742103900127599E-2</v>
      </c>
      <c r="D89" s="90">
        <f t="shared" si="49"/>
        <v>3.3142098285111832E-2</v>
      </c>
      <c r="E89" s="90">
        <f t="shared" si="49"/>
        <v>7.5341930210104199E-2</v>
      </c>
      <c r="F89" s="90">
        <f t="shared" si="49"/>
        <v>5.5004148120512193E-2</v>
      </c>
      <c r="G89" s="90">
        <f t="shared" ref="G89:L89" si="50">G16/G$24</f>
        <v>4.6805599256554517E-2</v>
      </c>
      <c r="H89" s="90">
        <f t="shared" si="50"/>
        <v>3.8810134587643819E-2</v>
      </c>
      <c r="I89" s="90">
        <f t="shared" si="50"/>
        <v>3.1441784503094358E-2</v>
      </c>
      <c r="J89" s="90">
        <f t="shared" si="50"/>
        <v>2.5113252028345336E-2</v>
      </c>
      <c r="K89" s="90">
        <f t="shared" si="50"/>
        <v>1.9764254414622515E-2</v>
      </c>
      <c r="L89" s="90">
        <f t="shared" si="50"/>
        <v>1.5434419999442145E-2</v>
      </c>
      <c r="N89" s="90"/>
    </row>
    <row r="90" spans="1:14" x14ac:dyDescent="0.25">
      <c r="A90" s="9" t="s">
        <v>62</v>
      </c>
      <c r="B90" s="90">
        <f t="shared" ref="B90:F90" si="51">B17/B$24</f>
        <v>2.2146093337410012E-2</v>
      </c>
      <c r="C90" s="90">
        <f t="shared" si="51"/>
        <v>1.5102188995540651E-2</v>
      </c>
      <c r="D90" s="90">
        <f t="shared" si="51"/>
        <v>6.84130532221404E-3</v>
      </c>
      <c r="E90" s="90">
        <f t="shared" si="51"/>
        <v>9.1635519277814964E-3</v>
      </c>
      <c r="F90" s="90">
        <f t="shared" si="51"/>
        <v>4.2631317994287305E-3</v>
      </c>
      <c r="G90" s="90">
        <f t="shared" ref="G90:L90" si="52">G17/G$24</f>
        <v>3.2783926409353597E-3</v>
      </c>
      <c r="H90" s="90">
        <f t="shared" si="52"/>
        <v>2.3654590674247267E-3</v>
      </c>
      <c r="I90" s="90">
        <f t="shared" si="52"/>
        <v>1.5738511831192301E-3</v>
      </c>
      <c r="J90" s="90">
        <f t="shared" si="52"/>
        <v>9.3365497946497214E-4</v>
      </c>
      <c r="K90" s="90">
        <f t="shared" si="52"/>
        <v>4.3707639468246217E-4</v>
      </c>
      <c r="L90" s="90">
        <f t="shared" si="52"/>
        <v>7.1753743060594882E-5</v>
      </c>
      <c r="N90" s="90"/>
    </row>
    <row r="91" spans="1:14" x14ac:dyDescent="0.25">
      <c r="A91" s="9" t="s">
        <v>63</v>
      </c>
      <c r="B91" s="90">
        <f t="shared" ref="B91:F91" si="53">B18/B$24</f>
        <v>3.4718014286905526E-2</v>
      </c>
      <c r="C91" s="90">
        <f t="shared" si="53"/>
        <v>2.9578815546586663E-2</v>
      </c>
      <c r="D91" s="90">
        <f t="shared" si="53"/>
        <v>1.8250963235224901E-2</v>
      </c>
      <c r="E91" s="90">
        <f t="shared" si="53"/>
        <v>2.582143216779903E-2</v>
      </c>
      <c r="F91" s="90">
        <f t="shared" si="53"/>
        <v>1.5773026627216861E-2</v>
      </c>
      <c r="G91" s="90">
        <f t="shared" ref="G91:L91" si="54">G18/G$24</f>
        <v>1.3422005223296266E-2</v>
      </c>
      <c r="H91" s="90">
        <f t="shared" si="54"/>
        <v>1.1129220380171497E-2</v>
      </c>
      <c r="I91" s="90">
        <f t="shared" si="54"/>
        <v>9.0162673383823982E-3</v>
      </c>
      <c r="J91" s="90">
        <f t="shared" si="54"/>
        <v>7.2014930959612544E-3</v>
      </c>
      <c r="K91" s="90">
        <f t="shared" si="54"/>
        <v>5.6676109311958271E-3</v>
      </c>
      <c r="L91" s="90">
        <f t="shared" si="54"/>
        <v>4.425984692890148E-3</v>
      </c>
      <c r="N91" s="90"/>
    </row>
    <row r="92" spans="1:14" x14ac:dyDescent="0.25">
      <c r="A92" s="9" t="s">
        <v>64</v>
      </c>
      <c r="B92" s="90"/>
      <c r="C92" s="90">
        <f t="shared" ref="C92:F92" si="55">C19/C$24</f>
        <v>5.3804282915050038E-2</v>
      </c>
      <c r="D92" s="90">
        <f t="shared" si="55"/>
        <v>6.5662193895394932E-2</v>
      </c>
      <c r="E92" s="90">
        <f t="shared" si="55"/>
        <v>1.8500068119487505E-2</v>
      </c>
      <c r="F92" s="90">
        <f t="shared" si="55"/>
        <v>5.4773073613535429E-2</v>
      </c>
      <c r="G92" s="90">
        <f t="shared" ref="G92:L92" si="56">G19/G$24</f>
        <v>4.4688705118110461E-2</v>
      </c>
      <c r="H92" s="90">
        <f t="shared" si="56"/>
        <v>4.8281333346374113E-2</v>
      </c>
      <c r="I92" s="90">
        <f t="shared" si="56"/>
        <v>5.0959544955575933E-2</v>
      </c>
      <c r="J92" s="90">
        <f t="shared" si="56"/>
        <v>5.2954245561842236E-2</v>
      </c>
      <c r="K92" s="90">
        <f t="shared" si="56"/>
        <v>5.4167555574576198E-2</v>
      </c>
      <c r="L92" s="90">
        <f t="shared" si="56"/>
        <v>5.4943206255783611E-2</v>
      </c>
      <c r="N92" s="90"/>
    </row>
    <row r="93" spans="1:14" x14ac:dyDescent="0.25">
      <c r="A93" s="9" t="s">
        <v>65</v>
      </c>
      <c r="B93" s="90">
        <f t="shared" ref="B93:F93" si="57">B20/B$24</f>
        <v>5.5910720738249438E-2</v>
      </c>
      <c r="C93" s="90">
        <f t="shared" si="57"/>
        <v>3.7365826315957522E-2</v>
      </c>
      <c r="D93" s="90">
        <f t="shared" si="57"/>
        <v>1.6261133956494568E-2</v>
      </c>
      <c r="E93" s="90">
        <f t="shared" si="57"/>
        <v>6.667416968268166E-3</v>
      </c>
      <c r="F93" s="90">
        <f t="shared" si="57"/>
        <v>1.8268561173732263E-3</v>
      </c>
      <c r="G93" s="90">
        <f t="shared" ref="G93:L93" si="58">G20/G$24</f>
        <v>2.025965812995887E-3</v>
      </c>
      <c r="H93" s="90">
        <f t="shared" si="58"/>
        <v>2.1888378843622257E-3</v>
      </c>
      <c r="I93" s="90">
        <f t="shared" si="58"/>
        <v>2.3102548094190382E-3</v>
      </c>
      <c r="J93" s="90">
        <f t="shared" si="58"/>
        <v>2.4006847116678719E-3</v>
      </c>
      <c r="K93" s="90">
        <f t="shared" si="58"/>
        <v>2.4556902124956061E-3</v>
      </c>
      <c r="L93" s="90">
        <f t="shared" si="58"/>
        <v>2.4908543945590593E-3</v>
      </c>
      <c r="N93" s="90"/>
    </row>
    <row r="94" spans="1:14" x14ac:dyDescent="0.25">
      <c r="A94" s="9" t="s">
        <v>66</v>
      </c>
      <c r="B94" s="90"/>
      <c r="C94" s="90">
        <f t="shared" ref="C94:F94" si="59">C21/C$24</f>
        <v>1.1404393600578971E-2</v>
      </c>
      <c r="D94" s="90">
        <f t="shared" si="59"/>
        <v>1.455370402954911E-2</v>
      </c>
      <c r="E94" s="90">
        <f t="shared" si="59"/>
        <v>1.7623992275842462E-2</v>
      </c>
      <c r="F94" s="90">
        <f t="shared" si="59"/>
        <v>1.5838597086707991E-2</v>
      </c>
      <c r="G94" s="90">
        <f t="shared" ref="G94:L94" si="60">G21/G$24</f>
        <v>1.3893339069109003E-2</v>
      </c>
      <c r="H94" s="90">
        <f t="shared" si="60"/>
        <v>1.5010256688283683E-2</v>
      </c>
      <c r="I94" s="90">
        <f t="shared" si="60"/>
        <v>1.5842889942863835E-2</v>
      </c>
      <c r="J94" s="90">
        <f t="shared" si="60"/>
        <v>1.6463025428798603E-2</v>
      </c>
      <c r="K94" s="90">
        <f t="shared" si="60"/>
        <v>1.6840233212248711E-2</v>
      </c>
      <c r="L94" s="90">
        <f t="shared" si="60"/>
        <v>1.7081376424716344E-2</v>
      </c>
      <c r="N94" s="90"/>
    </row>
    <row r="95" spans="1:14" x14ac:dyDescent="0.25">
      <c r="A95" s="9" t="s">
        <v>67</v>
      </c>
      <c r="B95" s="90"/>
      <c r="C95" s="90">
        <f t="shared" ref="C95:F95" si="61">C22/C$24</f>
        <v>0</v>
      </c>
      <c r="D95" s="90">
        <f t="shared" si="61"/>
        <v>0</v>
      </c>
      <c r="E95" s="90">
        <f t="shared" si="61"/>
        <v>4.9472518229367199E-2</v>
      </c>
      <c r="F95" s="90">
        <f t="shared" si="61"/>
        <v>0.10398808651373438</v>
      </c>
      <c r="G95" s="90">
        <f t="shared" ref="G95:L95" si="62">G22/G$24</f>
        <v>8.8488320810893237E-2</v>
      </c>
      <c r="H95" s="90">
        <f t="shared" si="62"/>
        <v>7.3372495911895597E-2</v>
      </c>
      <c r="I95" s="90">
        <f t="shared" si="62"/>
        <v>5.9442262425198393E-2</v>
      </c>
      <c r="J95" s="90">
        <f t="shared" si="62"/>
        <v>4.7477856012661621E-2</v>
      </c>
      <c r="K95" s="90">
        <f t="shared" si="62"/>
        <v>3.736530912985412E-2</v>
      </c>
      <c r="L95" s="90">
        <f t="shared" si="62"/>
        <v>2.9179541126149459E-2</v>
      </c>
      <c r="N95" s="90"/>
    </row>
    <row r="96" spans="1:14" x14ac:dyDescent="0.25">
      <c r="A96" s="72" t="s">
        <v>68</v>
      </c>
      <c r="B96" s="90">
        <f t="shared" ref="B96:F96" si="63">B23/B$24</f>
        <v>3.19634766656475E-2</v>
      </c>
      <c r="C96" s="90">
        <f t="shared" si="63"/>
        <v>4.7515547414440439E-2</v>
      </c>
      <c r="D96" s="90">
        <f t="shared" si="63"/>
        <v>5.7867971786132455E-2</v>
      </c>
      <c r="E96" s="90">
        <f t="shared" si="63"/>
        <v>5.8195959033532557E-2</v>
      </c>
      <c r="F96" s="90">
        <f t="shared" si="63"/>
        <v>5.5968419583617063E-2</v>
      </c>
      <c r="G96" s="90">
        <f t="shared" ref="G96:L96" si="64">G23/G$24</f>
        <v>4.5876279153960024E-2</v>
      </c>
      <c r="H96" s="90">
        <f t="shared" si="64"/>
        <v>4.9564379202073246E-2</v>
      </c>
      <c r="I96" s="90">
        <f t="shared" si="64"/>
        <v>5.2313762588599849E-2</v>
      </c>
      <c r="J96" s="90">
        <f t="shared" si="64"/>
        <v>5.4361471100175432E-2</v>
      </c>
      <c r="K96" s="90">
        <f t="shared" si="64"/>
        <v>5.5607024058073072E-2</v>
      </c>
      <c r="L96" s="90">
        <f t="shared" si="64"/>
        <v>5.6403287164891305E-2</v>
      </c>
      <c r="N96" s="90"/>
    </row>
    <row r="97" spans="1:14" x14ac:dyDescent="0.25">
      <c r="A97" s="25" t="s">
        <v>69</v>
      </c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N97" s="90"/>
    </row>
    <row r="98" spans="1:14" x14ac:dyDescent="0.25">
      <c r="A98" s="25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N98" s="90"/>
    </row>
    <row r="99" spans="1:14" x14ac:dyDescent="0.25">
      <c r="A99" s="9" t="s">
        <v>70</v>
      </c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N99" s="90"/>
    </row>
    <row r="100" spans="1:14" x14ac:dyDescent="0.25">
      <c r="A100" s="9" t="s">
        <v>71</v>
      </c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N100" s="90"/>
    </row>
    <row r="101" spans="1:14" x14ac:dyDescent="0.25">
      <c r="A101" s="9" t="s">
        <v>72</v>
      </c>
      <c r="B101" s="90">
        <f t="shared" ref="B101:F101" si="65">B28/B$24</f>
        <v>2.1074575423187036E-2</v>
      </c>
      <c r="C101" s="90">
        <f t="shared" si="65"/>
        <v>3.0596980508231054E-2</v>
      </c>
      <c r="D101" s="90">
        <f t="shared" si="65"/>
        <v>1.7481243976385622E-2</v>
      </c>
      <c r="E101" s="90">
        <f t="shared" si="65"/>
        <v>1.9085303368656742E-2</v>
      </c>
      <c r="F101" s="90">
        <f t="shared" si="65"/>
        <v>2.1009897282297307E-2</v>
      </c>
      <c r="G101" s="90">
        <f t="shared" ref="G101:L101" si="66">G28/G$24</f>
        <v>2.1636988152459596E-2</v>
      </c>
      <c r="H101" s="90">
        <f t="shared" si="66"/>
        <v>2.5176141809301476E-2</v>
      </c>
      <c r="I101" s="90">
        <f t="shared" si="66"/>
        <v>2.807677647206102E-2</v>
      </c>
      <c r="J101" s="90">
        <f t="shared" si="66"/>
        <v>3.1122256591120032E-2</v>
      </c>
      <c r="K101" s="90">
        <f t="shared" si="66"/>
        <v>3.3349988666809952E-2</v>
      </c>
      <c r="L101" s="90">
        <f t="shared" si="66"/>
        <v>3.5818683302212308E-2</v>
      </c>
      <c r="N101" s="90"/>
    </row>
    <row r="102" spans="1:14" x14ac:dyDescent="0.25">
      <c r="A102" s="9" t="s">
        <v>73</v>
      </c>
      <c r="B102" s="90">
        <f t="shared" ref="B102:F102" si="67">B29/B$24</f>
        <v>5.7108708341440363E-2</v>
      </c>
      <c r="C102" s="90">
        <f t="shared" si="67"/>
        <v>5.3215379139325412E-2</v>
      </c>
      <c r="D102" s="90">
        <f t="shared" si="67"/>
        <v>4.3332370279133656E-2</v>
      </c>
      <c r="E102" s="90">
        <f t="shared" si="67"/>
        <v>6.1430153831573089E-2</v>
      </c>
      <c r="F102" s="90">
        <f t="shared" si="67"/>
        <v>5.4677347755561739E-2</v>
      </c>
      <c r="G102" s="90">
        <f t="shared" ref="G102:L102" si="68">G29/G$24</f>
        <v>5.9640903652340503E-2</v>
      </c>
      <c r="H102" s="90">
        <f t="shared" si="68"/>
        <v>6.8034986060488953E-2</v>
      </c>
      <c r="I102" s="90">
        <f t="shared" si="68"/>
        <v>7.4557915383015538E-2</v>
      </c>
      <c r="J102" s="90">
        <f t="shared" si="68"/>
        <v>8.1369274379537088E-2</v>
      </c>
      <c r="K102" s="90">
        <f t="shared" si="68"/>
        <v>8.5987398538490634E-2</v>
      </c>
      <c r="L102" s="90">
        <f t="shared" si="68"/>
        <v>9.1200973456544931E-2</v>
      </c>
      <c r="N102" s="90"/>
    </row>
    <row r="103" spans="1:14" x14ac:dyDescent="0.25">
      <c r="A103" s="9" t="s">
        <v>74</v>
      </c>
      <c r="B103" s="90">
        <f t="shared" ref="B103:F103" si="69">B30/B$24</f>
        <v>0.14872835422631125</v>
      </c>
      <c r="C103" s="90">
        <f t="shared" si="69"/>
        <v>0.13937862373897136</v>
      </c>
      <c r="D103" s="90">
        <f t="shared" si="69"/>
        <v>0.11872285979306645</v>
      </c>
      <c r="E103" s="90">
        <f t="shared" si="69"/>
        <v>0.15732106787662672</v>
      </c>
      <c r="F103" s="90">
        <f t="shared" si="69"/>
        <v>0.12624487445886839</v>
      </c>
      <c r="G103" s="90">
        <f t="shared" ref="G103:L103" si="70">G30/G$24</f>
        <v>0.14000434806403075</v>
      </c>
      <c r="H103" s="90">
        <f t="shared" si="70"/>
        <v>0.15375921293891853</v>
      </c>
      <c r="I103" s="90">
        <f t="shared" si="70"/>
        <v>0.1649266298244266</v>
      </c>
      <c r="J103" s="90">
        <f t="shared" si="70"/>
        <v>0.17412383934173575</v>
      </c>
      <c r="K103" s="90">
        <f t="shared" si="70"/>
        <v>0.18091776807992319</v>
      </c>
      <c r="L103" s="90">
        <f t="shared" si="70"/>
        <v>0.18635290100836871</v>
      </c>
      <c r="N103" s="90"/>
    </row>
    <row r="104" spans="1:14" x14ac:dyDescent="0.25">
      <c r="A104" s="9" t="s">
        <v>75</v>
      </c>
      <c r="B104" s="90">
        <f t="shared" ref="B104:F104" si="71">B31/B$24</f>
        <v>3.7551769185868748E-3</v>
      </c>
      <c r="C104" s="90">
        <f t="shared" si="71"/>
        <v>3.5168671265161612E-3</v>
      </c>
      <c r="D104" s="90">
        <f t="shared" si="71"/>
        <v>2.1404422663489314E-3</v>
      </c>
      <c r="E104" s="90">
        <f t="shared" si="71"/>
        <v>6.1976886761718033E-3</v>
      </c>
      <c r="F104" s="90">
        <f t="shared" si="71"/>
        <v>7.1527903912277247E-3</v>
      </c>
      <c r="G104" s="90">
        <f t="shared" ref="G104:L104" si="72">G31/G$24</f>
        <v>8.7916669796656351E-3</v>
      </c>
      <c r="H104" s="90">
        <f t="shared" si="72"/>
        <v>1.0498286173992295E-2</v>
      </c>
      <c r="I104" s="90">
        <f t="shared" si="72"/>
        <v>1.213593479901324E-2</v>
      </c>
      <c r="J104" s="90">
        <f t="shared" si="72"/>
        <v>1.3707575635213576E-2</v>
      </c>
      <c r="K104" s="90">
        <f t="shared" si="72"/>
        <v>1.5143381341873496E-2</v>
      </c>
      <c r="L104" s="90">
        <f t="shared" si="72"/>
        <v>1.6498021093224454E-2</v>
      </c>
      <c r="N104" s="90"/>
    </row>
    <row r="105" spans="1:14" x14ac:dyDescent="0.25">
      <c r="A105" s="16" t="s">
        <v>76</v>
      </c>
      <c r="B105" s="90">
        <f t="shared" ref="B105:F105" si="73">B32/B$24</f>
        <v>5.1421741668288072E-5</v>
      </c>
      <c r="C105" s="90">
        <f t="shared" si="73"/>
        <v>4.5563177668011996E-3</v>
      </c>
      <c r="D105" s="90">
        <f t="shared" si="73"/>
        <v>3.9325919988298531E-3</v>
      </c>
      <c r="E105" s="90">
        <f t="shared" si="73"/>
        <v>3.87392563721338E-3</v>
      </c>
      <c r="F105" s="90">
        <f t="shared" si="73"/>
        <v>2.2293956226984595E-3</v>
      </c>
      <c r="G105" s="90">
        <f t="shared" ref="G105:L105" si="74">G32/G$24</f>
        <v>2.0492910482633377E-3</v>
      </c>
      <c r="H105" s="90">
        <f t="shared" si="74"/>
        <v>2.1918979062787156E-3</v>
      </c>
      <c r="I105" s="90">
        <f t="shared" si="74"/>
        <v>2.1966419184338954E-3</v>
      </c>
      <c r="J105" s="90">
        <f t="shared" si="74"/>
        <v>2.2583414496541933E-3</v>
      </c>
      <c r="K105" s="90">
        <f t="shared" si="74"/>
        <v>2.2355666338219793E-3</v>
      </c>
      <c r="L105" s="90">
        <f t="shared" si="74"/>
        <v>2.2423834433398693E-3</v>
      </c>
      <c r="N105" s="90"/>
    </row>
    <row r="106" spans="1:14" x14ac:dyDescent="0.25">
      <c r="A106" s="9" t="s">
        <v>77</v>
      </c>
      <c r="B106" s="90">
        <f t="shared" ref="B106:F106" si="75">B33/B$24</f>
        <v>0.23071823665119381</v>
      </c>
      <c r="C106" s="90">
        <f t="shared" si="75"/>
        <v>0.23126416827984519</v>
      </c>
      <c r="D106" s="90">
        <f t="shared" si="75"/>
        <v>0.18560950831376449</v>
      </c>
      <c r="E106" s="90">
        <f t="shared" si="75"/>
        <v>0.24790813939024173</v>
      </c>
      <c r="F106" s="90">
        <f t="shared" si="75"/>
        <v>0.21131430551065361</v>
      </c>
      <c r="G106" s="90">
        <f t="shared" ref="G106:L106" si="76">G33/G$24</f>
        <v>0.23212319789675981</v>
      </c>
      <c r="H106" s="90">
        <f t="shared" si="76"/>
        <v>0.25966052488898</v>
      </c>
      <c r="I106" s="90">
        <f t="shared" si="76"/>
        <v>0.28189389839695034</v>
      </c>
      <c r="J106" s="90">
        <f t="shared" si="76"/>
        <v>0.30258128739726065</v>
      </c>
      <c r="K106" s="90">
        <f t="shared" si="76"/>
        <v>0.31763410326091923</v>
      </c>
      <c r="L106" s="90">
        <f t="shared" si="76"/>
        <v>0.33211296230369025</v>
      </c>
      <c r="N106" s="90"/>
    </row>
    <row r="107" spans="1:14" x14ac:dyDescent="0.25">
      <c r="A107" s="9" t="s">
        <v>78</v>
      </c>
      <c r="B107" s="90">
        <f t="shared" ref="B107:F107" si="77">B34/B$24</f>
        <v>0.10342302026294577</v>
      </c>
      <c r="C107" s="90">
        <f t="shared" si="77"/>
        <v>0.10398763538578519</v>
      </c>
      <c r="D107" s="90">
        <f t="shared" si="77"/>
        <v>8.0535950523633562E-2</v>
      </c>
      <c r="E107" s="90">
        <f t="shared" si="77"/>
        <v>0.11001060294631591</v>
      </c>
      <c r="F107" s="90">
        <f t="shared" si="77"/>
        <v>8.696080569614438E-2</v>
      </c>
      <c r="G107" s="90">
        <f t="shared" ref="G107:L107" si="78">G34/G$24</f>
        <v>9.6438694725608246E-2</v>
      </c>
      <c r="H107" s="90">
        <f t="shared" si="78"/>
        <v>0.10669121609887293</v>
      </c>
      <c r="I107" s="90">
        <f t="shared" si="78"/>
        <v>0.11524772630840883</v>
      </c>
      <c r="J107" s="90">
        <f t="shared" si="78"/>
        <v>0.12250036314461514</v>
      </c>
      <c r="K107" s="90">
        <f t="shared" si="78"/>
        <v>0.12811147301912995</v>
      </c>
      <c r="L107" s="90">
        <f t="shared" si="78"/>
        <v>0.13279044779531118</v>
      </c>
      <c r="N107" s="90"/>
    </row>
    <row r="108" spans="1:14" x14ac:dyDescent="0.25">
      <c r="A108" s="9" t="s">
        <v>79</v>
      </c>
      <c r="B108" s="90">
        <f t="shared" ref="B108:F108" si="79">B35/B$24</f>
        <v>3.9594741084581818E-3</v>
      </c>
      <c r="C108" s="90">
        <f t="shared" si="79"/>
        <v>4.5314844750537755E-3</v>
      </c>
      <c r="D108" s="90">
        <f t="shared" si="79"/>
        <v>3.260626361762259E-3</v>
      </c>
      <c r="E108" s="90">
        <f t="shared" si="79"/>
        <v>2.2491277743882576E-3</v>
      </c>
      <c r="F108" s="90">
        <f t="shared" si="79"/>
        <v>3.7676715894770282E-3</v>
      </c>
      <c r="G108" s="90">
        <f t="shared" ref="G108:L108" si="80">G35/G$24</f>
        <v>5.8915033042257021E-3</v>
      </c>
      <c r="H108" s="90">
        <f t="shared" si="80"/>
        <v>4.8851000690591159E-3</v>
      </c>
      <c r="I108" s="90">
        <f t="shared" si="80"/>
        <v>3.9576328523300017E-3</v>
      </c>
      <c r="J108" s="90">
        <f t="shared" si="80"/>
        <v>3.1610493115122374E-3</v>
      </c>
      <c r="K108" s="90">
        <f t="shared" si="80"/>
        <v>2.4877615507294224E-3</v>
      </c>
      <c r="L108" s="90">
        <f t="shared" si="80"/>
        <v>1.9427576586958624E-3</v>
      </c>
      <c r="N108" s="90"/>
    </row>
    <row r="109" spans="1:14" x14ac:dyDescent="0.25">
      <c r="A109" s="9" t="s">
        <v>80</v>
      </c>
      <c r="B109" s="90">
        <f t="shared" ref="B109:F109" si="81">B36/B$24</f>
        <v>4.495927953970592E-3</v>
      </c>
      <c r="C109" s="90">
        <f t="shared" si="81"/>
        <v>4.6544683960886386E-3</v>
      </c>
      <c r="D109" s="90">
        <f t="shared" si="81"/>
        <v>3.4264454683231201E-3</v>
      </c>
      <c r="E109" s="90">
        <f t="shared" si="81"/>
        <v>3.3639179959839118E-3</v>
      </c>
      <c r="F109" s="90">
        <f t="shared" si="81"/>
        <v>2.20379859840513E-3</v>
      </c>
      <c r="G109" s="90">
        <f t="shared" ref="G109:L109" si="82">G36/G$24</f>
        <v>2.2433927519243044E-3</v>
      </c>
      <c r="H109" s="90">
        <f t="shared" si="82"/>
        <v>2.3437573348547951E-3</v>
      </c>
      <c r="I109" s="90">
        <f t="shared" si="82"/>
        <v>2.2400099018731437E-3</v>
      </c>
      <c r="J109" s="90">
        <f t="shared" si="82"/>
        <v>2.2454447661103064E-3</v>
      </c>
      <c r="K109" s="90">
        <f t="shared" si="82"/>
        <v>2.1390046658921837E-3</v>
      </c>
      <c r="L109" s="90">
        <f t="shared" si="82"/>
        <v>2.0871439733394963E-3</v>
      </c>
      <c r="N109" s="90"/>
    </row>
    <row r="110" spans="1:14" x14ac:dyDescent="0.25">
      <c r="A110" s="9" t="s">
        <v>81</v>
      </c>
      <c r="B110" s="90"/>
      <c r="C110" s="90">
        <f t="shared" ref="C110:F110" si="83">C37/C$24</f>
        <v>0</v>
      </c>
      <c r="D110" s="90">
        <f t="shared" si="83"/>
        <v>0</v>
      </c>
      <c r="E110" s="90">
        <f t="shared" si="83"/>
        <v>0</v>
      </c>
      <c r="F110" s="90">
        <f t="shared" si="83"/>
        <v>0.23632259824523633</v>
      </c>
      <c r="G110" s="90">
        <f t="shared" ref="G110:L110" si="84">G37/G$24</f>
        <v>0.20109793909542081</v>
      </c>
      <c r="H110" s="90">
        <f t="shared" si="84"/>
        <v>0.16674582113160621</v>
      </c>
      <c r="I110" s="90">
        <f t="shared" si="84"/>
        <v>0.13508806992080497</v>
      </c>
      <c r="J110" s="90">
        <f t="shared" si="84"/>
        <v>0.10789784357214323</v>
      </c>
      <c r="K110" s="90">
        <f t="shared" si="84"/>
        <v>8.491614024109681E-2</v>
      </c>
      <c r="L110" s="90">
        <f t="shared" si="84"/>
        <v>0</v>
      </c>
      <c r="N110" s="90"/>
    </row>
    <row r="111" spans="1:14" x14ac:dyDescent="0.25">
      <c r="A111" s="9" t="s">
        <v>82</v>
      </c>
      <c r="B111" s="90"/>
      <c r="C111" s="90">
        <f t="shared" ref="C111:F111" si="85">C38/C$24</f>
        <v>4.1861834659943545E-4</v>
      </c>
      <c r="D111" s="90">
        <f t="shared" si="85"/>
        <v>4.6994148540610835E-4</v>
      </c>
      <c r="E111" s="90">
        <f t="shared" si="85"/>
        <v>4.8039047274924326E-4</v>
      </c>
      <c r="F111" s="90">
        <f t="shared" si="85"/>
        <v>3.5064416840177091E-7</v>
      </c>
      <c r="G111" s="90">
        <f t="shared" ref="G111:L111" si="86">G38/G$24</f>
        <v>9.3707712736030286E-6</v>
      </c>
      <c r="H111" s="90">
        <f t="shared" si="86"/>
        <v>1.0124109221282902E-5</v>
      </c>
      <c r="I111" s="90">
        <f t="shared" si="86"/>
        <v>1.0685703215689508E-5</v>
      </c>
      <c r="J111" s="90">
        <f t="shared" si="86"/>
        <v>1.1103971838403834E-5</v>
      </c>
      <c r="K111" s="90">
        <f t="shared" si="86"/>
        <v>1.1358390725307198E-5</v>
      </c>
      <c r="L111" s="90">
        <f t="shared" si="86"/>
        <v>1.1521036859326945E-5</v>
      </c>
      <c r="N111" s="90"/>
    </row>
    <row r="112" spans="1:14" x14ac:dyDescent="0.25">
      <c r="A112" s="9" t="s">
        <v>83</v>
      </c>
      <c r="B112" s="90">
        <f t="shared" ref="B112:F112" si="87">B39/B$24</f>
        <v>0</v>
      </c>
      <c r="C112" s="90">
        <f t="shared" si="87"/>
        <v>8.0317960737383218E-3</v>
      </c>
      <c r="D112" s="90">
        <f t="shared" si="87"/>
        <v>1.372316029494078E-2</v>
      </c>
      <c r="E112" s="90">
        <f t="shared" si="87"/>
        <v>1.2107498474715823E-2</v>
      </c>
      <c r="F112" s="90">
        <f t="shared" si="87"/>
        <v>1.3023976346946976E-2</v>
      </c>
      <c r="G112" s="90">
        <f t="shared" ref="G112:L112" si="88">G39/G$24</f>
        <v>1.2758439087450784E-2</v>
      </c>
      <c r="H112" s="90">
        <f t="shared" si="88"/>
        <v>1.378411947566106E-2</v>
      </c>
      <c r="I112" s="90">
        <f t="shared" si="88"/>
        <v>1.4548737729624686E-2</v>
      </c>
      <c r="J112" s="90">
        <f t="shared" si="88"/>
        <v>1.5118216440531353E-2</v>
      </c>
      <c r="K112" s="90">
        <f t="shared" si="88"/>
        <v>1.5464611393142926E-2</v>
      </c>
      <c r="L112" s="90">
        <f t="shared" si="88"/>
        <v>1.5686056430388236E-2</v>
      </c>
      <c r="N112" s="90"/>
    </row>
    <row r="113" spans="1:67" x14ac:dyDescent="0.25">
      <c r="A113" s="16" t="s">
        <v>84</v>
      </c>
      <c r="B113" s="90">
        <f t="shared" ref="B113:F113" si="89">B40/B$24</f>
        <v>7.9272868777274363E-3</v>
      </c>
      <c r="C113" s="90">
        <f t="shared" si="89"/>
        <v>4.4085005540189133E-3</v>
      </c>
      <c r="D113" s="90">
        <f t="shared" si="89"/>
        <v>6.0672414579626844E-3</v>
      </c>
      <c r="E113" s="90">
        <f t="shared" si="89"/>
        <v>3.1939154489074228E-3</v>
      </c>
      <c r="F113" s="90">
        <f t="shared" si="89"/>
        <v>1.6175215488373692E-3</v>
      </c>
      <c r="G113" s="90">
        <f t="shared" ref="G113:L113" si="90">G40/G$24</f>
        <v>1.7938157956525964E-3</v>
      </c>
      <c r="H113" s="90">
        <f t="shared" si="90"/>
        <v>1.9380247908949997E-3</v>
      </c>
      <c r="I113" s="90">
        <f t="shared" si="90"/>
        <v>2.0455288744433823E-3</v>
      </c>
      <c r="J113" s="90">
        <f t="shared" si="90"/>
        <v>2.1255966554556416E-3</v>
      </c>
      <c r="K113" s="90">
        <f t="shared" si="90"/>
        <v>2.1742992226952461E-3</v>
      </c>
      <c r="L113" s="90">
        <f t="shared" si="90"/>
        <v>2.2054340349521961E-3</v>
      </c>
      <c r="N113" s="90"/>
    </row>
    <row r="114" spans="1:67" x14ac:dyDescent="0.25">
      <c r="A114" s="9" t="s">
        <v>85</v>
      </c>
      <c r="B114" s="90">
        <f t="shared" ref="B114:F114" si="91">B41/B$24</f>
        <v>0.3505239458542958</v>
      </c>
      <c r="C114" s="90">
        <f t="shared" si="91"/>
        <v>0.35729667151112943</v>
      </c>
      <c r="D114" s="90">
        <f t="shared" si="91"/>
        <v>0.29309287390579303</v>
      </c>
      <c r="E114" s="90">
        <f t="shared" si="91"/>
        <v>0.37931359250330232</v>
      </c>
      <c r="F114" s="90">
        <f t="shared" si="91"/>
        <v>0.55521102817986923</v>
      </c>
      <c r="G114" s="90">
        <f t="shared" ref="G114:L114" si="92">G41/G$24</f>
        <v>0.55235635342831579</v>
      </c>
      <c r="H114" s="90">
        <f t="shared" si="92"/>
        <v>0.55605868789915047</v>
      </c>
      <c r="I114" s="90">
        <f t="shared" si="92"/>
        <v>0.55503228968765095</v>
      </c>
      <c r="J114" s="90">
        <f t="shared" si="92"/>
        <v>0.55564090525946697</v>
      </c>
      <c r="K114" s="90">
        <f t="shared" si="92"/>
        <v>0.55293875174433105</v>
      </c>
      <c r="L114" s="90">
        <f t="shared" si="92"/>
        <v>0.48683632323323667</v>
      </c>
      <c r="N114" s="90"/>
    </row>
    <row r="115" spans="1:67" x14ac:dyDescent="0.25">
      <c r="A115" s="9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N115" s="90"/>
    </row>
    <row r="116" spans="1:67" x14ac:dyDescent="0.25">
      <c r="A116" s="9" t="s">
        <v>144</v>
      </c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N116" s="90"/>
    </row>
    <row r="117" spans="1:67" x14ac:dyDescent="0.25">
      <c r="A117" s="32" t="s">
        <v>145</v>
      </c>
      <c r="B117" s="90">
        <f t="shared" ref="B117:F117" si="93">B44/B$24</f>
        <v>0.63012480195680576</v>
      </c>
      <c r="C117" s="90">
        <f t="shared" si="93"/>
        <v>0.62470155704739261</v>
      </c>
      <c r="D117" s="90">
        <f t="shared" si="93"/>
        <v>0.69670019977943887</v>
      </c>
      <c r="E117" s="90">
        <f t="shared" si="93"/>
        <v>0.64875163634855848</v>
      </c>
      <c r="F117" s="90">
        <f t="shared" si="93"/>
        <v>0.41186453633970971</v>
      </c>
      <c r="G117" s="90">
        <f t="shared" ref="G117:L117" si="94">G44/G$24</f>
        <v>0.35047477498727192</v>
      </c>
      <c r="H117" s="90">
        <f t="shared" si="94"/>
        <v>0.29060568399678011</v>
      </c>
      <c r="I117" s="90">
        <f t="shared" si="94"/>
        <v>0.23543235262343409</v>
      </c>
      <c r="J117" s="90">
        <f t="shared" si="94"/>
        <v>0.18804505216542947</v>
      </c>
      <c r="K117" s="90">
        <f t="shared" si="94"/>
        <v>0.14799239255089769</v>
      </c>
      <c r="L117" s="90">
        <f t="shared" si="94"/>
        <v>0.18346185230986847</v>
      </c>
      <c r="N117" s="90"/>
    </row>
    <row r="118" spans="1:67" x14ac:dyDescent="0.25">
      <c r="A118" s="32" t="s">
        <v>146</v>
      </c>
      <c r="B118" s="90">
        <f t="shared" ref="B118:F118" si="95">B45/B$24</f>
        <v>-0.21673152291741946</v>
      </c>
      <c r="C118" s="90">
        <f t="shared" si="95"/>
        <v>-0.18441320705407391</v>
      </c>
      <c r="D118" s="90">
        <f t="shared" si="95"/>
        <v>-0.11292136336614235</v>
      </c>
      <c r="E118" s="90">
        <f t="shared" si="95"/>
        <v>-9.237417145971176E-2</v>
      </c>
      <c r="F118" s="90">
        <f t="shared" si="95"/>
        <v>-5.4681906129750962E-2</v>
      </c>
      <c r="G118" s="90">
        <f t="shared" ref="G118:L118" si="96">G45/G$24</f>
        <v>-4.6531388492483443E-2</v>
      </c>
      <c r="H118" s="90">
        <f t="shared" si="96"/>
        <v>-3.8582765280808402E-2</v>
      </c>
      <c r="I118" s="90">
        <f t="shared" si="96"/>
        <v>-3.1257582700547314E-2</v>
      </c>
      <c r="J118" s="90">
        <f t="shared" si="96"/>
        <v>-2.496612595504679E-2</v>
      </c>
      <c r="K118" s="90">
        <f t="shared" si="96"/>
        <v>-1.9648465462223409E-2</v>
      </c>
      <c r="L118" s="90">
        <f t="shared" si="96"/>
        <v>-1.5343997396841917E-2</v>
      </c>
      <c r="N118" s="90"/>
    </row>
    <row r="119" spans="1:67" x14ac:dyDescent="0.25">
      <c r="A119" s="32" t="s">
        <v>147</v>
      </c>
      <c r="B119" s="90">
        <f t="shared" ref="B119:F119" si="97">B46/B$24</f>
        <v>0.23818411763070851</v>
      </c>
      <c r="C119" s="90">
        <f t="shared" si="97"/>
        <v>0.2037098572795247</v>
      </c>
      <c r="D119" s="90">
        <f t="shared" si="97"/>
        <v>0.12302546735282469</v>
      </c>
      <c r="E119" s="90">
        <f t="shared" si="97"/>
        <v>6.5088466482250432E-2</v>
      </c>
      <c r="F119" s="90">
        <f t="shared" si="97"/>
        <v>9.0123265450959958E-2</v>
      </c>
      <c r="G119" s="90">
        <f t="shared" ref="G119:L119" si="98">G46/G$24</f>
        <v>0.14584202815578803</v>
      </c>
      <c r="H119" s="90">
        <f t="shared" si="98"/>
        <v>0.19369429859104184</v>
      </c>
      <c r="I119" s="90">
        <f t="shared" si="98"/>
        <v>0.24223167873405679</v>
      </c>
      <c r="J119" s="90">
        <f t="shared" si="98"/>
        <v>0.28242932081974442</v>
      </c>
      <c r="K119" s="90">
        <f t="shared" si="98"/>
        <v>0.31962170974188114</v>
      </c>
      <c r="L119" s="90">
        <f t="shared" si="98"/>
        <v>0.34575208239939997</v>
      </c>
      <c r="N119" s="90"/>
    </row>
    <row r="120" spans="1:67" x14ac:dyDescent="0.25">
      <c r="A120" s="32" t="s">
        <v>148</v>
      </c>
      <c r="B120" s="90">
        <f t="shared" ref="B120:F120" si="99">B47/B$24</f>
        <v>-2.1027323011924286E-3</v>
      </c>
      <c r="C120" s="90">
        <f t="shared" si="99"/>
        <v>-1.2960613216750883E-3</v>
      </c>
      <c r="D120" s="90">
        <f t="shared" si="99"/>
        <v>1.020982271837616E-4</v>
      </c>
      <c r="E120" s="90">
        <f t="shared" si="99"/>
        <v>-7.801162177691164E-4</v>
      </c>
      <c r="F120" s="90">
        <f t="shared" si="99"/>
        <v>-2.5172744849563133E-3</v>
      </c>
      <c r="G120" s="90">
        <f t="shared" ref="G120:L120" si="100">G47/G$24</f>
        <v>-2.1420664583963692E-3</v>
      </c>
      <c r="H120" s="90">
        <f t="shared" si="100"/>
        <v>-1.7761526156381559E-3</v>
      </c>
      <c r="I120" s="90">
        <f t="shared" si="100"/>
        <v>-1.4389387818119566E-3</v>
      </c>
      <c r="J120" s="90">
        <f t="shared" si="100"/>
        <v>-1.1493123832538037E-3</v>
      </c>
      <c r="K120" s="90">
        <f t="shared" si="100"/>
        <v>-9.0451456939410091E-4</v>
      </c>
      <c r="L120" s="90">
        <f t="shared" si="100"/>
        <v>-7.063589380490046E-4</v>
      </c>
      <c r="N120" s="90"/>
    </row>
    <row r="121" spans="1:67" x14ac:dyDescent="0.25">
      <c r="A121" s="16" t="s">
        <v>86</v>
      </c>
      <c r="B121" s="90">
        <f t="shared" ref="B121:F121" si="101">B48/B$24</f>
        <v>0.6494760541457042</v>
      </c>
      <c r="C121" s="90">
        <f t="shared" si="101"/>
        <v>0.64270332848887057</v>
      </c>
      <c r="D121" s="90">
        <f t="shared" si="101"/>
        <v>0.70690712609420703</v>
      </c>
      <c r="E121" s="90">
        <f t="shared" si="101"/>
        <v>0.62068640749669768</v>
      </c>
      <c r="F121" s="90">
        <f t="shared" si="101"/>
        <v>0.44478897182013077</v>
      </c>
      <c r="G121" s="90">
        <f t="shared" ref="G121:L121" si="102">G48/G$24</f>
        <v>0.4476433481921801</v>
      </c>
      <c r="H121" s="90">
        <f t="shared" si="102"/>
        <v>0.44394106469137534</v>
      </c>
      <c r="I121" s="90">
        <f t="shared" si="102"/>
        <v>0.44496750987513167</v>
      </c>
      <c r="J121" s="90">
        <f t="shared" si="102"/>
        <v>0.44435893464687332</v>
      </c>
      <c r="K121" s="90">
        <f t="shared" si="102"/>
        <v>0.44706112226116135</v>
      </c>
      <c r="L121" s="90">
        <f t="shared" si="102"/>
        <v>0.51316357837437754</v>
      </c>
      <c r="N121" s="90"/>
    </row>
    <row r="122" spans="1:67" x14ac:dyDescent="0.25">
      <c r="A122" s="9" t="s">
        <v>87</v>
      </c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N122" s="90"/>
    </row>
    <row r="124" spans="1:67" s="6" customFormat="1" ht="48.6" customHeight="1" x14ac:dyDescent="0.25">
      <c r="A124" s="5" t="s">
        <v>141</v>
      </c>
      <c r="M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</row>
    <row r="125" spans="1:67" x14ac:dyDescent="0.25">
      <c r="A125" s="9" t="s">
        <v>50</v>
      </c>
    </row>
    <row r="126" spans="1:67" x14ac:dyDescent="0.25">
      <c r="A126" s="9" t="s">
        <v>51</v>
      </c>
    </row>
    <row r="127" spans="1:67" x14ac:dyDescent="0.25">
      <c r="A127" s="9" t="s">
        <v>52</v>
      </c>
      <c r="C127" s="90">
        <f>C7/B7-1</f>
        <v>-0.50709948435022978</v>
      </c>
      <c r="D127" s="90">
        <f t="shared" ref="D127:F127" si="103">D7/C7-1</f>
        <v>-9.7590711175616796E-2</v>
      </c>
      <c r="E127" s="90">
        <f t="shared" si="103"/>
        <v>1.2924086464230573</v>
      </c>
      <c r="F127" s="90">
        <f t="shared" si="103"/>
        <v>-7.4312719598577104E-3</v>
      </c>
      <c r="G127" s="90">
        <f t="shared" ref="G127:G144" si="104">G7/F7-1</f>
        <v>1.256581961650002</v>
      </c>
      <c r="H127" s="90">
        <f t="shared" ref="H127:H144" si="105">H7/G7-1</f>
        <v>0.31721824771596752</v>
      </c>
      <c r="I127" s="90">
        <f t="shared" ref="I127:I144" si="106">I7/H7-1</f>
        <v>0.42446975805488374</v>
      </c>
      <c r="J127" s="90">
        <f t="shared" ref="J127:J144" si="107">J7/I7-1</f>
        <v>0.36737826789020356</v>
      </c>
      <c r="K127" s="90">
        <f t="shared" ref="K127:K144" si="108">K7/J7-1</f>
        <v>0.51303599688768675</v>
      </c>
      <c r="L127" s="90">
        <f t="shared" ref="L127:L144" si="109">L7/K7-1</f>
        <v>0.45350738481545205</v>
      </c>
      <c r="N127" s="90"/>
    </row>
    <row r="128" spans="1:67" x14ac:dyDescent="0.25">
      <c r="A128" s="9" t="s">
        <v>53</v>
      </c>
      <c r="C128" s="90"/>
      <c r="D128" s="90">
        <f t="shared" ref="D128:F128" si="110">D8/C8-1</f>
        <v>1.2770172628182865</v>
      </c>
      <c r="E128" s="90">
        <f t="shared" si="110"/>
        <v>-0.96430723817723385</v>
      </c>
      <c r="F128" s="90">
        <f t="shared" si="110"/>
        <v>39.094348725017227</v>
      </c>
      <c r="G128" s="90">
        <f t="shared" si="104"/>
        <v>-0.20031431941292654</v>
      </c>
      <c r="H128" s="90">
        <f t="shared" si="105"/>
        <v>8.580765547420155E-2</v>
      </c>
      <c r="I128" s="90">
        <f t="shared" si="106"/>
        <v>4.2255594989678125E-2</v>
      </c>
      <c r="J128" s="90">
        <f t="shared" si="107"/>
        <v>0.30100652712182052</v>
      </c>
      <c r="K128" s="90">
        <f t="shared" si="108"/>
        <v>-2.5184928035413723E-2</v>
      </c>
      <c r="L128" s="90">
        <f t="shared" si="109"/>
        <v>3.9094079927203262E-2</v>
      </c>
      <c r="N128" s="90"/>
    </row>
    <row r="129" spans="1:14" x14ac:dyDescent="0.25">
      <c r="A129" s="9" t="s">
        <v>54</v>
      </c>
      <c r="C129" s="90"/>
      <c r="D129" s="90"/>
      <c r="E129" s="90"/>
      <c r="F129" s="90">
        <f t="shared" ref="F129" si="111">F9/E9-1</f>
        <v>-0.45635910224438903</v>
      </c>
      <c r="G129" s="90">
        <f t="shared" si="104"/>
        <v>0.30416812584201658</v>
      </c>
      <c r="H129" s="90">
        <f t="shared" si="105"/>
        <v>0.30296918656904159</v>
      </c>
      <c r="I129" s="90">
        <f t="shared" si="106"/>
        <v>0.30281949373709738</v>
      </c>
      <c r="J129" s="90">
        <f t="shared" si="107"/>
        <v>0.30100652712182097</v>
      </c>
      <c r="K129" s="90">
        <f t="shared" si="108"/>
        <v>0.29975342928611526</v>
      </c>
      <c r="L129" s="90">
        <f t="shared" si="109"/>
        <v>0.2988675999090038</v>
      </c>
      <c r="N129" s="90"/>
    </row>
    <row r="130" spans="1:14" x14ac:dyDescent="0.25">
      <c r="A130" s="9" t="s">
        <v>55</v>
      </c>
      <c r="C130" s="90">
        <f t="shared" ref="C130:F130" si="112">C10/B10-1</f>
        <v>0.1248209895925072</v>
      </c>
      <c r="D130" s="90">
        <f t="shared" si="112"/>
        <v>0.56048557306063529</v>
      </c>
      <c r="E130" s="90">
        <f t="shared" si="112"/>
        <v>0.39972774987892734</v>
      </c>
      <c r="F130" s="90">
        <f t="shared" si="112"/>
        <v>0.11648624302176613</v>
      </c>
      <c r="G130" s="90">
        <f t="shared" si="104"/>
        <v>0.1299928380949531</v>
      </c>
      <c r="H130" s="90">
        <f t="shared" si="105"/>
        <v>0.25304699551275656</v>
      </c>
      <c r="I130" s="90">
        <f t="shared" si="106"/>
        <v>0.25091433462406543</v>
      </c>
      <c r="J130" s="90">
        <f t="shared" si="107"/>
        <v>0.24702285379726385</v>
      </c>
      <c r="K130" s="90">
        <f t="shared" si="108"/>
        <v>0.24348704706593693</v>
      </c>
      <c r="L130" s="90">
        <f t="shared" si="109"/>
        <v>0.24009531032036135</v>
      </c>
      <c r="N130" s="90"/>
    </row>
    <row r="131" spans="1:14" x14ac:dyDescent="0.25">
      <c r="A131" s="9" t="s">
        <v>56</v>
      </c>
      <c r="C131" s="90">
        <f t="shared" ref="C131:F131" si="113">C11/B11-1</f>
        <v>1.7293696275071633</v>
      </c>
      <c r="D131" s="90">
        <f t="shared" si="113"/>
        <v>0.67825835914125232</v>
      </c>
      <c r="E131" s="90">
        <f t="shared" si="113"/>
        <v>1.8215028540151694</v>
      </c>
      <c r="F131" s="90">
        <f t="shared" si="113"/>
        <v>9.134745955293444E-2</v>
      </c>
      <c r="G131" s="90">
        <f t="shared" si="104"/>
        <v>0.1813804296285999</v>
      </c>
      <c r="H131" s="90">
        <f t="shared" si="105"/>
        <v>0.2161045741311054</v>
      </c>
      <c r="I131" s="90">
        <f t="shared" si="106"/>
        <v>0.20976095847016163</v>
      </c>
      <c r="J131" s="90">
        <f t="shared" si="107"/>
        <v>0.20092910195860392</v>
      </c>
      <c r="K131" s="90">
        <f t="shared" si="108"/>
        <v>0.19144064351227219</v>
      </c>
      <c r="L131" s="90">
        <f t="shared" si="109"/>
        <v>0.18078872719000372</v>
      </c>
      <c r="N131" s="90"/>
    </row>
    <row r="132" spans="1:14" x14ac:dyDescent="0.25">
      <c r="A132" s="9" t="s">
        <v>57</v>
      </c>
      <c r="C132" s="90">
        <f t="shared" ref="C132:F132" si="114">C12/B12-1</f>
        <v>0.15051979978082519</v>
      </c>
      <c r="D132" s="90">
        <f t="shared" si="114"/>
        <v>1.3158192817608443</v>
      </c>
      <c r="E132" s="90">
        <f t="shared" si="114"/>
        <v>0.20820827497276517</v>
      </c>
      <c r="F132" s="90">
        <f t="shared" si="114"/>
        <v>0.86286434564993386</v>
      </c>
      <c r="G132" s="90">
        <f t="shared" si="104"/>
        <v>0.24079726431493409</v>
      </c>
      <c r="H132" s="90">
        <f t="shared" si="105"/>
        <v>0.24505944494375087</v>
      </c>
      <c r="I132" s="90">
        <f t="shared" si="106"/>
        <v>0.22497013768368546</v>
      </c>
      <c r="J132" s="90">
        <f t="shared" si="107"/>
        <v>0.11061532803082286</v>
      </c>
      <c r="K132" s="90">
        <f t="shared" si="108"/>
        <v>9.8383179678406929E-2</v>
      </c>
      <c r="L132" s="90">
        <f t="shared" si="109"/>
        <v>8.2389666590836574E-2</v>
      </c>
      <c r="N132" s="90"/>
    </row>
    <row r="133" spans="1:14" x14ac:dyDescent="0.25">
      <c r="A133" s="16" t="s">
        <v>58</v>
      </c>
      <c r="C133" s="90">
        <f t="shared" ref="C133:F133" si="115">C13/B13-1</f>
        <v>0.14724754039024712</v>
      </c>
      <c r="D133" s="90">
        <f t="shared" si="115"/>
        <v>5.7850054494349878E-2</v>
      </c>
      <c r="E133" s="90">
        <f t="shared" si="115"/>
        <v>0.53295556218311968</v>
      </c>
      <c r="F133" s="90">
        <f t="shared" si="115"/>
        <v>0.29151043509020158</v>
      </c>
      <c r="G133" s="90">
        <f t="shared" si="104"/>
        <v>3.9284767848003721E-2</v>
      </c>
      <c r="H133" s="90">
        <f t="shared" si="105"/>
        <v>0.28993949470335134</v>
      </c>
      <c r="I133" s="90">
        <f t="shared" si="106"/>
        <v>0.23702052940694096</v>
      </c>
      <c r="J133" s="90">
        <f t="shared" si="107"/>
        <v>0.28716603215243963</v>
      </c>
      <c r="K133" s="90">
        <f t="shared" si="108"/>
        <v>0.25782589930914379</v>
      </c>
      <c r="L133" s="90">
        <f t="shared" si="109"/>
        <v>0.28443573768779262</v>
      </c>
      <c r="N133" s="90"/>
    </row>
    <row r="134" spans="1:14" x14ac:dyDescent="0.25">
      <c r="A134" s="9" t="s">
        <v>59</v>
      </c>
      <c r="C134" s="90">
        <f t="shared" ref="C134:F134" si="116">C14/B14-1</f>
        <v>9.1945785668855473E-2</v>
      </c>
      <c r="D134" s="90">
        <f t="shared" si="116"/>
        <v>0.61114401739201774</v>
      </c>
      <c r="E134" s="90">
        <f t="shared" si="116"/>
        <v>0.12988211236394442</v>
      </c>
      <c r="F134" s="90">
        <f t="shared" si="116"/>
        <v>0.62712417417011412</v>
      </c>
      <c r="G134" s="90">
        <f t="shared" si="104"/>
        <v>0.26241456980287192</v>
      </c>
      <c r="H134" s="90">
        <f t="shared" si="105"/>
        <v>0.23907843655999361</v>
      </c>
      <c r="I134" s="90">
        <f t="shared" si="106"/>
        <v>0.27194835885056023</v>
      </c>
      <c r="J134" s="90">
        <f t="shared" si="107"/>
        <v>0.28883167915880326</v>
      </c>
      <c r="K134" s="90">
        <f t="shared" si="108"/>
        <v>0.30686167162729006</v>
      </c>
      <c r="L134" s="90">
        <f t="shared" si="109"/>
        <v>0.31308333796540633</v>
      </c>
      <c r="N134" s="90"/>
    </row>
    <row r="135" spans="1:14" x14ac:dyDescent="0.25">
      <c r="A135" s="9" t="s">
        <v>60</v>
      </c>
      <c r="C135" s="90">
        <f t="shared" ref="C135:F135" si="117">C15/B15-1</f>
        <v>0.1550946085028897</v>
      </c>
      <c r="D135" s="90">
        <f t="shared" si="117"/>
        <v>1.4101896275988119</v>
      </c>
      <c r="E135" s="90">
        <f t="shared" si="117"/>
        <v>0.31246326805315938</v>
      </c>
      <c r="F135" s="90">
        <f t="shared" si="117"/>
        <v>0.22668409686761959</v>
      </c>
      <c r="G135" s="90">
        <f t="shared" si="104"/>
        <v>0.21378397090630741</v>
      </c>
      <c r="H135" s="90">
        <f t="shared" si="105"/>
        <v>0.18863678211980894</v>
      </c>
      <c r="I135" s="90">
        <f t="shared" si="106"/>
        <v>0.16390075072609211</v>
      </c>
      <c r="J135" s="90">
        <f t="shared" si="107"/>
        <v>0.1384530733387781</v>
      </c>
      <c r="K135" s="90">
        <f t="shared" si="108"/>
        <v>0.1111225778742484</v>
      </c>
      <c r="L135" s="90">
        <f t="shared" si="109"/>
        <v>8.0444064435337026E-2</v>
      </c>
      <c r="N135" s="90"/>
    </row>
    <row r="136" spans="1:14" x14ac:dyDescent="0.25">
      <c r="A136" s="9" t="s">
        <v>61</v>
      </c>
      <c r="C136" s="90">
        <f t="shared" ref="C136:F136" si="118">C16/B16-1</f>
        <v>0.43112627280715365</v>
      </c>
      <c r="D136" s="90">
        <f t="shared" si="118"/>
        <v>0.65306269864201094</v>
      </c>
      <c r="E136" s="90">
        <f t="shared" si="118"/>
        <v>1.7789600174786977</v>
      </c>
      <c r="F136" s="90">
        <f t="shared" si="118"/>
        <v>0.23329114023570474</v>
      </c>
      <c r="G136" s="90">
        <f t="shared" si="104"/>
        <v>0</v>
      </c>
      <c r="H136" s="90">
        <f t="shared" si="105"/>
        <v>0</v>
      </c>
      <c r="I136" s="90">
        <f t="shared" si="106"/>
        <v>0</v>
      </c>
      <c r="J136" s="90">
        <f t="shared" si="107"/>
        <v>0</v>
      </c>
      <c r="K136" s="90">
        <f t="shared" si="108"/>
        <v>0</v>
      </c>
      <c r="L136" s="90">
        <f t="shared" si="109"/>
        <v>0</v>
      </c>
      <c r="N136" s="90"/>
    </row>
    <row r="137" spans="1:14" x14ac:dyDescent="0.25">
      <c r="A137" s="9" t="s">
        <v>62</v>
      </c>
      <c r="C137" s="90">
        <f t="shared" ref="C137:F137" si="119">C17/B17-1</f>
        <v>-0.19855663633511134</v>
      </c>
      <c r="D137" s="90">
        <f t="shared" si="119"/>
        <v>-0.26019888810586489</v>
      </c>
      <c r="E137" s="90">
        <f t="shared" si="119"/>
        <v>0.63738357324301442</v>
      </c>
      <c r="F137" s="90">
        <f t="shared" si="119"/>
        <v>-0.21409179056237881</v>
      </c>
      <c r="G137" s="90">
        <f t="shared" si="104"/>
        <v>-9.6288435948847173E-2</v>
      </c>
      <c r="H137" s="90">
        <f t="shared" si="105"/>
        <v>-0.12982393745512866</v>
      </c>
      <c r="I137" s="90">
        <f t="shared" si="106"/>
        <v>-0.17872956368208537</v>
      </c>
      <c r="J137" s="90">
        <f t="shared" si="107"/>
        <v>-0.25727680912250761</v>
      </c>
      <c r="K137" s="90">
        <f t="shared" si="108"/>
        <v>-0.40516919214478675</v>
      </c>
      <c r="L137" s="90">
        <f t="shared" si="109"/>
        <v>-0.78977840312366798</v>
      </c>
      <c r="N137" s="90"/>
    </row>
    <row r="138" spans="1:14" x14ac:dyDescent="0.25">
      <c r="A138" s="9" t="s">
        <v>63</v>
      </c>
      <c r="C138" s="90">
        <f t="shared" ref="C138:F138" si="120">C18/B18-1</f>
        <v>1.2809735398902067E-3</v>
      </c>
      <c r="D138" s="90">
        <f t="shared" si="120"/>
        <v>7.6760084755926883E-3</v>
      </c>
      <c r="E138" s="90">
        <f t="shared" si="120"/>
        <v>0.72949811545328314</v>
      </c>
      <c r="F138" s="90">
        <f t="shared" si="120"/>
        <v>3.1909524683428225E-2</v>
      </c>
      <c r="G138" s="90">
        <f t="shared" si="104"/>
        <v>0</v>
      </c>
      <c r="H138" s="90">
        <f t="shared" si="105"/>
        <v>0</v>
      </c>
      <c r="I138" s="90">
        <f t="shared" si="106"/>
        <v>0</v>
      </c>
      <c r="J138" s="90">
        <f t="shared" si="107"/>
        <v>0</v>
      </c>
      <c r="K138" s="90">
        <f t="shared" si="108"/>
        <v>0</v>
      </c>
      <c r="L138" s="90">
        <f t="shared" si="109"/>
        <v>0</v>
      </c>
      <c r="N138" s="90"/>
    </row>
    <row r="139" spans="1:14" x14ac:dyDescent="0.25">
      <c r="A139" s="9" t="s">
        <v>64</v>
      </c>
      <c r="C139" s="90"/>
      <c r="D139" s="90">
        <f t="shared" ref="D139:F139" si="121">D19/C19-1</f>
        <v>0.99303281390799802</v>
      </c>
      <c r="E139" s="90">
        <f t="shared" si="121"/>
        <v>-0.65558385990450041</v>
      </c>
      <c r="F139" s="90">
        <f t="shared" si="121"/>
        <v>4.0015048668032787</v>
      </c>
      <c r="G139" s="90">
        <f t="shared" si="104"/>
        <v>-4.1199412092687071E-2</v>
      </c>
      <c r="H139" s="90">
        <f t="shared" si="105"/>
        <v>0.30296918656904159</v>
      </c>
      <c r="I139" s="90">
        <f t="shared" si="106"/>
        <v>0.30281949373709738</v>
      </c>
      <c r="J139" s="90">
        <f t="shared" si="107"/>
        <v>0.30100652712182097</v>
      </c>
      <c r="K139" s="90">
        <f t="shared" si="108"/>
        <v>0.29975342928611526</v>
      </c>
      <c r="L139" s="90">
        <f t="shared" si="109"/>
        <v>0.2988675999090038</v>
      </c>
      <c r="N139" s="90"/>
    </row>
    <row r="140" spans="1:14" x14ac:dyDescent="0.25">
      <c r="A140" s="9" t="s">
        <v>65</v>
      </c>
      <c r="C140" s="90">
        <f t="shared" ref="C140:F140" si="122">C20/B20-1</f>
        <v>-0.21456624409644542</v>
      </c>
      <c r="D140" s="90">
        <f t="shared" si="122"/>
        <v>-0.28929046142160897</v>
      </c>
      <c r="E140" s="90">
        <f t="shared" si="122"/>
        <v>-0.49877543750278308</v>
      </c>
      <c r="F140" s="90">
        <f t="shared" si="122"/>
        <v>-0.53713574982231704</v>
      </c>
      <c r="G140" s="90">
        <f t="shared" si="104"/>
        <v>0.30324300265549842</v>
      </c>
      <c r="H140" s="90">
        <f t="shared" si="105"/>
        <v>0.30296918656904182</v>
      </c>
      <c r="I140" s="90">
        <f t="shared" si="106"/>
        <v>0.30281949373709738</v>
      </c>
      <c r="J140" s="90">
        <f t="shared" si="107"/>
        <v>0.30100652712182074</v>
      </c>
      <c r="K140" s="90">
        <f t="shared" si="108"/>
        <v>0.29975342928611526</v>
      </c>
      <c r="L140" s="90">
        <f t="shared" si="109"/>
        <v>0.29886759990900402</v>
      </c>
      <c r="N140" s="90"/>
    </row>
    <row r="141" spans="1:14" x14ac:dyDescent="0.25">
      <c r="A141" s="9" t="s">
        <v>66</v>
      </c>
      <c r="C141" s="90"/>
      <c r="D141" s="90">
        <f t="shared" ref="D141:F141" si="123">D21/C21-1</f>
        <v>1.084093737038573</v>
      </c>
      <c r="E141" s="90">
        <f t="shared" si="123"/>
        <v>0.4803224040997065</v>
      </c>
      <c r="F141" s="90">
        <f t="shared" si="123"/>
        <v>0.51816623533761308</v>
      </c>
      <c r="G141" s="90">
        <f t="shared" si="104"/>
        <v>3.0831204725521033E-2</v>
      </c>
      <c r="H141" s="90">
        <f t="shared" si="105"/>
        <v>0.30296918656904159</v>
      </c>
      <c r="I141" s="90">
        <f t="shared" si="106"/>
        <v>0.30281949373709738</v>
      </c>
      <c r="J141" s="90">
        <f t="shared" si="107"/>
        <v>0.30100652712182074</v>
      </c>
      <c r="K141" s="90">
        <f t="shared" si="108"/>
        <v>0.29975342928611526</v>
      </c>
      <c r="L141" s="90">
        <f t="shared" si="109"/>
        <v>0.2988675999090038</v>
      </c>
      <c r="N141" s="90"/>
    </row>
    <row r="142" spans="1:14" x14ac:dyDescent="0.25">
      <c r="A142" s="9" t="s">
        <v>67</v>
      </c>
      <c r="C142" s="90"/>
      <c r="D142" s="90"/>
      <c r="E142" s="90"/>
      <c r="F142" s="90">
        <f t="shared" ref="F142" si="124">F22/E22-1</f>
        <v>2.5508022030651341</v>
      </c>
      <c r="G142" s="90">
        <f t="shared" si="104"/>
        <v>0</v>
      </c>
      <c r="H142" s="90">
        <f t="shared" si="105"/>
        <v>0</v>
      </c>
      <c r="I142" s="90">
        <f t="shared" si="106"/>
        <v>0</v>
      </c>
      <c r="J142" s="90">
        <f t="shared" si="107"/>
        <v>0</v>
      </c>
      <c r="K142" s="90">
        <f t="shared" si="108"/>
        <v>0</v>
      </c>
      <c r="L142" s="90">
        <f t="shared" si="109"/>
        <v>0</v>
      </c>
      <c r="N142" s="90"/>
    </row>
    <row r="143" spans="1:14" x14ac:dyDescent="0.25">
      <c r="A143" s="72" t="s">
        <v>68</v>
      </c>
      <c r="C143" s="90">
        <f t="shared" ref="C143:F143" si="125">C23/B23-1</f>
        <v>0.74707595982434016</v>
      </c>
      <c r="D143" s="90">
        <f t="shared" si="125"/>
        <v>0.98892511385978454</v>
      </c>
      <c r="E143" s="90">
        <f t="shared" si="125"/>
        <v>0.22936296407522816</v>
      </c>
      <c r="F143" s="90">
        <f t="shared" si="125"/>
        <v>0.62463993811515883</v>
      </c>
      <c r="G143" s="90">
        <f t="shared" si="104"/>
        <v>-3.6741663968879124E-2</v>
      </c>
      <c r="H143" s="90">
        <f t="shared" si="105"/>
        <v>0.30296918656904182</v>
      </c>
      <c r="I143" s="90">
        <f t="shared" si="106"/>
        <v>0.30281949373709738</v>
      </c>
      <c r="J143" s="90">
        <f t="shared" si="107"/>
        <v>0.30100652712182074</v>
      </c>
      <c r="K143" s="90">
        <f t="shared" si="108"/>
        <v>0.29975342928611504</v>
      </c>
      <c r="L143" s="90">
        <f t="shared" si="109"/>
        <v>0.2988675999090038</v>
      </c>
      <c r="N143" s="90"/>
    </row>
    <row r="144" spans="1:14" x14ac:dyDescent="0.25">
      <c r="A144" s="25" t="s">
        <v>69</v>
      </c>
      <c r="C144" s="90">
        <f t="shared" ref="C144:F144" si="126">C24/B24-1</f>
        <v>0.1752494649359313</v>
      </c>
      <c r="D144" s="90">
        <f t="shared" si="126"/>
        <v>0.63311176518585355</v>
      </c>
      <c r="E144" s="90">
        <f t="shared" si="126"/>
        <v>0.22243438378651192</v>
      </c>
      <c r="F144" s="90">
        <f t="shared" si="126"/>
        <v>0.68930050171483415</v>
      </c>
      <c r="G144" s="90">
        <f t="shared" si="104"/>
        <v>0.17516171129482072</v>
      </c>
      <c r="H144" s="90">
        <f t="shared" si="105"/>
        <v>0.20601486580405348</v>
      </c>
      <c r="I144" s="90">
        <f t="shared" si="106"/>
        <v>0.23434897862824244</v>
      </c>
      <c r="J144" s="90">
        <f t="shared" si="107"/>
        <v>0.25199971981350733</v>
      </c>
      <c r="K144" s="90">
        <f t="shared" si="108"/>
        <v>0.27063998982756376</v>
      </c>
      <c r="L144" s="90">
        <f t="shared" si="109"/>
        <v>0.28053107375183939</v>
      </c>
      <c r="N144" s="90"/>
    </row>
    <row r="145" spans="1:14" x14ac:dyDescent="0.25">
      <c r="A145" s="25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N145" s="90"/>
    </row>
    <row r="146" spans="1:14" x14ac:dyDescent="0.25">
      <c r="A146" s="9" t="s">
        <v>70</v>
      </c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N146" s="90"/>
    </row>
    <row r="147" spans="1:14" x14ac:dyDescent="0.25">
      <c r="A147" s="9" t="s">
        <v>71</v>
      </c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N147" s="90"/>
    </row>
    <row r="148" spans="1:14" x14ac:dyDescent="0.25">
      <c r="A148" s="9" t="s">
        <v>72</v>
      </c>
      <c r="C148" s="90">
        <f t="shared" ref="C148:F148" si="127">C28/B28-1</f>
        <v>0.70627802690582953</v>
      </c>
      <c r="D148" s="90">
        <f t="shared" si="127"/>
        <v>-6.693978511246812E-2</v>
      </c>
      <c r="E148" s="90">
        <f t="shared" si="127"/>
        <v>0.33460359539391926</v>
      </c>
      <c r="F148" s="90">
        <f t="shared" si="127"/>
        <v>0.85965238981998748</v>
      </c>
      <c r="G148" s="90">
        <f t="shared" ref="G148:G156" si="128">G28/F28-1</f>
        <v>0.21023723642545522</v>
      </c>
      <c r="H148" s="90">
        <f t="shared" ref="H148:H156" si="129">H28/G28-1</f>
        <v>0.40328224389017064</v>
      </c>
      <c r="I148" s="90">
        <f t="shared" ref="I148:I156" si="130">I28/H28-1</f>
        <v>0.37656280394233899</v>
      </c>
      <c r="J148" s="90">
        <f t="shared" ref="J148:J156" si="131">J28/I28-1</f>
        <v>0.38780378049524966</v>
      </c>
      <c r="K148" s="90">
        <f t="shared" ref="K148:K156" si="132">K28/J28-1</f>
        <v>0.36159243904041527</v>
      </c>
      <c r="L148" s="90">
        <f t="shared" ref="L148:L156" si="133">L28/K28-1</f>
        <v>0.37532091682555713</v>
      </c>
      <c r="N148" s="90"/>
    </row>
    <row r="149" spans="1:14" x14ac:dyDescent="0.25">
      <c r="A149" s="9" t="s">
        <v>73</v>
      </c>
      <c r="C149" s="90">
        <f t="shared" ref="C149:F149" si="134">C29/B29-1</f>
        <v>9.5128005451182718E-2</v>
      </c>
      <c r="D149" s="90">
        <f t="shared" si="134"/>
        <v>0.32981489300237765</v>
      </c>
      <c r="E149" s="90">
        <f t="shared" si="134"/>
        <v>0.73298464314957479</v>
      </c>
      <c r="F149" s="90">
        <f t="shared" si="134"/>
        <v>0.50360149266684018</v>
      </c>
      <c r="G149" s="90">
        <f t="shared" si="128"/>
        <v>0.28184173659236644</v>
      </c>
      <c r="H149" s="90">
        <f t="shared" si="129"/>
        <v>0.37575387961951634</v>
      </c>
      <c r="I149" s="90">
        <f t="shared" si="130"/>
        <v>0.35269354828489496</v>
      </c>
      <c r="J149" s="90">
        <f t="shared" si="131"/>
        <v>0.36637817998618605</v>
      </c>
      <c r="K149" s="90">
        <f t="shared" si="132"/>
        <v>0.3427553340911087</v>
      </c>
      <c r="L149" s="90">
        <f t="shared" si="133"/>
        <v>0.35817203976982248</v>
      </c>
      <c r="N149" s="90"/>
    </row>
    <row r="150" spans="1:14" x14ac:dyDescent="0.25">
      <c r="A150" s="9" t="s">
        <v>74</v>
      </c>
      <c r="C150" s="90">
        <f t="shared" ref="C150:F150" si="135">C30/B30-1</f>
        <v>0.10136801973536658</v>
      </c>
      <c r="D150" s="90">
        <f t="shared" si="135"/>
        <v>0.3910863367949502</v>
      </c>
      <c r="E150" s="90">
        <f t="shared" si="135"/>
        <v>0.61986228264383159</v>
      </c>
      <c r="F150" s="90">
        <f t="shared" si="135"/>
        <v>0.35560692945167571</v>
      </c>
      <c r="G150" s="90">
        <f t="shared" si="128"/>
        <v>0.30324300265549842</v>
      </c>
      <c r="H150" s="90">
        <f t="shared" si="129"/>
        <v>0.32450098245418713</v>
      </c>
      <c r="I150" s="90">
        <f t="shared" si="130"/>
        <v>0.32399882375341638</v>
      </c>
      <c r="J150" s="90">
        <f t="shared" si="131"/>
        <v>0.32181806116320599</v>
      </c>
      <c r="K150" s="90">
        <f t="shared" si="132"/>
        <v>0.32021756390021694</v>
      </c>
      <c r="L150" s="90">
        <f t="shared" si="133"/>
        <v>0.31900079775247869</v>
      </c>
      <c r="N150" s="90"/>
    </row>
    <row r="151" spans="1:14" x14ac:dyDescent="0.25">
      <c r="A151" s="9" t="s">
        <v>75</v>
      </c>
      <c r="C151" s="90">
        <f t="shared" ref="C151:F151" si="136">C31/B31-1</f>
        <v>0.10066617320503335</v>
      </c>
      <c r="D151" s="90">
        <f t="shared" si="136"/>
        <v>-6.0524546065904294E-3</v>
      </c>
      <c r="E151" s="90">
        <f t="shared" si="136"/>
        <v>2.5395805142083896</v>
      </c>
      <c r="F151" s="90">
        <f t="shared" si="136"/>
        <v>0.94963203670075513</v>
      </c>
      <c r="G151" s="90">
        <f t="shared" si="128"/>
        <v>0.4444195688481074</v>
      </c>
      <c r="H151" s="90">
        <f t="shared" si="129"/>
        <v>0.44012383778683528</v>
      </c>
      <c r="I151" s="90">
        <f t="shared" si="130"/>
        <v>0.42689754075967823</v>
      </c>
      <c r="J151" s="90">
        <f t="shared" si="131"/>
        <v>0.41413752948023985</v>
      </c>
      <c r="K151" s="90">
        <f t="shared" si="132"/>
        <v>0.40373370362900474</v>
      </c>
      <c r="L151" s="90">
        <f t="shared" si="133"/>
        <v>0.39508001471707832</v>
      </c>
      <c r="N151" s="90"/>
    </row>
    <row r="152" spans="1:14" x14ac:dyDescent="0.25">
      <c r="A152" s="16" t="s">
        <v>76</v>
      </c>
      <c r="C152" s="90">
        <f t="shared" ref="C152:F152" si="137">C32/B32-1</f>
        <v>103.13513513513513</v>
      </c>
      <c r="D152" s="90">
        <f t="shared" si="137"/>
        <v>0.40955099922138594</v>
      </c>
      <c r="E152" s="90">
        <f t="shared" si="137"/>
        <v>0.20419812189283748</v>
      </c>
      <c r="F152" s="90">
        <f t="shared" si="137"/>
        <v>-2.7828746177370078E-2</v>
      </c>
      <c r="G152" s="90">
        <f t="shared" si="128"/>
        <v>8.0224770650333621E-2</v>
      </c>
      <c r="H152" s="90">
        <f t="shared" si="129"/>
        <v>0.28993949470335134</v>
      </c>
      <c r="I152" s="90">
        <f t="shared" si="130"/>
        <v>0.23702052940694096</v>
      </c>
      <c r="J152" s="90">
        <f t="shared" si="131"/>
        <v>0.28716603215243963</v>
      </c>
      <c r="K152" s="90">
        <f t="shared" si="132"/>
        <v>0.25782589930914379</v>
      </c>
      <c r="L152" s="90">
        <f t="shared" si="133"/>
        <v>0.28443573768779284</v>
      </c>
      <c r="N152" s="90"/>
    </row>
    <row r="153" spans="1:14" x14ac:dyDescent="0.25">
      <c r="A153" s="9" t="s">
        <v>77</v>
      </c>
      <c r="C153" s="90">
        <f t="shared" ref="C153:F153" si="138">C33/B33-1</f>
        <v>0.17803037148140777</v>
      </c>
      <c r="D153" s="90">
        <f t="shared" si="138"/>
        <v>0.31071351870979624</v>
      </c>
      <c r="E153" s="90">
        <f t="shared" si="138"/>
        <v>0.63273657887653068</v>
      </c>
      <c r="F153" s="90">
        <f t="shared" si="138"/>
        <v>0.43994208175933824</v>
      </c>
      <c r="G153" s="90">
        <f t="shared" si="128"/>
        <v>0.29088418227241108</v>
      </c>
      <c r="H153" s="90">
        <f t="shared" si="129"/>
        <v>0.34908727742874435</v>
      </c>
      <c r="I153" s="90">
        <f t="shared" si="130"/>
        <v>0.34003982976072478</v>
      </c>
      <c r="J153" s="90">
        <f t="shared" si="131"/>
        <v>0.34388040747418724</v>
      </c>
      <c r="K153" s="90">
        <f t="shared" si="132"/>
        <v>0.33385179634871109</v>
      </c>
      <c r="L153" s="90">
        <f t="shared" si="133"/>
        <v>0.3389021010640767</v>
      </c>
      <c r="N153" s="90"/>
    </row>
    <row r="154" spans="1:14" x14ac:dyDescent="0.25">
      <c r="A154" s="9" t="s">
        <v>78</v>
      </c>
      <c r="C154" s="90">
        <f t="shared" ref="C154:F154" si="139">C34/B34-1</f>
        <v>0.18166547966190527</v>
      </c>
      <c r="D154" s="90">
        <f t="shared" si="139"/>
        <v>0.26480622270742349</v>
      </c>
      <c r="E154" s="90">
        <f t="shared" si="139"/>
        <v>0.66982251712790641</v>
      </c>
      <c r="F154" s="90">
        <f t="shared" si="139"/>
        <v>0.33535249110224474</v>
      </c>
      <c r="G154" s="90">
        <f t="shared" si="128"/>
        <v>0.30324300265549842</v>
      </c>
      <c r="H154" s="90">
        <f t="shared" si="129"/>
        <v>0.33422785358153839</v>
      </c>
      <c r="I154" s="90">
        <f t="shared" si="130"/>
        <v>0.33334231682372262</v>
      </c>
      <c r="J154" s="90">
        <f t="shared" si="131"/>
        <v>0.33078912050450304</v>
      </c>
      <c r="K154" s="90">
        <f t="shared" si="132"/>
        <v>0.32884145479349236</v>
      </c>
      <c r="L154" s="90">
        <f t="shared" si="133"/>
        <v>0.32729950481426595</v>
      </c>
      <c r="N154" s="90"/>
    </row>
    <row r="155" spans="1:14" x14ac:dyDescent="0.25">
      <c r="A155" s="9" t="s">
        <v>79</v>
      </c>
      <c r="C155" s="90">
        <f t="shared" ref="C155:F155" si="140">C35/B35-1</f>
        <v>0.34503334503334493</v>
      </c>
      <c r="D155" s="90">
        <f t="shared" si="140"/>
        <v>0.17510438413361173</v>
      </c>
      <c r="E155" s="90">
        <f t="shared" si="140"/>
        <v>-0.15678436597823675</v>
      </c>
      <c r="F155" s="90">
        <f t="shared" si="140"/>
        <v>1.8298656834342903</v>
      </c>
      <c r="G155" s="90">
        <f t="shared" si="128"/>
        <v>0.83759888320148912</v>
      </c>
      <c r="H155" s="90">
        <f t="shared" si="129"/>
        <v>0</v>
      </c>
      <c r="I155" s="90">
        <f t="shared" si="130"/>
        <v>0</v>
      </c>
      <c r="J155" s="90">
        <f t="shared" si="131"/>
        <v>0</v>
      </c>
      <c r="K155" s="90">
        <f t="shared" si="132"/>
        <v>0</v>
      </c>
      <c r="L155" s="90">
        <f t="shared" si="133"/>
        <v>0</v>
      </c>
      <c r="N155" s="90"/>
    </row>
    <row r="156" spans="1:14" x14ac:dyDescent="0.25">
      <c r="A156" s="9" t="s">
        <v>80</v>
      </c>
      <c r="C156" s="90">
        <f t="shared" ref="C156:F156" si="141">C36/B36-1</f>
        <v>0.21669242658423493</v>
      </c>
      <c r="D156" s="90">
        <f t="shared" si="141"/>
        <v>0.2022357723577235</v>
      </c>
      <c r="E156" s="90">
        <f t="shared" si="141"/>
        <v>0.20012679628064234</v>
      </c>
      <c r="F156" s="90">
        <f t="shared" si="141"/>
        <v>0.10670892762810347</v>
      </c>
      <c r="G156" s="90">
        <f t="shared" si="128"/>
        <v>0.19627504408327767</v>
      </c>
      <c r="H156" s="90">
        <f t="shared" si="129"/>
        <v>0.2599693857652019</v>
      </c>
      <c r="I156" s="90">
        <f t="shared" si="130"/>
        <v>0.17970998677026606</v>
      </c>
      <c r="J156" s="90">
        <f t="shared" si="131"/>
        <v>0.25503740660965146</v>
      </c>
      <c r="K156" s="90">
        <f t="shared" si="132"/>
        <v>0.21040824870454222</v>
      </c>
      <c r="L156" s="90">
        <f t="shared" si="133"/>
        <v>0.24948428391591926</v>
      </c>
      <c r="N156" s="90"/>
    </row>
    <row r="157" spans="1:14" x14ac:dyDescent="0.25">
      <c r="A157" s="9" t="s">
        <v>81</v>
      </c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N157" s="90"/>
    </row>
    <row r="158" spans="1:14" x14ac:dyDescent="0.25">
      <c r="A158" s="9" t="s">
        <v>82</v>
      </c>
      <c r="C158" s="90"/>
      <c r="D158" s="90">
        <f t="shared" ref="D158:F158" si="142">D38/C38-1</f>
        <v>0.83333333333333326</v>
      </c>
      <c r="E158" s="90">
        <f t="shared" si="142"/>
        <v>0.24961479198767345</v>
      </c>
      <c r="F158" s="90">
        <f t="shared" si="142"/>
        <v>-0.998766954377312</v>
      </c>
      <c r="G158" s="90">
        <f t="shared" ref="G158:G161" si="143">G38/F38-1</f>
        <v>30.405546130234928</v>
      </c>
      <c r="H158" s="90">
        <f t="shared" ref="H158:H161" si="144">H38/G38-1</f>
        <v>0.30296918656904182</v>
      </c>
      <c r="I158" s="90">
        <f t="shared" ref="I158:I161" si="145">I38/H38-1</f>
        <v>0.30281949373709738</v>
      </c>
      <c r="J158" s="90">
        <f t="shared" ref="J158:J161" si="146">J38/I38-1</f>
        <v>0.30100652712182074</v>
      </c>
      <c r="K158" s="90">
        <f t="shared" ref="K158:K161" si="147">K38/J38-1</f>
        <v>0.29975342928611526</v>
      </c>
      <c r="L158" s="90">
        <f t="shared" ref="L158:L161" si="148">L38/K38-1</f>
        <v>0.29886759990900402</v>
      </c>
      <c r="N158" s="90"/>
    </row>
    <row r="159" spans="1:14" x14ac:dyDescent="0.25">
      <c r="A159" s="9" t="s">
        <v>83</v>
      </c>
      <c r="C159" s="90"/>
      <c r="D159" s="90">
        <f t="shared" ref="D159:F159" si="149">D39/C39-1</f>
        <v>1.7903415783274439</v>
      </c>
      <c r="E159" s="90">
        <f t="shared" si="149"/>
        <v>7.8514140987758552E-2</v>
      </c>
      <c r="F159" s="90">
        <f t="shared" si="149"/>
        <v>0.8171722113502935</v>
      </c>
      <c r="G159" s="90">
        <f t="shared" si="143"/>
        <v>0.15120211462715383</v>
      </c>
      <c r="H159" s="90">
        <f t="shared" si="144"/>
        <v>0.30296918656904159</v>
      </c>
      <c r="I159" s="90">
        <f t="shared" si="145"/>
        <v>0.30281949373709716</v>
      </c>
      <c r="J159" s="90">
        <f t="shared" si="146"/>
        <v>0.30100652712182074</v>
      </c>
      <c r="K159" s="90">
        <f t="shared" si="147"/>
        <v>0.29975342928611526</v>
      </c>
      <c r="L159" s="90">
        <f t="shared" si="148"/>
        <v>0.29886759990900402</v>
      </c>
      <c r="N159" s="90"/>
    </row>
    <row r="160" spans="1:14" x14ac:dyDescent="0.25">
      <c r="A160" s="16" t="s">
        <v>84</v>
      </c>
      <c r="C160" s="90">
        <f t="shared" ref="C160:F160" si="150">C40/B40-1</f>
        <v>-0.34642356241234218</v>
      </c>
      <c r="D160" s="90">
        <f t="shared" si="150"/>
        <v>1.2475858369098711</v>
      </c>
      <c r="E160" s="90">
        <f t="shared" si="150"/>
        <v>-0.35648645423081515</v>
      </c>
      <c r="F160" s="90">
        <f t="shared" si="150"/>
        <v>-0.14447329376854601</v>
      </c>
      <c r="G160" s="90">
        <f t="shared" si="143"/>
        <v>0.30324300265549842</v>
      </c>
      <c r="H160" s="90">
        <f t="shared" si="144"/>
        <v>0.30296918656904182</v>
      </c>
      <c r="I160" s="90">
        <f t="shared" si="145"/>
        <v>0.30281949373709738</v>
      </c>
      <c r="J160" s="90">
        <f t="shared" si="146"/>
        <v>0.30100652712182097</v>
      </c>
      <c r="K160" s="90">
        <f t="shared" si="147"/>
        <v>0.29975342928611504</v>
      </c>
      <c r="L160" s="90">
        <f t="shared" si="148"/>
        <v>0.29886759990900402</v>
      </c>
      <c r="N160" s="90"/>
    </row>
    <row r="161" spans="1:14" x14ac:dyDescent="0.25">
      <c r="A161" s="9" t="s">
        <v>85</v>
      </c>
      <c r="C161" s="90">
        <f t="shared" ref="C161:F161" si="151">C41/B41-1</f>
        <v>0.19795730643575338</v>
      </c>
      <c r="D161" s="90">
        <f t="shared" si="151"/>
        <v>0.33965261597119256</v>
      </c>
      <c r="E161" s="90">
        <f t="shared" si="151"/>
        <v>0.5820445292117955</v>
      </c>
      <c r="F161" s="90">
        <f t="shared" si="151"/>
        <v>1.4726724456985982</v>
      </c>
      <c r="G161" s="90">
        <f t="shared" si="143"/>
        <v>0.16911949618028421</v>
      </c>
      <c r="H161" s="90">
        <f t="shared" si="144"/>
        <v>0.2140985429126665</v>
      </c>
      <c r="I161" s="90">
        <f t="shared" si="145"/>
        <v>0.23207056159852768</v>
      </c>
      <c r="J161" s="90">
        <f t="shared" si="146"/>
        <v>0.25337258863491718</v>
      </c>
      <c r="K161" s="90">
        <f t="shared" si="147"/>
        <v>0.26446070338107464</v>
      </c>
      <c r="L161" s="90">
        <f t="shared" si="148"/>
        <v>0.12744682438084443</v>
      </c>
      <c r="N161" s="90"/>
    </row>
    <row r="162" spans="1:14" x14ac:dyDescent="0.25">
      <c r="A162" s="9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N162" s="90"/>
    </row>
    <row r="163" spans="1:14" x14ac:dyDescent="0.25">
      <c r="A163" s="16" t="s">
        <v>86</v>
      </c>
      <c r="C163" s="90">
        <f t="shared" ref="C163:F163" si="152">C48/B48-1</f>
        <v>0.16299398276142463</v>
      </c>
      <c r="D163" s="90">
        <f t="shared" si="152"/>
        <v>0.7962538753806383</v>
      </c>
      <c r="E163" s="90">
        <f t="shared" si="152"/>
        <v>7.3335347834326159E-2</v>
      </c>
      <c r="F163" s="90">
        <f t="shared" si="152"/>
        <v>0.21056659881337869</v>
      </c>
      <c r="G163" s="90">
        <f t="shared" ref="G163:G164" si="153">G48/F48-1</f>
        <v>0.18270316136344666</v>
      </c>
      <c r="H163" s="90">
        <f t="shared" ref="H163:H164" si="154">H48/G48-1</f>
        <v>0.1960403873326908</v>
      </c>
      <c r="I163" s="90">
        <f t="shared" ref="I163:I164" si="155">I48/H48-1</f>
        <v>0.23720294205933046</v>
      </c>
      <c r="J163" s="90">
        <f t="shared" ref="J163:J164" si="156">J48/I48-1</f>
        <v>0.25028737902826959</v>
      </c>
      <c r="K163" s="90">
        <f t="shared" ref="K163:K164" si="157">K48/J48-1</f>
        <v>0.27836686865235816</v>
      </c>
      <c r="L163" s="90">
        <f t="shared" ref="L163:L164" si="158">L48/K48-1</f>
        <v>0.46987039423706478</v>
      </c>
      <c r="N163" s="90"/>
    </row>
    <row r="164" spans="1:14" x14ac:dyDescent="0.25">
      <c r="A164" s="9" t="s">
        <v>87</v>
      </c>
      <c r="C164" s="90">
        <f t="shared" ref="C164:F164" si="159">C49/B49-1</f>
        <v>0.1752494649359313</v>
      </c>
      <c r="D164" s="90">
        <f t="shared" si="159"/>
        <v>0.63311176518585355</v>
      </c>
      <c r="E164" s="90">
        <f t="shared" si="159"/>
        <v>0.22243438378651192</v>
      </c>
      <c r="F164" s="90">
        <f t="shared" si="159"/>
        <v>0.68930050171483415</v>
      </c>
      <c r="G164" s="90">
        <f t="shared" si="153"/>
        <v>0.17516136065065191</v>
      </c>
      <c r="H164" s="90">
        <f t="shared" si="154"/>
        <v>0.20601492727468584</v>
      </c>
      <c r="I164" s="90">
        <f t="shared" si="155"/>
        <v>0.234349036608414</v>
      </c>
      <c r="J164" s="90">
        <f t="shared" si="156"/>
        <v>0.25199977032364029</v>
      </c>
      <c r="K164" s="90">
        <f t="shared" si="157"/>
        <v>0.27064003315531693</v>
      </c>
      <c r="L164" s="90">
        <f t="shared" si="158"/>
        <v>0.28053110909721846</v>
      </c>
      <c r="N164" s="90"/>
    </row>
  </sheetData>
  <phoneticPr fontId="15" type="noConversion"/>
  <hyperlinks>
    <hyperlink ref="A1" location="Index!A1" display="Index" xr:uid="{628E0FCC-309A-4A0A-B661-9896530A98C6}"/>
  </hyperlinks>
  <pageMargins left="0.7" right="0.7" top="0.75" bottom="0.75" header="0.3" footer="0.3"/>
  <ignoredErrors>
    <ignoredError sqref="G46:L46 G17" formula="1"/>
  </ignoredError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38D5-0986-40D2-BDC3-76BC6B4EDEDF}">
  <dimension ref="A1:BJ166"/>
  <sheetViews>
    <sheetView workbookViewId="0">
      <pane xSplit="1" ySplit="2" topLeftCell="B52" activePane="bottomRight" state="frozen"/>
      <selection pane="topRight" activeCell="B1" sqref="B1"/>
      <selection pane="bottomLeft" activeCell="A2" sqref="A2"/>
      <selection pane="bottomRight" activeCell="G58" sqref="G58"/>
    </sheetView>
  </sheetViews>
  <sheetFormatPr defaultRowHeight="15" x14ac:dyDescent="0.25"/>
  <cols>
    <col min="1" max="1" width="39" bestFit="1" customWidth="1"/>
    <col min="2" max="2" width="12.42578125" bestFit="1" customWidth="1"/>
    <col min="3" max="6" width="10.5703125" bestFit="1" customWidth="1"/>
    <col min="7" max="7" width="14.28515625" bestFit="1" customWidth="1"/>
  </cols>
  <sheetData>
    <row r="1" spans="1:62" x14ac:dyDescent="0.25">
      <c r="A1" s="260" t="s">
        <v>332</v>
      </c>
    </row>
    <row r="2" spans="1:62" x14ac:dyDescent="0.25">
      <c r="A2" s="1" t="s">
        <v>0</v>
      </c>
      <c r="B2" s="2" t="s">
        <v>168</v>
      </c>
      <c r="C2" s="2" t="s">
        <v>169</v>
      </c>
      <c r="D2" s="2" t="s">
        <v>170</v>
      </c>
      <c r="E2" s="2" t="s">
        <v>171</v>
      </c>
      <c r="F2" s="2" t="s">
        <v>172</v>
      </c>
      <c r="G2" s="2" t="s">
        <v>173</v>
      </c>
    </row>
    <row r="3" spans="1:62" s="6" customFormat="1" ht="48.6" customHeight="1" x14ac:dyDescent="0.25">
      <c r="A3" s="5" t="s">
        <v>149</v>
      </c>
      <c r="H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25">
      <c r="A4" s="54" t="s">
        <v>235</v>
      </c>
      <c r="B4" s="12">
        <f>IS!G15</f>
        <v>235833.31586107993</v>
      </c>
      <c r="C4" s="12">
        <f>IS!H15</f>
        <v>298184.26093662303</v>
      </c>
      <c r="D4" s="12">
        <f>IS!I15</f>
        <v>429701.89632286597</v>
      </c>
      <c r="E4" s="12">
        <f>IS!J15</f>
        <v>559709.09526080149</v>
      </c>
      <c r="F4" s="12">
        <f>IS!K15</f>
        <v>772640.24945366336</v>
      </c>
      <c r="G4" s="12">
        <f>IS!L15</f>
        <v>977221.76959128852</v>
      </c>
    </row>
    <row r="5" spans="1:62" x14ac:dyDescent="0.25">
      <c r="A5" s="54" t="s">
        <v>49</v>
      </c>
      <c r="B5" s="12"/>
      <c r="C5" s="12"/>
      <c r="D5" s="12"/>
      <c r="E5" s="12"/>
      <c r="F5" s="12"/>
      <c r="G5" s="12"/>
    </row>
    <row r="6" spans="1:62" x14ac:dyDescent="0.25">
      <c r="A6" s="9" t="s">
        <v>50</v>
      </c>
      <c r="B6" s="12"/>
      <c r="C6" s="12"/>
      <c r="D6" s="12"/>
      <c r="E6" s="12"/>
      <c r="F6" s="12"/>
      <c r="G6" s="12"/>
    </row>
    <row r="7" spans="1:62" x14ac:dyDescent="0.25">
      <c r="A7" s="9" t="s">
        <v>51</v>
      </c>
      <c r="B7" s="12"/>
      <c r="C7" s="12"/>
      <c r="D7" s="12"/>
      <c r="E7" s="12"/>
      <c r="F7" s="12"/>
      <c r="G7" s="12"/>
    </row>
    <row r="8" spans="1:62" x14ac:dyDescent="0.25">
      <c r="A8" s="9" t="s">
        <v>52</v>
      </c>
      <c r="B8" s="130"/>
      <c r="C8" s="130"/>
      <c r="D8" s="130"/>
      <c r="E8" s="130"/>
      <c r="F8" s="130"/>
      <c r="G8" s="130"/>
    </row>
    <row r="9" spans="1:62" x14ac:dyDescent="0.25">
      <c r="A9" s="9" t="s">
        <v>53</v>
      </c>
      <c r="B9" s="12">
        <f>BS!F8-BS!G8</f>
        <v>116536.66129053885</v>
      </c>
      <c r="C9" s="12">
        <f>BS!G8-BS!H8</f>
        <v>-39920.496235438448</v>
      </c>
      <c r="D9" s="12">
        <f>BS!H8-BS!I8</f>
        <v>-21345.533601319359</v>
      </c>
      <c r="E9" s="12">
        <f>BS!I8-BS!J8</f>
        <v>-158479.44545140176</v>
      </c>
      <c r="F9" s="12">
        <f>BS!J8-BS!K8</f>
        <v>17251.116951385047</v>
      </c>
      <c r="G9" s="12">
        <f>BS!K8-BS!L8</f>
        <v>-26104.160863852943</v>
      </c>
    </row>
    <row r="10" spans="1:62" x14ac:dyDescent="0.25">
      <c r="A10" s="9" t="s">
        <v>54</v>
      </c>
      <c r="B10" s="12">
        <f>BS!F9-BS!G9</f>
        <v>-11935.557258040732</v>
      </c>
      <c r="C10" s="12">
        <f>BS!G9-BS!H9</f>
        <v>-15504.616954686018</v>
      </c>
      <c r="D10" s="12">
        <f>BS!H9-BS!I9</f>
        <v>-20192.056597399365</v>
      </c>
      <c r="E10" s="12">
        <f>BS!I9-BS!J9</f>
        <v>-26149.108499481314</v>
      </c>
      <c r="F10" s="12">
        <f>BS!J9-BS!K9</f>
        <v>-33878.534040564438</v>
      </c>
      <c r="G10" s="12">
        <f>BS!K9-BS!L9</f>
        <v>-43903.61257510251</v>
      </c>
    </row>
    <row r="11" spans="1:62" x14ac:dyDescent="0.25">
      <c r="A11" s="9" t="s">
        <v>55</v>
      </c>
      <c r="B11" s="12">
        <f>BS!F10-BS!G10</f>
        <v>-46562.134677231254</v>
      </c>
      <c r="C11" s="12">
        <f>BS!G10-BS!H10</f>
        <v>-102421.31160744798</v>
      </c>
      <c r="D11" s="12">
        <f>BS!H10-BS!I10</f>
        <v>-127257.08781351452</v>
      </c>
      <c r="E11" s="12">
        <f>BS!I10-BS!J10</f>
        <v>-156718.84106905817</v>
      </c>
      <c r="F11" s="12">
        <f>BS!J10-BS!K10</f>
        <v>-192634.62514753523</v>
      </c>
      <c r="G11" s="12">
        <f>BS!K10-BS!L10</f>
        <v>-236201.92484378524</v>
      </c>
    </row>
    <row r="12" spans="1:62" x14ac:dyDescent="0.25">
      <c r="A12" s="9" t="s">
        <v>56</v>
      </c>
      <c r="B12" s="12">
        <f>BS!F11-BS!G11</f>
        <v>-35714.169354730577</v>
      </c>
      <c r="C12" s="12">
        <f>BS!G11-BS!H11</f>
        <v>-50269.418214413163</v>
      </c>
      <c r="D12" s="12">
        <f>BS!H11-BS!I11</f>
        <v>-59338.351985898451</v>
      </c>
      <c r="E12" s="12">
        <f>BS!I11-BS!J11</f>
        <v>-68762.748843530193</v>
      </c>
      <c r="F12" s="12">
        <f>BS!J11-BS!K11</f>
        <v>-78679.55610200041</v>
      </c>
      <c r="G12" s="12">
        <f>BS!K11-BS!L11</f>
        <v>-88526.137091167737</v>
      </c>
    </row>
    <row r="13" spans="1:62" x14ac:dyDescent="0.25">
      <c r="A13" s="9" t="s">
        <v>57</v>
      </c>
      <c r="B13" s="12">
        <f>BS!F12-BS!G12</f>
        <v>-48754.46290310903</v>
      </c>
      <c r="C13" s="12">
        <f>BS!G12-BS!H12</f>
        <v>-61565.172494772763</v>
      </c>
      <c r="D13" s="12">
        <f>BS!H12-BS!I12</f>
        <v>-70368.552311628941</v>
      </c>
      <c r="E13" s="12">
        <f>BS!I12-BS!J12</f>
        <v>-42383.279236511153</v>
      </c>
      <c r="F13" s="12">
        <f>BS!J12-BS!K12</f>
        <v>-41866.220986343047</v>
      </c>
      <c r="G13" s="12">
        <f>BS!K12-BS!L12</f>
        <v>-38509.645960407972</v>
      </c>
    </row>
    <row r="14" spans="1:62" x14ac:dyDescent="0.25">
      <c r="A14" s="16" t="s">
        <v>58</v>
      </c>
      <c r="B14" s="18">
        <f>BS!F13-BS!G13</f>
        <v>-2868.6523177969357</v>
      </c>
      <c r="C14" s="18">
        <f>BS!G13-BS!H13</f>
        <v>-22003.697385729756</v>
      </c>
      <c r="D14" s="18">
        <f>BS!H13-BS!I13</f>
        <v>-23202.970592678103</v>
      </c>
      <c r="E14" s="18">
        <f>BS!I13-BS!J13</f>
        <v>-34775.036973754235</v>
      </c>
      <c r="F14" s="18">
        <f>BS!J13-BS!K13</f>
        <v>-40187.930690563342</v>
      </c>
      <c r="G14" s="18">
        <f>BS!K13-BS!L13</f>
        <v>-55766.552637332235</v>
      </c>
    </row>
    <row r="15" spans="1:62" x14ac:dyDescent="0.25">
      <c r="A15" s="9" t="s">
        <v>59</v>
      </c>
      <c r="B15" s="130"/>
      <c r="C15" s="130"/>
      <c r="D15" s="130"/>
      <c r="E15" s="130"/>
      <c r="F15" s="130"/>
      <c r="G15" s="130"/>
    </row>
    <row r="16" spans="1:62" x14ac:dyDescent="0.25">
      <c r="A16" s="77" t="s">
        <v>60</v>
      </c>
      <c r="B16" s="12">
        <f>BS!F15-BS!G15</f>
        <v>-36309.710970639979</v>
      </c>
      <c r="C16" s="12">
        <f>BS!G15-BS!H15</f>
        <v>-38887.984022776567</v>
      </c>
      <c r="D16" s="12">
        <f>BS!H15-BS!I15</f>
        <v>-40162.353867864353</v>
      </c>
      <c r="E16" s="12">
        <f>BS!I15-BS!J15</f>
        <v>-39487.23864043405</v>
      </c>
      <c r="F16" s="12">
        <f>BS!J15-BS!K15</f>
        <v>-36080.421757921402</v>
      </c>
      <c r="G16" s="12">
        <f>BS!K15-BS!L15</f>
        <v>-29021.862182064389</v>
      </c>
    </row>
    <row r="17" spans="1:7" x14ac:dyDescent="0.25">
      <c r="A17" s="77" t="s">
        <v>61</v>
      </c>
      <c r="B17" s="12">
        <f>BS!F16-BS!G16</f>
        <v>0</v>
      </c>
      <c r="C17" s="12">
        <f>BS!G16-BS!H16</f>
        <v>0</v>
      </c>
      <c r="D17" s="12">
        <f>BS!H16-BS!I16</f>
        <v>0</v>
      </c>
      <c r="E17" s="12">
        <f>BS!I16-BS!J16</f>
        <v>0</v>
      </c>
      <c r="F17" s="12">
        <f>BS!J16-BS!K16</f>
        <v>0</v>
      </c>
      <c r="G17" s="12">
        <f>BS!K16-BS!L16</f>
        <v>0</v>
      </c>
    </row>
    <row r="18" spans="1:7" x14ac:dyDescent="0.25">
      <c r="A18" s="77" t="s">
        <v>62</v>
      </c>
      <c r="B18" s="12">
        <f>BS!F17-BS!G17</f>
        <v>1170.6748042660838</v>
      </c>
      <c r="C18" s="12">
        <f>BS!G17-BS!H17</f>
        <v>1426.4178190101193</v>
      </c>
      <c r="D18" s="12">
        <f>BS!H17-BS!I17</f>
        <v>1708.8168038466756</v>
      </c>
      <c r="E18" s="12">
        <f>BS!I17-BS!J17</f>
        <v>2020.1608075307486</v>
      </c>
      <c r="F18" s="12">
        <f>BS!J17-BS!K17</f>
        <v>2362.9182716705254</v>
      </c>
      <c r="G18" s="12">
        <f>BS!K17-BS!L17</f>
        <v>2739.7503578929609</v>
      </c>
    </row>
    <row r="19" spans="1:7" x14ac:dyDescent="0.25">
      <c r="A19" s="9" t="s">
        <v>63</v>
      </c>
      <c r="B19" s="12">
        <f>BS!F18-BS!G18</f>
        <v>0</v>
      </c>
      <c r="C19" s="12">
        <f>BS!G18-BS!H18</f>
        <v>0</v>
      </c>
      <c r="D19" s="12">
        <f>BS!H18-BS!I18</f>
        <v>0</v>
      </c>
      <c r="E19" s="12">
        <f>BS!I18-BS!J18</f>
        <v>0</v>
      </c>
      <c r="F19" s="12">
        <f>BS!J18-BS!K18</f>
        <v>0</v>
      </c>
      <c r="G19" s="12">
        <f>BS!K18-BS!L18</f>
        <v>0</v>
      </c>
    </row>
    <row r="20" spans="1:7" x14ac:dyDescent="0.25">
      <c r="A20" s="9" t="s">
        <v>64</v>
      </c>
      <c r="B20" s="12">
        <f>BS!F19-BS!G19</f>
        <v>6435.6365647623606</v>
      </c>
      <c r="C20" s="12">
        <f>BS!G19-BS!H19</f>
        <v>-45376.10815131024</v>
      </c>
      <c r="D20" s="12">
        <f>BS!H19-BS!I19</f>
        <v>-59094.458549913019</v>
      </c>
      <c r="E20" s="12">
        <f>BS!I19-BS!J19</f>
        <v>-76528.480439124716</v>
      </c>
      <c r="F20" s="12">
        <f>BS!J19-BS!K19</f>
        <v>-99149.564876408083</v>
      </c>
      <c r="G20" s="12">
        <f>BS!K19-BS!L19</f>
        <v>-128489.15121627523</v>
      </c>
    </row>
    <row r="21" spans="1:7" x14ac:dyDescent="0.25">
      <c r="A21" s="9" t="s">
        <v>65</v>
      </c>
      <c r="B21" s="12">
        <f>BS!F20-BS!G20</f>
        <v>-1579.8960438351469</v>
      </c>
      <c r="C21" s="12">
        <f>BS!G20-BS!H20</f>
        <v>-2057.1292812890888</v>
      </c>
      <c r="D21" s="12">
        <f>BS!H20-BS!I20</f>
        <v>-2679.0517300334013</v>
      </c>
      <c r="E21" s="12">
        <f>BS!I20-BS!J20</f>
        <v>-3469.4244257115024</v>
      </c>
      <c r="F21" s="12">
        <f>BS!J20-BS!K20</f>
        <v>-4494.9529927555432</v>
      </c>
      <c r="G21" s="12">
        <f>BS!K20-BS!L20</f>
        <v>-5825.0653496679188</v>
      </c>
    </row>
    <row r="22" spans="1:7" x14ac:dyDescent="0.25">
      <c r="A22" s="9" t="s">
        <v>66</v>
      </c>
      <c r="B22" s="12">
        <f>BS!F21-BS!G21</f>
        <v>-1392.6455174517832</v>
      </c>
      <c r="C22" s="12">
        <f>BS!G21-BS!H21</f>
        <v>-14107.046836925001</v>
      </c>
      <c r="D22" s="12">
        <f>BS!H21-BS!I21</f>
        <v>-18371.965523937826</v>
      </c>
      <c r="E22" s="12">
        <f>BS!I21-BS!J21</f>
        <v>-23792.05493590259</v>
      </c>
      <c r="F22" s="12">
        <f>BS!J21-BS!K21</f>
        <v>-30824.758062285138</v>
      </c>
      <c r="G22" s="12">
        <f>BS!K21-BS!L21</f>
        <v>-39946.186398367747</v>
      </c>
    </row>
    <row r="23" spans="1:7" x14ac:dyDescent="0.25">
      <c r="A23" s="9" t="s">
        <v>67</v>
      </c>
      <c r="B23" s="12">
        <f>BS!F22-BS!G22</f>
        <v>0</v>
      </c>
      <c r="C23" s="12">
        <f>BS!G22-BS!H22</f>
        <v>0</v>
      </c>
      <c r="D23" s="12">
        <f>BS!H22-BS!I22</f>
        <v>0</v>
      </c>
      <c r="E23" s="12">
        <f>BS!I22-BS!J22</f>
        <v>0</v>
      </c>
      <c r="F23" s="12">
        <f>BS!J22-BS!K22</f>
        <v>0</v>
      </c>
      <c r="G23" s="12">
        <f>BS!K22-BS!L22</f>
        <v>0</v>
      </c>
    </row>
    <row r="24" spans="1:7" x14ac:dyDescent="0.25">
      <c r="A24" s="72" t="s">
        <v>68</v>
      </c>
      <c r="B24" s="18">
        <f>BS!F23-BS!G23</f>
        <v>5864.5574360566097</v>
      </c>
      <c r="C24" s="18">
        <f>BS!G23-BS!H23</f>
        <v>-46581.949487414677</v>
      </c>
      <c r="D24" s="18">
        <f>BS!H23-BS!I23</f>
        <v>-60664.856359627709</v>
      </c>
      <c r="E24" s="18">
        <f>BS!I23-BS!J23</f>
        <v>-78562.176339069119</v>
      </c>
      <c r="F24" s="18">
        <f>BS!J23-BS!K23</f>
        <v>-101784.4017686788</v>
      </c>
      <c r="G24" s="18">
        <f>BS!K23-BS!L23</f>
        <v>-131903.66903390962</v>
      </c>
    </row>
    <row r="25" spans="1:7" x14ac:dyDescent="0.25">
      <c r="A25" s="25" t="s">
        <v>69</v>
      </c>
      <c r="B25" s="130"/>
      <c r="C25" s="130"/>
      <c r="D25" s="130"/>
      <c r="E25" s="130"/>
      <c r="F25" s="130"/>
      <c r="G25" s="130"/>
    </row>
    <row r="26" spans="1:7" x14ac:dyDescent="0.25">
      <c r="A26" s="25"/>
      <c r="B26" s="27"/>
      <c r="C26" s="27"/>
      <c r="D26" s="27"/>
      <c r="E26" s="27"/>
      <c r="F26" s="27"/>
      <c r="G26" s="27"/>
    </row>
    <row r="27" spans="1:7" x14ac:dyDescent="0.25">
      <c r="A27" s="9" t="s">
        <v>70</v>
      </c>
      <c r="B27" s="12"/>
      <c r="C27" s="12"/>
      <c r="D27" s="12"/>
      <c r="E27" s="12"/>
      <c r="F27" s="12"/>
      <c r="G27" s="12"/>
    </row>
    <row r="28" spans="1:7" x14ac:dyDescent="0.25">
      <c r="A28" s="9" t="s">
        <v>71</v>
      </c>
      <c r="B28" s="12"/>
      <c r="C28" s="12"/>
      <c r="D28" s="12"/>
      <c r="E28" s="12"/>
      <c r="F28" s="12"/>
      <c r="G28" s="12"/>
    </row>
    <row r="29" spans="1:7" x14ac:dyDescent="0.25">
      <c r="A29" s="9" t="s">
        <v>72</v>
      </c>
      <c r="B29" s="12">
        <f>BS!G28-BS!F28</f>
        <v>12596.994732140432</v>
      </c>
      <c r="C29" s="12">
        <f>BS!H28-BS!G28</f>
        <v>29244.009791261502</v>
      </c>
      <c r="D29" s="12">
        <f>BS!I28-BS!H28</f>
        <v>38318.656069713383</v>
      </c>
      <c r="E29" s="12">
        <f>BS!J28-BS!I28</f>
        <v>54322.646340940584</v>
      </c>
      <c r="F29" s="12">
        <f>BS!K28-BS!J28</f>
        <v>70293.681134490616</v>
      </c>
      <c r="G29" s="12">
        <f>BS!L28-BS!K28</f>
        <v>99345.190280099981</v>
      </c>
    </row>
    <row r="30" spans="1:7" x14ac:dyDescent="0.25">
      <c r="A30" s="9" t="s">
        <v>73</v>
      </c>
      <c r="B30" s="12">
        <f>BS!G29-BS!F29</f>
        <v>43948.709353794053</v>
      </c>
      <c r="C30" s="12">
        <f>BS!H29-BS!G29</f>
        <v>75106.703508548322</v>
      </c>
      <c r="D30" s="12">
        <f>BS!I29-BS!H29</f>
        <v>96986.991763199447</v>
      </c>
      <c r="E30" s="12">
        <f>BS!J29-BS!I29</f>
        <v>136284.03812451113</v>
      </c>
      <c r="F30" s="12">
        <f>BS!K29-BS!J29</f>
        <v>174208.97786008922</v>
      </c>
      <c r="G30" s="12">
        <f>BS!L29-BS!K29</f>
        <v>244441.46446046361</v>
      </c>
    </row>
    <row r="31" spans="1:7" x14ac:dyDescent="0.25">
      <c r="A31" s="9" t="s">
        <v>74</v>
      </c>
      <c r="B31" s="12">
        <f>BS!G30-BS!F30</f>
        <v>109178.70094707771</v>
      </c>
      <c r="C31" s="12">
        <f>BS!H30-BS!G30</f>
        <v>152260.95594025683</v>
      </c>
      <c r="D31" s="12">
        <f>BS!I30-BS!H30</f>
        <v>201357.70582170191</v>
      </c>
      <c r="E31" s="12">
        <f>BS!J30-BS!I30</f>
        <v>264802.95926548436</v>
      </c>
      <c r="F31" s="12">
        <f>BS!K30-BS!J30</f>
        <v>348280.57364963694</v>
      </c>
      <c r="G31" s="12">
        <f>BS!L30-BS!K30</f>
        <v>458058.95421116683</v>
      </c>
    </row>
    <row r="32" spans="1:7" x14ac:dyDescent="0.25">
      <c r="A32" s="9" t="s">
        <v>75</v>
      </c>
      <c r="B32" s="12">
        <f>BS!G31-BS!F31</f>
        <v>9065.7147849325411</v>
      </c>
      <c r="C32" s="12">
        <f>BS!H31-BS!G31</f>
        <v>12968.123350439018</v>
      </c>
      <c r="D32" s="12">
        <f>BS!I31-BS!H31</f>
        <v>18114.474247443613</v>
      </c>
      <c r="E32" s="12">
        <f>BS!J31-BS!I31</f>
        <v>25074.914366887417</v>
      </c>
      <c r="F32" s="12">
        <f>BS!K31-BS!J31</f>
        <v>34568.578718619858</v>
      </c>
      <c r="G32" s="12">
        <f>BS!L31-BS!K31</f>
        <v>47484.985193282337</v>
      </c>
    </row>
    <row r="33" spans="1:7" x14ac:dyDescent="0.25">
      <c r="A33" s="16" t="s">
        <v>76</v>
      </c>
      <c r="B33" s="18">
        <f>BS!G32-BS!F32</f>
        <v>510.06909179482136</v>
      </c>
      <c r="C33" s="18">
        <f>BS!H32-BS!G32</f>
        <v>1991.3244820626951</v>
      </c>
      <c r="D33" s="18">
        <f>BS!I32-BS!H32</f>
        <v>2099.8581551001589</v>
      </c>
      <c r="E33" s="18">
        <f>BS!J32-BS!I32</f>
        <v>3147.1248343645384</v>
      </c>
      <c r="F33" s="18">
        <f>BS!K32-BS!J32</f>
        <v>3636.9892234319777</v>
      </c>
      <c r="G33" s="18">
        <f>BS!L32-BS!K32</f>
        <v>5046.8473366197722</v>
      </c>
    </row>
    <row r="34" spans="1:7" x14ac:dyDescent="0.25">
      <c r="A34" s="9" t="s">
        <v>77</v>
      </c>
      <c r="B34" s="130"/>
      <c r="C34" s="130"/>
      <c r="D34" s="130"/>
      <c r="E34" s="130"/>
      <c r="F34" s="130"/>
      <c r="G34" s="130"/>
    </row>
    <row r="35" spans="1:7" x14ac:dyDescent="0.25">
      <c r="A35" s="9" t="s">
        <v>78</v>
      </c>
      <c r="B35" s="12">
        <f>BS!G34-BS!F34</f>
        <v>75205.174387571577</v>
      </c>
      <c r="C35" s="12">
        <f>BS!H34-BS!G34</f>
        <v>108025.17438556557</v>
      </c>
      <c r="D35" s="12">
        <f>BS!I34-BS!H34</f>
        <v>143748.32357168995</v>
      </c>
      <c r="E35" s="12">
        <f>BS!J34-BS!I34</f>
        <v>190197.68170115363</v>
      </c>
      <c r="F35" s="12">
        <f>BS!K34-BS!J34</f>
        <v>251622.69196242513</v>
      </c>
      <c r="G35" s="12">
        <f>BS!L34-BS!K34</f>
        <v>332798.8061526838</v>
      </c>
    </row>
    <row r="36" spans="1:7" x14ac:dyDescent="0.25">
      <c r="A36" s="9" t="s">
        <v>79</v>
      </c>
      <c r="B36" s="12">
        <f>BS!G35-BS!F35</f>
        <v>9000</v>
      </c>
      <c r="C36" s="12">
        <f>BS!H35-BS!G35</f>
        <v>0</v>
      </c>
      <c r="D36" s="12">
        <f>BS!I35-BS!H35</f>
        <v>0</v>
      </c>
      <c r="E36" s="12">
        <f>BS!J35-BS!I35</f>
        <v>0</v>
      </c>
      <c r="F36" s="12">
        <f>BS!K35-BS!J35</f>
        <v>0</v>
      </c>
      <c r="G36" s="12">
        <f>BS!L35-BS!K35</f>
        <v>0</v>
      </c>
    </row>
    <row r="37" spans="1:7" x14ac:dyDescent="0.25">
      <c r="A37" s="9" t="s">
        <v>80</v>
      </c>
      <c r="B37" s="12">
        <f>BS!G36-BS!F36</f>
        <v>1233.5886520634003</v>
      </c>
      <c r="C37" s="12">
        <f>BS!H36-BS!G36</f>
        <v>1954.6028736981398</v>
      </c>
      <c r="D37" s="12">
        <f>BS!I36-BS!H36</f>
        <v>1702.4271237668036</v>
      </c>
      <c r="E37" s="12">
        <f>BS!J36-BS!I36</f>
        <v>2850.2007976341647</v>
      </c>
      <c r="F37" s="12">
        <f>BS!K36-BS!J36</f>
        <v>2951.148106523573</v>
      </c>
      <c r="G37" s="12">
        <f>BS!L36-BS!K36</f>
        <v>4235.4865931951681</v>
      </c>
    </row>
    <row r="38" spans="1:7" x14ac:dyDescent="0.25">
      <c r="A38" s="9" t="s">
        <v>81</v>
      </c>
      <c r="B38" s="12">
        <f>BS!G37-BS!F37</f>
        <v>0</v>
      </c>
      <c r="C38" s="12">
        <f>BS!H37-BS!G37</f>
        <v>0</v>
      </c>
      <c r="D38" s="12">
        <f>BS!I37-BS!H37</f>
        <v>0</v>
      </c>
      <c r="E38" s="12">
        <f>BS!J37-BS!I37</f>
        <v>0</v>
      </c>
      <c r="F38" s="12">
        <f>BS!K37-BS!J37</f>
        <v>0</v>
      </c>
      <c r="G38" s="12">
        <f>BS!L37-BS!K37</f>
        <v>-673967</v>
      </c>
    </row>
    <row r="39" spans="1:7" x14ac:dyDescent="0.25">
      <c r="A39" s="9" t="s">
        <v>82</v>
      </c>
      <c r="B39" s="12">
        <f>BS!G38-BS!F38</f>
        <v>30.405546130234928</v>
      </c>
      <c r="C39" s="12">
        <f>BS!H38-BS!G38</f>
        <v>9.5149127648337917</v>
      </c>
      <c r="D39" s="12">
        <f>BS!I38-BS!H38</f>
        <v>12.391512646094412</v>
      </c>
      <c r="E39" s="12">
        <f>BS!J38-BS!I38</f>
        <v>16.047251407622852</v>
      </c>
      <c r="F39" s="12">
        <f>BS!K38-BS!J38</f>
        <v>20.790664931518819</v>
      </c>
      <c r="G39" s="12">
        <f>BS!L38-BS!K38</f>
        <v>26.942880622852513</v>
      </c>
    </row>
    <row r="40" spans="1:7" x14ac:dyDescent="0.25">
      <c r="A40" s="121" t="s">
        <v>83</v>
      </c>
      <c r="B40" s="12">
        <f>BS!G39-BS!F39</f>
        <v>5616.1001435963772</v>
      </c>
      <c r="C40" s="12">
        <f>BS!H39-BS!G39</f>
        <v>12954.689788929587</v>
      </c>
      <c r="D40" s="12">
        <f>BS!I39-BS!H39</f>
        <v>16871.221661542499</v>
      </c>
      <c r="E40" s="12">
        <f>BS!J39-BS!I39</f>
        <v>21848.562261027648</v>
      </c>
      <c r="F40" s="12">
        <f>BS!K39-BS!J39</f>
        <v>28306.78760280869</v>
      </c>
      <c r="G40" s="12">
        <f>BS!L39-BS!K39</f>
        <v>36683.11724088763</v>
      </c>
    </row>
    <row r="41" spans="1:7" x14ac:dyDescent="0.25">
      <c r="A41" s="122" t="s">
        <v>84</v>
      </c>
      <c r="B41" s="12">
        <f>BS!G40-BS!F40</f>
        <v>1398.8599712498144</v>
      </c>
      <c r="C41" s="12">
        <f>BS!H40-BS!G40</f>
        <v>1821.4083252565388</v>
      </c>
      <c r="D41" s="12">
        <f>BS!I40-BS!H40</f>
        <v>2372.0663398549086</v>
      </c>
      <c r="E41" s="12">
        <f>BS!J40-BS!I40</f>
        <v>3071.8723370071348</v>
      </c>
      <c r="F41" s="12">
        <f>BS!K40-BS!J40</f>
        <v>3979.8883216086979</v>
      </c>
      <c r="G41" s="12">
        <f>BS!L40-BS!K40</f>
        <v>5157.5866522107717</v>
      </c>
    </row>
    <row r="42" spans="1:7" x14ac:dyDescent="0.25">
      <c r="A42" s="9" t="s">
        <v>85</v>
      </c>
      <c r="B42" s="130"/>
      <c r="C42" s="130"/>
      <c r="D42" s="130"/>
      <c r="E42" s="130"/>
      <c r="F42" s="130"/>
      <c r="G42" s="130"/>
    </row>
    <row r="43" spans="1:7" x14ac:dyDescent="0.25">
      <c r="A43" s="9"/>
      <c r="B43" s="12"/>
      <c r="C43" s="12"/>
      <c r="D43" s="12"/>
      <c r="E43" s="12"/>
      <c r="F43" s="12"/>
      <c r="G43" s="12"/>
    </row>
    <row r="44" spans="1:7" x14ac:dyDescent="0.25">
      <c r="A44" s="9" t="s">
        <v>144</v>
      </c>
      <c r="B44" s="12"/>
      <c r="C44" s="12"/>
      <c r="D44" s="12"/>
      <c r="E44" s="12"/>
      <c r="F44" s="12"/>
      <c r="G44" s="12"/>
    </row>
    <row r="45" spans="1:7" x14ac:dyDescent="0.25">
      <c r="A45" s="32" t="s">
        <v>145</v>
      </c>
      <c r="B45" s="12">
        <f>BS!G44-BS!F44</f>
        <v>0</v>
      </c>
      <c r="C45" s="12">
        <f>BS!H44-BS!G44</f>
        <v>0</v>
      </c>
      <c r="D45" s="12">
        <f>BS!I44-BS!H44</f>
        <v>0</v>
      </c>
      <c r="E45" s="12">
        <f>BS!J44-BS!I44</f>
        <v>0</v>
      </c>
      <c r="F45" s="12">
        <f>BS!K44-BS!J44</f>
        <v>0</v>
      </c>
      <c r="G45" s="12">
        <f>BS!L44-BS!K44</f>
        <v>690000</v>
      </c>
    </row>
    <row r="46" spans="1:7" x14ac:dyDescent="0.25">
      <c r="A46" s="32" t="s">
        <v>146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</row>
    <row r="47" spans="1:7" x14ac:dyDescent="0.25">
      <c r="A47" s="43" t="s">
        <v>147</v>
      </c>
      <c r="B47" s="130"/>
      <c r="C47" s="130"/>
      <c r="D47" s="130"/>
      <c r="E47" s="130"/>
      <c r="F47" s="130"/>
      <c r="G47" s="130"/>
    </row>
    <row r="48" spans="1:7" x14ac:dyDescent="0.25">
      <c r="A48" s="32" t="s">
        <v>148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</row>
    <row r="49" spans="1:9" x14ac:dyDescent="0.25">
      <c r="A49" s="16" t="s">
        <v>86</v>
      </c>
      <c r="B49" s="131"/>
      <c r="C49" s="131"/>
      <c r="D49" s="131"/>
      <c r="E49" s="131"/>
      <c r="F49" s="131"/>
      <c r="G49" s="131"/>
    </row>
    <row r="50" spans="1:9" x14ac:dyDescent="0.25">
      <c r="A50" s="9" t="s">
        <v>87</v>
      </c>
      <c r="B50" s="130"/>
      <c r="C50" s="130"/>
      <c r="D50" s="130"/>
      <c r="E50" s="130"/>
      <c r="F50" s="130"/>
      <c r="G50" s="130"/>
    </row>
    <row r="52" spans="1:9" x14ac:dyDescent="0.25">
      <c r="B52" s="92"/>
      <c r="C52" s="92"/>
      <c r="D52" s="92"/>
      <c r="E52" s="92"/>
      <c r="F52" s="92"/>
      <c r="G52" s="92"/>
    </row>
    <row r="53" spans="1:9" x14ac:dyDescent="0.25">
      <c r="A53" s="5"/>
      <c r="B53" s="6"/>
      <c r="C53" s="6"/>
      <c r="D53" s="6"/>
      <c r="E53" s="6"/>
      <c r="F53" s="6"/>
      <c r="G53" s="6"/>
    </row>
    <row r="54" spans="1:9" x14ac:dyDescent="0.25">
      <c r="A54" s="9"/>
      <c r="B54" s="92"/>
      <c r="C54" s="92"/>
      <c r="D54" s="92"/>
      <c r="E54" s="92"/>
      <c r="F54" s="92"/>
      <c r="G54" s="92"/>
    </row>
    <row r="55" spans="1:9" x14ac:dyDescent="0.25">
      <c r="A55" s="9" t="s">
        <v>231</v>
      </c>
      <c r="B55" s="132">
        <v>0</v>
      </c>
      <c r="C55" s="132">
        <v>0</v>
      </c>
      <c r="D55" s="132">
        <v>0</v>
      </c>
      <c r="E55" s="132">
        <v>0</v>
      </c>
      <c r="F55" s="132">
        <v>0</v>
      </c>
      <c r="G55" s="132">
        <v>0</v>
      </c>
    </row>
    <row r="56" spans="1:9" x14ac:dyDescent="0.25">
      <c r="A56" s="9" t="s">
        <v>234</v>
      </c>
      <c r="B56" s="12">
        <f>Schedules!G14</f>
        <v>-4075</v>
      </c>
      <c r="C56" s="12">
        <f>Schedules!H14</f>
        <v>-4075</v>
      </c>
      <c r="D56" s="12">
        <f>Schedules!I14</f>
        <v>-4075</v>
      </c>
      <c r="E56" s="12">
        <f>Schedules!J14</f>
        <v>-4075</v>
      </c>
      <c r="F56" s="12">
        <v>0</v>
      </c>
      <c r="G56" s="12">
        <v>0</v>
      </c>
    </row>
    <row r="57" spans="1:9" x14ac:dyDescent="0.25">
      <c r="A57" s="9"/>
      <c r="B57" s="90"/>
      <c r="C57" s="90"/>
      <c r="D57" s="90"/>
      <c r="E57" s="90"/>
      <c r="F57" s="90"/>
      <c r="G57" s="90"/>
    </row>
    <row r="58" spans="1:9" x14ac:dyDescent="0.25">
      <c r="A58" s="9" t="s">
        <v>232</v>
      </c>
      <c r="B58" s="12">
        <f>SUM(B4:B56)</f>
        <v>444432.93452421937</v>
      </c>
      <c r="C58" s="12">
        <f t="shared" ref="C58:G58" si="0">SUM(C4:C56)</f>
        <v>253177.25544221251</v>
      </c>
      <c r="D58" s="12">
        <f t="shared" si="0"/>
        <v>446242.59045955632</v>
      </c>
      <c r="E58" s="12">
        <f t="shared" si="0"/>
        <v>550162.46849477163</v>
      </c>
      <c r="F58" s="12">
        <f t="shared" si="0"/>
        <v>1050543.4254962297</v>
      </c>
      <c r="G58" s="12">
        <f t="shared" si="0"/>
        <v>1405075.9327984806</v>
      </c>
      <c r="I58" s="92"/>
    </row>
    <row r="59" spans="1:9" x14ac:dyDescent="0.25">
      <c r="A59" s="9"/>
      <c r="B59" s="90"/>
      <c r="C59" s="90"/>
      <c r="D59" s="90"/>
      <c r="E59" s="90"/>
      <c r="F59" s="90"/>
      <c r="G59" s="90"/>
    </row>
    <row r="60" spans="1:9" x14ac:dyDescent="0.25">
      <c r="A60" s="134" t="s">
        <v>236</v>
      </c>
      <c r="B60" s="138">
        <f>BS!F7</f>
        <v>353684</v>
      </c>
      <c r="C60" s="138">
        <f>B61</f>
        <v>798116.93452421937</v>
      </c>
      <c r="D60" s="138">
        <f t="shared" ref="D60:G60" si="1">C61</f>
        <v>1051294.1899664318</v>
      </c>
      <c r="E60" s="138">
        <f t="shared" si="1"/>
        <v>1497536.7804259881</v>
      </c>
      <c r="F60" s="138">
        <f t="shared" si="1"/>
        <v>2047699.2489207597</v>
      </c>
      <c r="G60" s="138">
        <f t="shared" si="1"/>
        <v>3098242.6744169891</v>
      </c>
    </row>
    <row r="61" spans="1:9" x14ac:dyDescent="0.25">
      <c r="A61" s="134" t="s">
        <v>237</v>
      </c>
      <c r="B61" s="138">
        <f>B58+B60</f>
        <v>798116.93452421937</v>
      </c>
      <c r="C61" s="138">
        <f t="shared" ref="C61:G61" si="2">C58+C60</f>
        <v>1051294.1899664318</v>
      </c>
      <c r="D61" s="138">
        <f t="shared" si="2"/>
        <v>1497536.7804259881</v>
      </c>
      <c r="E61" s="138">
        <f t="shared" si="2"/>
        <v>2047699.2489207597</v>
      </c>
      <c r="F61" s="138">
        <f t="shared" si="2"/>
        <v>3098242.6744169891</v>
      </c>
      <c r="G61" s="138">
        <f t="shared" si="2"/>
        <v>4503318.6072154697</v>
      </c>
    </row>
    <row r="62" spans="1:9" x14ac:dyDescent="0.25">
      <c r="A62" s="125"/>
      <c r="B62" s="138"/>
      <c r="C62" s="138"/>
      <c r="D62" s="138"/>
      <c r="E62" s="138"/>
      <c r="F62" s="138"/>
      <c r="G62" s="138"/>
    </row>
    <row r="63" spans="1:9" x14ac:dyDescent="0.25">
      <c r="A63" s="135" t="s">
        <v>238</v>
      </c>
      <c r="B63" s="138">
        <f>B58-B56</f>
        <v>448507.93452421937</v>
      </c>
      <c r="C63" s="138">
        <f t="shared" ref="C63:G63" si="3">C58-C56</f>
        <v>257252.25544221251</v>
      </c>
      <c r="D63" s="138">
        <f t="shared" si="3"/>
        <v>450317.59045955632</v>
      </c>
      <c r="E63" s="138">
        <f t="shared" si="3"/>
        <v>554237.46849477163</v>
      </c>
      <c r="F63" s="138">
        <f t="shared" si="3"/>
        <v>1050543.4254962297</v>
      </c>
      <c r="G63" s="138">
        <f t="shared" si="3"/>
        <v>1405075.9327984806</v>
      </c>
    </row>
    <row r="64" spans="1:9" x14ac:dyDescent="0.25">
      <c r="A64" s="134"/>
      <c r="B64" s="138"/>
      <c r="C64" s="138"/>
      <c r="D64" s="138"/>
      <c r="E64" s="138"/>
      <c r="F64" s="138"/>
      <c r="G64" s="138"/>
    </row>
    <row r="65" spans="1:7" x14ac:dyDescent="0.25">
      <c r="A65" s="136" t="s">
        <v>239</v>
      </c>
      <c r="B65" s="137">
        <f>BS!G24-BS!G49</f>
        <v>1.0000000009313226</v>
      </c>
      <c r="C65" s="137">
        <f>BS!H24-BS!H49</f>
        <v>0.99999999953433871</v>
      </c>
      <c r="D65" s="137">
        <f>BS!I24-BS!I49</f>
        <v>1.0000000009313226</v>
      </c>
      <c r="E65" s="137">
        <f>BS!J24-BS!J49</f>
        <v>1</v>
      </c>
      <c r="F65" s="137">
        <f>BS!K24-BS!K49</f>
        <v>1.0000000009313226</v>
      </c>
      <c r="G65" s="137">
        <f>BS!L24-BS!L49</f>
        <v>1</v>
      </c>
    </row>
    <row r="66" spans="1:7" x14ac:dyDescent="0.25">
      <c r="A66" s="25"/>
      <c r="B66" s="92"/>
      <c r="C66" s="92"/>
      <c r="D66" s="92"/>
      <c r="E66" s="92"/>
      <c r="F66" s="92"/>
      <c r="G66" s="92"/>
    </row>
    <row r="67" spans="1:7" x14ac:dyDescent="0.25">
      <c r="A67" s="9"/>
      <c r="B67" s="92"/>
      <c r="C67" s="92"/>
      <c r="D67" s="92"/>
      <c r="E67" s="92"/>
      <c r="F67" s="92"/>
      <c r="G67" s="92"/>
    </row>
    <row r="68" spans="1:7" x14ac:dyDescent="0.25">
      <c r="A68" s="9"/>
      <c r="B68" s="90"/>
      <c r="C68" s="90"/>
      <c r="D68" s="90"/>
      <c r="E68" s="90"/>
      <c r="F68" s="90"/>
      <c r="G68" s="90"/>
    </row>
    <row r="69" spans="1:7" x14ac:dyDescent="0.25">
      <c r="A69" s="9"/>
      <c r="B69" s="90"/>
      <c r="C69" s="90"/>
      <c r="D69" s="90"/>
      <c r="E69" s="90"/>
      <c r="F69" s="90"/>
      <c r="G69" s="90"/>
    </row>
    <row r="70" spans="1:7" x14ac:dyDescent="0.25">
      <c r="A70" s="9"/>
      <c r="B70" s="90"/>
      <c r="C70" s="90"/>
      <c r="D70" s="90"/>
      <c r="E70" s="90"/>
      <c r="F70" s="90"/>
      <c r="G70" s="90"/>
    </row>
    <row r="71" spans="1:7" x14ac:dyDescent="0.25">
      <c r="A71" s="9"/>
      <c r="B71" s="90"/>
      <c r="C71" s="90"/>
      <c r="D71" s="90"/>
      <c r="E71" s="90"/>
      <c r="F71" s="90"/>
      <c r="G71" s="90"/>
    </row>
    <row r="72" spans="1:7" x14ac:dyDescent="0.25">
      <c r="A72" s="16"/>
      <c r="B72" s="90"/>
      <c r="C72" s="90"/>
      <c r="D72" s="90"/>
      <c r="E72" s="90"/>
      <c r="F72" s="90"/>
      <c r="G72" s="90"/>
    </row>
    <row r="73" spans="1:7" x14ac:dyDescent="0.25">
      <c r="A73" s="9"/>
      <c r="B73" s="90"/>
      <c r="C73" s="90"/>
      <c r="D73" s="90"/>
      <c r="E73" s="90"/>
      <c r="F73" s="90"/>
      <c r="G73" s="90"/>
    </row>
    <row r="74" spans="1:7" x14ac:dyDescent="0.25">
      <c r="A74" s="9"/>
      <c r="B74" s="90"/>
      <c r="C74" s="90"/>
      <c r="D74" s="90"/>
      <c r="E74" s="90"/>
      <c r="F74" s="90"/>
      <c r="G74" s="90"/>
    </row>
    <row r="75" spans="1:7" x14ac:dyDescent="0.25">
      <c r="A75" s="9"/>
      <c r="B75" s="90"/>
      <c r="C75" s="90"/>
      <c r="D75" s="90"/>
      <c r="E75" s="90"/>
      <c r="F75" s="90"/>
      <c r="G75" s="90"/>
    </row>
    <row r="76" spans="1:7" x14ac:dyDescent="0.25">
      <c r="A76" s="77"/>
      <c r="B76" s="90"/>
      <c r="C76" s="90"/>
      <c r="D76" s="90"/>
      <c r="E76" s="90"/>
      <c r="F76" s="90"/>
      <c r="G76" s="90"/>
    </row>
    <row r="77" spans="1:7" x14ac:dyDescent="0.25">
      <c r="A77" s="129"/>
      <c r="B77" s="90"/>
      <c r="C77" s="90"/>
      <c r="D77" s="90"/>
      <c r="E77" s="90"/>
      <c r="F77" s="90"/>
      <c r="G77" s="90"/>
    </row>
    <row r="78" spans="1:7" x14ac:dyDescent="0.25">
      <c r="B78" s="92"/>
      <c r="C78" s="92"/>
      <c r="D78" s="92"/>
      <c r="E78" s="92"/>
      <c r="F78" s="92"/>
      <c r="G78" s="92"/>
    </row>
    <row r="79" spans="1:7" x14ac:dyDescent="0.25">
      <c r="A79" s="5"/>
      <c r="B79" s="6"/>
      <c r="C79" s="6"/>
      <c r="D79" s="6"/>
      <c r="E79" s="6"/>
      <c r="F79" s="6"/>
      <c r="G79" s="6"/>
    </row>
    <row r="80" spans="1:7" x14ac:dyDescent="0.25">
      <c r="A80" s="9"/>
    </row>
    <row r="81" spans="1:7" x14ac:dyDescent="0.25">
      <c r="A81" s="9"/>
    </row>
    <row r="82" spans="1:7" x14ac:dyDescent="0.25">
      <c r="A82" s="9"/>
      <c r="B82" s="90"/>
      <c r="C82" s="90"/>
      <c r="D82" s="90"/>
      <c r="E82" s="90"/>
      <c r="F82" s="90"/>
      <c r="G82" s="90"/>
    </row>
    <row r="83" spans="1:7" x14ac:dyDescent="0.25">
      <c r="A83" s="9"/>
      <c r="B83" s="90"/>
      <c r="C83" s="90"/>
      <c r="D83" s="90"/>
      <c r="E83" s="90"/>
      <c r="F83" s="90"/>
      <c r="G83" s="90"/>
    </row>
    <row r="84" spans="1:7" x14ac:dyDescent="0.25">
      <c r="A84" s="9"/>
      <c r="B84" s="90"/>
      <c r="C84" s="90"/>
      <c r="D84" s="90"/>
      <c r="E84" s="90"/>
      <c r="F84" s="90"/>
      <c r="G84" s="90"/>
    </row>
    <row r="85" spans="1:7" x14ac:dyDescent="0.25">
      <c r="A85" s="9"/>
      <c r="B85" s="90"/>
      <c r="C85" s="90"/>
      <c r="D85" s="90"/>
      <c r="E85" s="90"/>
      <c r="F85" s="90"/>
      <c r="G85" s="90"/>
    </row>
    <row r="86" spans="1:7" x14ac:dyDescent="0.25">
      <c r="A86" s="9"/>
      <c r="B86" s="90"/>
      <c r="C86" s="90"/>
      <c r="D86" s="90"/>
      <c r="E86" s="90"/>
      <c r="F86" s="90"/>
      <c r="G86" s="90"/>
    </row>
    <row r="87" spans="1:7" x14ac:dyDescent="0.25">
      <c r="A87" s="9"/>
      <c r="B87" s="90"/>
      <c r="C87" s="90"/>
      <c r="D87" s="90"/>
      <c r="E87" s="90"/>
      <c r="F87" s="90"/>
      <c r="G87" s="90"/>
    </row>
    <row r="88" spans="1:7" x14ac:dyDescent="0.25">
      <c r="A88" s="16"/>
      <c r="B88" s="90"/>
      <c r="C88" s="90"/>
      <c r="D88" s="90"/>
      <c r="E88" s="90"/>
      <c r="F88" s="90"/>
      <c r="G88" s="90"/>
    </row>
    <row r="89" spans="1:7" x14ac:dyDescent="0.25">
      <c r="A89" s="9"/>
      <c r="B89" s="90"/>
      <c r="C89" s="90"/>
      <c r="D89" s="90"/>
      <c r="E89" s="90"/>
      <c r="F89" s="90"/>
      <c r="G89" s="90"/>
    </row>
    <row r="90" spans="1:7" x14ac:dyDescent="0.25">
      <c r="A90" s="9"/>
      <c r="B90" s="90"/>
      <c r="C90" s="90"/>
      <c r="D90" s="90"/>
      <c r="E90" s="90"/>
      <c r="F90" s="90"/>
      <c r="G90" s="90"/>
    </row>
    <row r="91" spans="1:7" x14ac:dyDescent="0.25">
      <c r="A91" s="9"/>
      <c r="B91" s="90"/>
      <c r="C91" s="90"/>
      <c r="D91" s="90"/>
      <c r="E91" s="90"/>
      <c r="F91" s="90"/>
      <c r="G91" s="90"/>
    </row>
    <row r="92" spans="1:7" x14ac:dyDescent="0.25">
      <c r="A92" s="9"/>
      <c r="B92" s="90"/>
      <c r="C92" s="90"/>
      <c r="D92" s="90"/>
      <c r="E92" s="90"/>
      <c r="F92" s="90"/>
      <c r="G92" s="90"/>
    </row>
    <row r="93" spans="1:7" x14ac:dyDescent="0.25">
      <c r="A93" s="9"/>
      <c r="B93" s="90"/>
      <c r="C93" s="90"/>
      <c r="D93" s="90"/>
      <c r="E93" s="90"/>
      <c r="F93" s="90"/>
      <c r="G93" s="90"/>
    </row>
    <row r="94" spans="1:7" x14ac:dyDescent="0.25">
      <c r="A94" s="9"/>
      <c r="B94" s="90"/>
      <c r="C94" s="90"/>
      <c r="D94" s="90"/>
      <c r="E94" s="90"/>
      <c r="F94" s="90"/>
      <c r="G94" s="90"/>
    </row>
    <row r="95" spans="1:7" x14ac:dyDescent="0.25">
      <c r="A95" s="9"/>
      <c r="B95" s="90"/>
      <c r="C95" s="90"/>
      <c r="D95" s="90"/>
      <c r="E95" s="90"/>
      <c r="F95" s="90"/>
      <c r="G95" s="90"/>
    </row>
    <row r="96" spans="1:7" x14ac:dyDescent="0.25">
      <c r="A96" s="9"/>
      <c r="B96" s="90"/>
      <c r="C96" s="90"/>
      <c r="D96" s="90"/>
      <c r="E96" s="90"/>
      <c r="F96" s="90"/>
      <c r="G96" s="90"/>
    </row>
    <row r="97" spans="1:7" x14ac:dyDescent="0.25">
      <c r="A97" s="9"/>
      <c r="B97" s="90"/>
      <c r="C97" s="90"/>
      <c r="D97" s="90"/>
      <c r="E97" s="90"/>
      <c r="F97" s="90"/>
      <c r="G97" s="90"/>
    </row>
    <row r="98" spans="1:7" x14ac:dyDescent="0.25">
      <c r="A98" s="72"/>
      <c r="B98" s="90"/>
      <c r="C98" s="90"/>
      <c r="D98" s="90"/>
      <c r="E98" s="90"/>
      <c r="F98" s="90"/>
      <c r="G98" s="90"/>
    </row>
    <row r="99" spans="1:7" x14ac:dyDescent="0.25">
      <c r="A99" s="25"/>
      <c r="B99" s="90"/>
      <c r="C99" s="90"/>
      <c r="D99" s="90"/>
      <c r="E99" s="90"/>
      <c r="F99" s="90"/>
      <c r="G99" s="90"/>
    </row>
    <row r="100" spans="1:7" x14ac:dyDescent="0.25">
      <c r="A100" s="25"/>
      <c r="B100" s="90"/>
      <c r="C100" s="90"/>
      <c r="D100" s="90"/>
      <c r="E100" s="90"/>
      <c r="F100" s="90"/>
      <c r="G100" s="90"/>
    </row>
    <row r="101" spans="1:7" x14ac:dyDescent="0.25">
      <c r="A101" s="9"/>
      <c r="B101" s="90"/>
      <c r="C101" s="90"/>
      <c r="D101" s="90"/>
      <c r="E101" s="90"/>
      <c r="F101" s="90"/>
      <c r="G101" s="90"/>
    </row>
    <row r="102" spans="1:7" x14ac:dyDescent="0.25">
      <c r="A102" s="9"/>
      <c r="B102" s="90"/>
      <c r="C102" s="90"/>
      <c r="D102" s="90"/>
      <c r="E102" s="90"/>
      <c r="F102" s="90"/>
      <c r="G102" s="90"/>
    </row>
    <row r="103" spans="1:7" x14ac:dyDescent="0.25">
      <c r="A103" s="9"/>
      <c r="B103" s="90"/>
      <c r="C103" s="90"/>
      <c r="D103" s="90"/>
      <c r="E103" s="90"/>
      <c r="F103" s="90"/>
      <c r="G103" s="90"/>
    </row>
    <row r="104" spans="1:7" x14ac:dyDescent="0.25">
      <c r="A104" s="9"/>
      <c r="B104" s="90"/>
      <c r="C104" s="90"/>
      <c r="D104" s="90"/>
      <c r="E104" s="90"/>
      <c r="F104" s="90"/>
      <c r="G104" s="90"/>
    </row>
    <row r="105" spans="1:7" x14ac:dyDescent="0.25">
      <c r="A105" s="9"/>
      <c r="B105" s="90"/>
      <c r="C105" s="90"/>
      <c r="D105" s="90"/>
      <c r="E105" s="90"/>
      <c r="F105" s="90"/>
      <c r="G105" s="90"/>
    </row>
    <row r="106" spans="1:7" x14ac:dyDescent="0.25">
      <c r="A106" s="9"/>
      <c r="B106" s="90"/>
      <c r="C106" s="90"/>
      <c r="D106" s="90"/>
      <c r="E106" s="90"/>
      <c r="F106" s="90"/>
      <c r="G106" s="90"/>
    </row>
    <row r="107" spans="1:7" x14ac:dyDescent="0.25">
      <c r="A107" s="16"/>
      <c r="B107" s="90"/>
      <c r="C107" s="90"/>
      <c r="D107" s="90"/>
      <c r="E107" s="90"/>
      <c r="F107" s="90"/>
      <c r="G107" s="90"/>
    </row>
    <row r="108" spans="1:7" x14ac:dyDescent="0.25">
      <c r="A108" s="9"/>
      <c r="B108" s="90"/>
      <c r="C108" s="90"/>
      <c r="D108" s="90"/>
      <c r="E108" s="90"/>
      <c r="F108" s="90"/>
      <c r="G108" s="90"/>
    </row>
    <row r="109" spans="1:7" x14ac:dyDescent="0.25">
      <c r="A109" s="9"/>
      <c r="B109" s="90"/>
      <c r="C109" s="90"/>
      <c r="D109" s="90"/>
      <c r="E109" s="90"/>
      <c r="F109" s="90"/>
      <c r="G109" s="90"/>
    </row>
    <row r="110" spans="1:7" x14ac:dyDescent="0.25">
      <c r="A110" s="9"/>
      <c r="B110" s="90"/>
      <c r="C110" s="90"/>
      <c r="D110" s="90"/>
      <c r="E110" s="90"/>
      <c r="F110" s="90"/>
      <c r="G110" s="90"/>
    </row>
    <row r="111" spans="1:7" x14ac:dyDescent="0.25">
      <c r="A111" s="9"/>
      <c r="B111" s="90"/>
      <c r="C111" s="90"/>
      <c r="D111" s="90"/>
      <c r="E111" s="90"/>
      <c r="F111" s="90"/>
      <c r="G111" s="90"/>
    </row>
    <row r="112" spans="1:7" x14ac:dyDescent="0.25">
      <c r="A112" s="9"/>
      <c r="B112" s="90"/>
      <c r="C112" s="90"/>
      <c r="D112" s="90"/>
      <c r="E112" s="90"/>
      <c r="F112" s="90"/>
      <c r="G112" s="90"/>
    </row>
    <row r="113" spans="1:7" x14ac:dyDescent="0.25">
      <c r="A113" s="9"/>
      <c r="B113" s="90"/>
      <c r="C113" s="90"/>
      <c r="D113" s="90"/>
      <c r="E113" s="90"/>
      <c r="F113" s="90"/>
      <c r="G113" s="90"/>
    </row>
    <row r="114" spans="1:7" x14ac:dyDescent="0.25">
      <c r="A114" s="9"/>
      <c r="B114" s="90"/>
      <c r="C114" s="90"/>
      <c r="D114" s="90"/>
      <c r="E114" s="90"/>
      <c r="F114" s="90"/>
      <c r="G114" s="90"/>
    </row>
    <row r="115" spans="1:7" x14ac:dyDescent="0.25">
      <c r="A115" s="16"/>
      <c r="B115" s="90"/>
      <c r="C115" s="90"/>
      <c r="D115" s="90"/>
      <c r="E115" s="90"/>
      <c r="F115" s="90"/>
      <c r="G115" s="90"/>
    </row>
    <row r="116" spans="1:7" x14ac:dyDescent="0.25">
      <c r="A116" s="9"/>
      <c r="B116" s="90"/>
      <c r="C116" s="90"/>
      <c r="D116" s="90"/>
      <c r="E116" s="90"/>
      <c r="F116" s="90"/>
      <c r="G116" s="90"/>
    </row>
    <row r="117" spans="1:7" x14ac:dyDescent="0.25">
      <c r="A117" s="9"/>
      <c r="B117" s="90"/>
      <c r="C117" s="90"/>
      <c r="D117" s="90"/>
      <c r="E117" s="90"/>
      <c r="F117" s="90"/>
      <c r="G117" s="90"/>
    </row>
    <row r="118" spans="1:7" x14ac:dyDescent="0.25">
      <c r="A118" s="9"/>
      <c r="B118" s="90"/>
      <c r="C118" s="90"/>
      <c r="D118" s="90"/>
      <c r="E118" s="90"/>
      <c r="F118" s="90"/>
      <c r="G118" s="90"/>
    </row>
    <row r="119" spans="1:7" x14ac:dyDescent="0.25">
      <c r="A119" s="32"/>
      <c r="B119" s="90"/>
      <c r="C119" s="90"/>
      <c r="D119" s="90"/>
      <c r="E119" s="90"/>
      <c r="F119" s="90"/>
      <c r="G119" s="90"/>
    </row>
    <row r="120" spans="1:7" x14ac:dyDescent="0.25">
      <c r="A120" s="32"/>
      <c r="B120" s="90"/>
      <c r="C120" s="90"/>
      <c r="D120" s="90"/>
      <c r="E120" s="90"/>
      <c r="F120" s="90"/>
      <c r="G120" s="90"/>
    </row>
    <row r="121" spans="1:7" x14ac:dyDescent="0.25">
      <c r="A121" s="32"/>
      <c r="B121" s="90"/>
      <c r="C121" s="90"/>
      <c r="D121" s="90"/>
      <c r="E121" s="90"/>
      <c r="F121" s="90"/>
      <c r="G121" s="90"/>
    </row>
    <row r="122" spans="1:7" x14ac:dyDescent="0.25">
      <c r="A122" s="32"/>
      <c r="B122" s="90"/>
      <c r="C122" s="90"/>
      <c r="D122" s="90"/>
      <c r="E122" s="90"/>
      <c r="F122" s="90"/>
      <c r="G122" s="90"/>
    </row>
    <row r="123" spans="1:7" x14ac:dyDescent="0.25">
      <c r="A123" s="16"/>
      <c r="B123" s="90"/>
      <c r="C123" s="90"/>
      <c r="D123" s="90"/>
      <c r="E123" s="90"/>
      <c r="F123" s="90"/>
      <c r="G123" s="90"/>
    </row>
    <row r="124" spans="1:7" x14ac:dyDescent="0.25">
      <c r="A124" s="9"/>
      <c r="B124" s="90"/>
      <c r="C124" s="90"/>
      <c r="D124" s="90"/>
      <c r="E124" s="90"/>
      <c r="F124" s="90"/>
      <c r="G124" s="90"/>
    </row>
    <row r="126" spans="1:7" x14ac:dyDescent="0.25">
      <c r="A126" s="5"/>
      <c r="B126" s="6"/>
      <c r="C126" s="6"/>
      <c r="D126" s="6"/>
      <c r="E126" s="6"/>
      <c r="F126" s="6"/>
      <c r="G126" s="6"/>
    </row>
    <row r="127" spans="1:7" x14ac:dyDescent="0.25">
      <c r="A127" s="9"/>
    </row>
    <row r="128" spans="1:7" x14ac:dyDescent="0.25">
      <c r="A128" s="9"/>
    </row>
    <row r="129" spans="1:7" x14ac:dyDescent="0.25">
      <c r="A129" s="9"/>
      <c r="B129" s="90"/>
      <c r="C129" s="90"/>
      <c r="D129" s="90"/>
      <c r="E129" s="90"/>
      <c r="F129" s="90"/>
      <c r="G129" s="90"/>
    </row>
    <row r="130" spans="1:7" x14ac:dyDescent="0.25">
      <c r="A130" s="9"/>
      <c r="B130" s="90"/>
      <c r="C130" s="90"/>
      <c r="D130" s="90"/>
      <c r="E130" s="90"/>
      <c r="F130" s="90"/>
      <c r="G130" s="90"/>
    </row>
    <row r="131" spans="1:7" x14ac:dyDescent="0.25">
      <c r="A131" s="9"/>
      <c r="B131" s="90"/>
      <c r="C131" s="90"/>
      <c r="D131" s="90"/>
      <c r="E131" s="90"/>
      <c r="F131" s="90"/>
      <c r="G131" s="90"/>
    </row>
    <row r="132" spans="1:7" x14ac:dyDescent="0.25">
      <c r="A132" s="9"/>
      <c r="B132" s="90"/>
      <c r="C132" s="90"/>
      <c r="D132" s="90"/>
      <c r="E132" s="90"/>
      <c r="F132" s="90"/>
      <c r="G132" s="90"/>
    </row>
    <row r="133" spans="1:7" x14ac:dyDescent="0.25">
      <c r="A133" s="9"/>
      <c r="B133" s="90"/>
      <c r="C133" s="90"/>
      <c r="D133" s="90"/>
      <c r="E133" s="90"/>
      <c r="F133" s="90"/>
      <c r="G133" s="90"/>
    </row>
    <row r="134" spans="1:7" x14ac:dyDescent="0.25">
      <c r="A134" s="9"/>
      <c r="B134" s="90"/>
      <c r="C134" s="90"/>
      <c r="D134" s="90"/>
      <c r="E134" s="90"/>
      <c r="F134" s="90"/>
      <c r="G134" s="90"/>
    </row>
    <row r="135" spans="1:7" x14ac:dyDescent="0.25">
      <c r="A135" s="16"/>
      <c r="B135" s="90"/>
      <c r="C135" s="90"/>
      <c r="D135" s="90"/>
      <c r="E135" s="90"/>
      <c r="F135" s="90"/>
      <c r="G135" s="90"/>
    </row>
    <row r="136" spans="1:7" x14ac:dyDescent="0.25">
      <c r="A136" s="9"/>
      <c r="B136" s="90"/>
      <c r="C136" s="90"/>
      <c r="D136" s="90"/>
      <c r="E136" s="90"/>
      <c r="F136" s="90"/>
      <c r="G136" s="90"/>
    </row>
    <row r="137" spans="1:7" x14ac:dyDescent="0.25">
      <c r="A137" s="9"/>
      <c r="B137" s="90"/>
      <c r="C137" s="90"/>
      <c r="D137" s="90"/>
      <c r="E137" s="90"/>
      <c r="F137" s="90"/>
      <c r="G137" s="90"/>
    </row>
    <row r="138" spans="1:7" x14ac:dyDescent="0.25">
      <c r="A138" s="9"/>
      <c r="B138" s="90"/>
      <c r="C138" s="90"/>
      <c r="D138" s="90"/>
      <c r="E138" s="90"/>
      <c r="F138" s="90"/>
      <c r="G138" s="90"/>
    </row>
    <row r="139" spans="1:7" x14ac:dyDescent="0.25">
      <c r="A139" s="9"/>
      <c r="B139" s="90"/>
      <c r="C139" s="90"/>
      <c r="D139" s="90"/>
      <c r="E139" s="90"/>
      <c r="F139" s="90"/>
      <c r="G139" s="90"/>
    </row>
    <row r="140" spans="1:7" x14ac:dyDescent="0.25">
      <c r="A140" s="9"/>
      <c r="B140" s="90"/>
      <c r="C140" s="90"/>
      <c r="D140" s="90"/>
      <c r="E140" s="90"/>
      <c r="F140" s="90"/>
      <c r="G140" s="90"/>
    </row>
    <row r="141" spans="1:7" x14ac:dyDescent="0.25">
      <c r="A141" s="9"/>
      <c r="B141" s="90"/>
      <c r="C141" s="90"/>
      <c r="D141" s="90"/>
      <c r="E141" s="90"/>
      <c r="F141" s="90"/>
      <c r="G141" s="90"/>
    </row>
    <row r="142" spans="1:7" x14ac:dyDescent="0.25">
      <c r="A142" s="9"/>
      <c r="B142" s="90"/>
      <c r="C142" s="90"/>
      <c r="D142" s="90"/>
      <c r="E142" s="90"/>
      <c r="F142" s="90"/>
      <c r="G142" s="90"/>
    </row>
    <row r="143" spans="1:7" x14ac:dyDescent="0.25">
      <c r="A143" s="9"/>
      <c r="B143" s="90"/>
      <c r="C143" s="90"/>
      <c r="D143" s="90"/>
      <c r="E143" s="90"/>
      <c r="F143" s="90"/>
      <c r="G143" s="90"/>
    </row>
    <row r="144" spans="1:7" x14ac:dyDescent="0.25">
      <c r="A144" s="9"/>
      <c r="B144" s="90"/>
      <c r="C144" s="90"/>
      <c r="D144" s="90"/>
      <c r="E144" s="90"/>
      <c r="F144" s="90"/>
      <c r="G144" s="90"/>
    </row>
    <row r="145" spans="1:7" x14ac:dyDescent="0.25">
      <c r="A145" s="72"/>
      <c r="B145" s="90"/>
      <c r="C145" s="90"/>
      <c r="D145" s="90"/>
      <c r="E145" s="90"/>
      <c r="F145" s="90"/>
      <c r="G145" s="90"/>
    </row>
    <row r="146" spans="1:7" x14ac:dyDescent="0.25">
      <c r="A146" s="25"/>
      <c r="B146" s="90"/>
      <c r="C146" s="90"/>
      <c r="D146" s="90"/>
      <c r="E146" s="90"/>
      <c r="F146" s="90"/>
      <c r="G146" s="90"/>
    </row>
    <row r="147" spans="1:7" x14ac:dyDescent="0.25">
      <c r="A147" s="25"/>
      <c r="B147" s="90"/>
      <c r="C147" s="90"/>
      <c r="D147" s="90"/>
      <c r="E147" s="90"/>
      <c r="F147" s="90"/>
      <c r="G147" s="90"/>
    </row>
    <row r="148" spans="1:7" x14ac:dyDescent="0.25">
      <c r="A148" s="9"/>
      <c r="B148" s="90"/>
      <c r="C148" s="90"/>
      <c r="D148" s="90"/>
      <c r="E148" s="90"/>
      <c r="F148" s="90"/>
      <c r="G148" s="90"/>
    </row>
    <row r="149" spans="1:7" x14ac:dyDescent="0.25">
      <c r="A149" s="9"/>
      <c r="B149" s="90"/>
      <c r="C149" s="90"/>
      <c r="D149" s="90"/>
      <c r="E149" s="90"/>
      <c r="F149" s="90"/>
      <c r="G149" s="90"/>
    </row>
    <row r="150" spans="1:7" x14ac:dyDescent="0.25">
      <c r="A150" s="9"/>
      <c r="B150" s="90"/>
      <c r="C150" s="90"/>
      <c r="D150" s="90"/>
      <c r="E150" s="90"/>
      <c r="F150" s="90"/>
      <c r="G150" s="90"/>
    </row>
    <row r="151" spans="1:7" x14ac:dyDescent="0.25">
      <c r="A151" s="9"/>
      <c r="B151" s="90"/>
      <c r="C151" s="90"/>
      <c r="D151" s="90"/>
      <c r="E151" s="90"/>
      <c r="F151" s="90"/>
      <c r="G151" s="90"/>
    </row>
    <row r="152" spans="1:7" x14ac:dyDescent="0.25">
      <c r="A152" s="9"/>
      <c r="B152" s="90"/>
      <c r="C152" s="90"/>
      <c r="D152" s="90"/>
      <c r="E152" s="90"/>
      <c r="F152" s="90"/>
      <c r="G152" s="90"/>
    </row>
    <row r="153" spans="1:7" x14ac:dyDescent="0.25">
      <c r="A153" s="9"/>
      <c r="B153" s="90"/>
      <c r="C153" s="90"/>
      <c r="D153" s="90"/>
      <c r="E153" s="90"/>
      <c r="F153" s="90"/>
      <c r="G153" s="90"/>
    </row>
    <row r="154" spans="1:7" x14ac:dyDescent="0.25">
      <c r="A154" s="16"/>
      <c r="B154" s="90"/>
      <c r="C154" s="90"/>
      <c r="D154" s="90"/>
      <c r="E154" s="90"/>
      <c r="F154" s="90"/>
      <c r="G154" s="90"/>
    </row>
    <row r="155" spans="1:7" x14ac:dyDescent="0.25">
      <c r="A155" s="9"/>
      <c r="B155" s="90"/>
      <c r="C155" s="90"/>
      <c r="D155" s="90"/>
      <c r="E155" s="90"/>
      <c r="F155" s="90"/>
      <c r="G155" s="90"/>
    </row>
    <row r="156" spans="1:7" x14ac:dyDescent="0.25">
      <c r="A156" s="9"/>
      <c r="B156" s="90"/>
      <c r="C156" s="90"/>
      <c r="D156" s="90"/>
      <c r="E156" s="90"/>
      <c r="F156" s="90"/>
      <c r="G156" s="90"/>
    </row>
    <row r="157" spans="1:7" x14ac:dyDescent="0.25">
      <c r="A157" s="9"/>
      <c r="B157" s="90"/>
      <c r="C157" s="90"/>
      <c r="D157" s="90"/>
      <c r="E157" s="90"/>
      <c r="F157" s="90"/>
      <c r="G157" s="90"/>
    </row>
    <row r="158" spans="1:7" x14ac:dyDescent="0.25">
      <c r="A158" s="9"/>
      <c r="B158" s="90"/>
      <c r="C158" s="90"/>
      <c r="D158" s="90"/>
      <c r="E158" s="90"/>
      <c r="F158" s="90"/>
      <c r="G158" s="90"/>
    </row>
    <row r="159" spans="1:7" x14ac:dyDescent="0.25">
      <c r="A159" s="9"/>
      <c r="B159" s="90"/>
      <c r="C159" s="90"/>
      <c r="D159" s="90"/>
      <c r="E159" s="90"/>
      <c r="F159" s="90"/>
      <c r="G159" s="90"/>
    </row>
    <row r="160" spans="1:7" x14ac:dyDescent="0.25">
      <c r="A160" s="9"/>
      <c r="B160" s="90"/>
      <c r="C160" s="90"/>
      <c r="D160" s="90"/>
      <c r="E160" s="90"/>
      <c r="F160" s="90"/>
      <c r="G160" s="90"/>
    </row>
    <row r="161" spans="1:7" x14ac:dyDescent="0.25">
      <c r="A161" s="9"/>
      <c r="B161" s="90"/>
      <c r="C161" s="90"/>
      <c r="D161" s="90"/>
      <c r="E161" s="90"/>
      <c r="F161" s="90"/>
      <c r="G161" s="90"/>
    </row>
    <row r="162" spans="1:7" x14ac:dyDescent="0.25">
      <c r="A162" s="16"/>
      <c r="B162" s="90"/>
      <c r="C162" s="90"/>
      <c r="D162" s="90"/>
      <c r="E162" s="90"/>
      <c r="F162" s="90"/>
      <c r="G162" s="90"/>
    </row>
    <row r="163" spans="1:7" x14ac:dyDescent="0.25">
      <c r="A163" s="9"/>
      <c r="B163" s="90"/>
      <c r="C163" s="90"/>
      <c r="D163" s="90"/>
      <c r="E163" s="90"/>
      <c r="F163" s="90"/>
      <c r="G163" s="90"/>
    </row>
    <row r="164" spans="1:7" x14ac:dyDescent="0.25">
      <c r="A164" s="9"/>
      <c r="B164" s="90"/>
      <c r="C164" s="90"/>
      <c r="D164" s="90"/>
      <c r="E164" s="90"/>
      <c r="F164" s="90"/>
      <c r="G164" s="90"/>
    </row>
    <row r="165" spans="1:7" x14ac:dyDescent="0.25">
      <c r="A165" s="16"/>
      <c r="B165" s="90"/>
      <c r="C165" s="90"/>
      <c r="D165" s="90"/>
      <c r="E165" s="90"/>
      <c r="F165" s="90"/>
      <c r="G165" s="90"/>
    </row>
    <row r="166" spans="1:7" x14ac:dyDescent="0.25">
      <c r="A166" s="9"/>
      <c r="B166" s="90"/>
      <c r="C166" s="90"/>
      <c r="D166" s="90"/>
      <c r="E166" s="90"/>
      <c r="F166" s="90"/>
      <c r="G166" s="90"/>
    </row>
  </sheetData>
  <hyperlinks>
    <hyperlink ref="A1" location="Index!A1" display="Index" xr:uid="{1878B707-0415-4774-A2F6-9F51BEA70277}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06CD-D15A-4F11-A617-D7AFB1C4D172}">
  <dimension ref="A1:BO164"/>
  <sheetViews>
    <sheetView workbookViewId="0">
      <pane xSplit="1" ySplit="2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80.140625" bestFit="1" customWidth="1"/>
    <col min="2" max="2" width="9" bestFit="1" customWidth="1"/>
    <col min="3" max="3" width="9.140625" bestFit="1" customWidth="1"/>
    <col min="4" max="4" width="9.42578125" bestFit="1" customWidth="1"/>
    <col min="5" max="6" width="9.85546875" bestFit="1" customWidth="1"/>
  </cols>
  <sheetData>
    <row r="1" spans="1:67" x14ac:dyDescent="0.25">
      <c r="A1" s="260" t="s">
        <v>332</v>
      </c>
    </row>
    <row r="2" spans="1:67" x14ac:dyDescent="0.25">
      <c r="A2" s="1" t="s">
        <v>0</v>
      </c>
      <c r="B2" s="2" t="s">
        <v>46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7" s="75" customFormat="1" ht="32.1" customHeight="1" x14ac:dyDescent="0.25">
      <c r="A3" s="74" t="s">
        <v>88</v>
      </c>
      <c r="G3" s="14"/>
      <c r="H3" s="14"/>
      <c r="I3" s="3"/>
      <c r="J3" s="3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</row>
    <row r="4" spans="1:67" s="11" customFormat="1" x14ac:dyDescent="0.25">
      <c r="A4" s="9" t="s">
        <v>89</v>
      </c>
      <c r="B4" s="20"/>
      <c r="C4" s="20"/>
      <c r="D4" s="10"/>
      <c r="E4" s="10"/>
      <c r="F4" s="12"/>
      <c r="G4" s="14"/>
      <c r="H4" s="14"/>
      <c r="I4" s="15"/>
      <c r="J4" s="15"/>
    </row>
    <row r="5" spans="1:67" s="11" customFormat="1" x14ac:dyDescent="0.25">
      <c r="A5" s="9" t="s">
        <v>17</v>
      </c>
      <c r="B5" s="10">
        <v>29205</v>
      </c>
      <c r="C5" s="10">
        <v>882</v>
      </c>
      <c r="D5" s="10">
        <v>-1724</v>
      </c>
      <c r="E5" s="10">
        <v>-60018</v>
      </c>
      <c r="F5" s="12">
        <v>147139</v>
      </c>
      <c r="G5" s="14"/>
      <c r="H5" s="14"/>
      <c r="I5" s="15"/>
      <c r="J5" s="15"/>
    </row>
    <row r="6" spans="1:67" s="11" customFormat="1" x14ac:dyDescent="0.25">
      <c r="A6" s="77" t="s">
        <v>90</v>
      </c>
      <c r="B6" s="10">
        <v>0</v>
      </c>
      <c r="C6" s="10"/>
      <c r="D6" s="10"/>
      <c r="E6" s="10"/>
      <c r="F6" s="12"/>
      <c r="G6" s="14"/>
      <c r="H6" s="14"/>
      <c r="I6" s="15"/>
      <c r="J6" s="15"/>
    </row>
    <row r="7" spans="1:67" s="11" customFormat="1" x14ac:dyDescent="0.25">
      <c r="A7" s="78" t="s">
        <v>91</v>
      </c>
      <c r="B7" s="10">
        <v>21879</v>
      </c>
      <c r="C7" s="10">
        <v>78495</v>
      </c>
      <c r="D7" s="10">
        <v>133572</v>
      </c>
      <c r="E7" s="10">
        <v>303331</v>
      </c>
      <c r="F7" s="12">
        <v>106176</v>
      </c>
      <c r="G7" s="14"/>
      <c r="H7" s="14"/>
      <c r="I7" s="15"/>
      <c r="J7" s="15"/>
    </row>
    <row r="8" spans="1:67" s="11" customFormat="1" x14ac:dyDescent="0.25">
      <c r="A8" s="9" t="s">
        <v>92</v>
      </c>
      <c r="B8" s="10">
        <v>-3592</v>
      </c>
      <c r="C8" s="10">
        <v>-7987</v>
      </c>
      <c r="D8" s="10">
        <v>-16528</v>
      </c>
      <c r="E8" s="10">
        <v>-81303</v>
      </c>
      <c r="F8" s="12">
        <v>22090</v>
      </c>
      <c r="G8" s="14"/>
      <c r="H8" s="14"/>
      <c r="I8" s="15"/>
      <c r="J8" s="15"/>
    </row>
    <row r="9" spans="1:67" s="11" customFormat="1" x14ac:dyDescent="0.25">
      <c r="A9" s="79" t="s">
        <v>93</v>
      </c>
      <c r="B9" s="10" t="s">
        <v>48</v>
      </c>
      <c r="C9" s="10">
        <v>0</v>
      </c>
      <c r="D9" s="10">
        <v>0</v>
      </c>
      <c r="E9" s="10">
        <v>-23035</v>
      </c>
      <c r="F9" s="12">
        <v>-98943</v>
      </c>
      <c r="G9" s="14"/>
      <c r="H9" s="14"/>
      <c r="I9" s="15"/>
      <c r="J9" s="15"/>
    </row>
    <row r="10" spans="1:67" s="11" customFormat="1" x14ac:dyDescent="0.25">
      <c r="A10" s="9" t="s">
        <v>94</v>
      </c>
      <c r="B10" s="10">
        <v>10615</v>
      </c>
      <c r="C10" s="10">
        <v>11361</v>
      </c>
      <c r="D10" s="10">
        <v>12475</v>
      </c>
      <c r="E10" s="10">
        <v>18694</v>
      </c>
      <c r="F10" s="12">
        <v>24381</v>
      </c>
      <c r="G10" s="12">
        <f>(Schedules!G23+Schedules!G35)*-1</f>
        <v>30275.351999217015</v>
      </c>
      <c r="H10" s="12">
        <f>(Schedules!H23+Schedules!H35)*-1</f>
        <v>41199.405465450174</v>
      </c>
      <c r="I10" s="12">
        <f>(Schedules!I23+Schedules!I35)*-1</f>
        <v>55290.810594985465</v>
      </c>
      <c r="J10" s="12">
        <f>(Schedules!J23+Schedules!J35)*-1</f>
        <v>73217.591784759948</v>
      </c>
      <c r="K10" s="12">
        <f>(Schedules!K23+Schedules!K35)*-1</f>
        <v>95715.692006624129</v>
      </c>
      <c r="L10" s="12">
        <f>(Schedules!L23+Schedules!L35)*-1</f>
        <v>123574.99270331452</v>
      </c>
      <c r="M10" s="12"/>
    </row>
    <row r="11" spans="1:67" s="11" customFormat="1" x14ac:dyDescent="0.25">
      <c r="A11" s="77" t="s">
        <v>95</v>
      </c>
      <c r="B11" s="10">
        <v>34</v>
      </c>
      <c r="C11" s="10">
        <v>896</v>
      </c>
      <c r="D11" s="10">
        <v>3345</v>
      </c>
      <c r="E11" s="10">
        <v>5217</v>
      </c>
      <c r="F11" s="12">
        <v>-1463</v>
      </c>
      <c r="G11" s="14"/>
      <c r="H11" s="14"/>
      <c r="I11" s="15"/>
      <c r="J11" s="15"/>
    </row>
    <row r="12" spans="1:67" s="11" customFormat="1" x14ac:dyDescent="0.25">
      <c r="A12" s="9" t="s">
        <v>96</v>
      </c>
      <c r="B12" s="10" t="s">
        <v>48</v>
      </c>
      <c r="C12" s="10">
        <v>3032</v>
      </c>
      <c r="D12" s="10">
        <v>4104</v>
      </c>
      <c r="E12" s="10">
        <v>5573</v>
      </c>
      <c r="F12" s="12">
        <v>6725</v>
      </c>
      <c r="G12" s="14"/>
      <c r="H12" s="14"/>
      <c r="I12" s="15"/>
      <c r="J12" s="15"/>
    </row>
    <row r="13" spans="1:67" s="11" customFormat="1" x14ac:dyDescent="0.25">
      <c r="A13" s="9" t="s">
        <v>97</v>
      </c>
      <c r="B13" s="10">
        <v>1144</v>
      </c>
      <c r="C13" s="10">
        <v>983</v>
      </c>
      <c r="D13" s="10">
        <v>671</v>
      </c>
      <c r="E13" s="10">
        <v>-706</v>
      </c>
      <c r="F13" s="12">
        <v>3475</v>
      </c>
      <c r="G13" s="14"/>
      <c r="H13" s="14"/>
      <c r="I13" s="15"/>
      <c r="J13" s="15"/>
    </row>
    <row r="14" spans="1:67" s="11" customFormat="1" x14ac:dyDescent="0.25">
      <c r="A14" s="11" t="s">
        <v>98</v>
      </c>
      <c r="B14" s="10" t="s">
        <v>48</v>
      </c>
      <c r="C14" s="10">
        <v>0</v>
      </c>
      <c r="D14" s="10">
        <v>0</v>
      </c>
      <c r="E14" s="10">
        <v>0</v>
      </c>
      <c r="F14" s="12">
        <v>198</v>
      </c>
      <c r="G14" s="3"/>
      <c r="H14" s="3"/>
      <c r="I14" s="15"/>
      <c r="J14" s="15"/>
    </row>
    <row r="15" spans="1:67" s="11" customFormat="1" x14ac:dyDescent="0.25">
      <c r="A15" s="11" t="s">
        <v>99</v>
      </c>
      <c r="B15" s="10" t="s">
        <v>48</v>
      </c>
      <c r="C15" s="10">
        <v>0</v>
      </c>
      <c r="D15" s="10">
        <v>0</v>
      </c>
      <c r="E15" s="10">
        <v>0</v>
      </c>
      <c r="F15" s="12">
        <v>211</v>
      </c>
      <c r="G15" s="14"/>
      <c r="H15" s="14"/>
      <c r="I15" s="15"/>
      <c r="J15" s="15"/>
    </row>
    <row r="16" spans="1:67" s="11" customFormat="1" x14ac:dyDescent="0.25">
      <c r="A16" s="9" t="s">
        <v>100</v>
      </c>
      <c r="B16" s="10" t="s">
        <v>48</v>
      </c>
      <c r="C16" s="10">
        <v>2609</v>
      </c>
      <c r="D16" s="10">
        <v>3344</v>
      </c>
      <c r="E16" s="10">
        <v>24</v>
      </c>
      <c r="F16" s="12">
        <v>6319</v>
      </c>
      <c r="G16" s="14"/>
      <c r="H16" s="14"/>
      <c r="I16" s="15"/>
      <c r="J16" s="15"/>
    </row>
    <row r="17" spans="1:11" s="11" customFormat="1" x14ac:dyDescent="0.25">
      <c r="A17" s="9" t="s">
        <v>101</v>
      </c>
      <c r="B17" s="10">
        <v>0</v>
      </c>
      <c r="C17" s="10"/>
      <c r="D17" s="10"/>
      <c r="E17" s="10"/>
      <c r="F17" s="12"/>
      <c r="G17" s="14"/>
      <c r="H17" s="14"/>
      <c r="I17" s="15"/>
      <c r="J17" s="15"/>
    </row>
    <row r="18" spans="1:11" s="11" customFormat="1" x14ac:dyDescent="0.25">
      <c r="A18" s="9" t="s">
        <v>102</v>
      </c>
      <c r="B18" s="10">
        <v>-67643</v>
      </c>
      <c r="C18" s="10">
        <v>-38830</v>
      </c>
      <c r="D18" s="10">
        <v>-107762</v>
      </c>
      <c r="E18" s="10">
        <v>-205769</v>
      </c>
      <c r="F18" s="12">
        <v>-73228</v>
      </c>
      <c r="G18" s="14"/>
      <c r="H18" s="14"/>
      <c r="I18" s="15"/>
      <c r="J18" s="15"/>
    </row>
    <row r="19" spans="1:11" s="11" customFormat="1" x14ac:dyDescent="0.25">
      <c r="A19" s="9" t="s">
        <v>103</v>
      </c>
      <c r="B19" s="10">
        <v>14804</v>
      </c>
      <c r="C19" s="10">
        <v>-4903</v>
      </c>
      <c r="D19" s="10">
        <v>-52156</v>
      </c>
      <c r="E19" s="10">
        <v>-18272</v>
      </c>
      <c r="F19" s="12">
        <v>-95987</v>
      </c>
      <c r="G19" s="14"/>
      <c r="H19" s="14"/>
      <c r="I19" s="15"/>
      <c r="J19" s="15"/>
    </row>
    <row r="20" spans="1:11" s="11" customFormat="1" x14ac:dyDescent="0.25">
      <c r="A20" s="9" t="s">
        <v>104</v>
      </c>
      <c r="B20" s="10">
        <v>-12739</v>
      </c>
      <c r="C20" s="10">
        <v>-9845</v>
      </c>
      <c r="D20" s="10">
        <v>-14885</v>
      </c>
      <c r="E20" s="10">
        <v>-40158</v>
      </c>
      <c r="F20" s="12">
        <v>-52207</v>
      </c>
      <c r="G20" s="13"/>
      <c r="H20" s="13"/>
      <c r="I20" s="13"/>
      <c r="J20" s="13"/>
      <c r="K20" s="13"/>
    </row>
    <row r="21" spans="1:11" s="11" customFormat="1" x14ac:dyDescent="0.25">
      <c r="A21" s="9" t="s">
        <v>105</v>
      </c>
      <c r="B21" s="10">
        <v>13506</v>
      </c>
      <c r="C21" s="10">
        <v>4967</v>
      </c>
      <c r="D21" s="10">
        <v>8886</v>
      </c>
      <c r="E21" s="10">
        <v>45301</v>
      </c>
      <c r="F21" s="12">
        <v>80757</v>
      </c>
      <c r="G21" s="13"/>
      <c r="H21" s="13"/>
      <c r="I21" s="13"/>
      <c r="J21" s="13"/>
      <c r="K21" s="13"/>
    </row>
    <row r="22" spans="1:11" s="11" customFormat="1" x14ac:dyDescent="0.25">
      <c r="A22" s="72" t="s">
        <v>106</v>
      </c>
      <c r="B22" s="18">
        <v>54242</v>
      </c>
      <c r="C22" s="18">
        <v>24013</v>
      </c>
      <c r="D22" s="18">
        <v>65139</v>
      </c>
      <c r="E22" s="18">
        <v>175615</v>
      </c>
      <c r="F22" s="18">
        <v>159718</v>
      </c>
      <c r="G22" s="13"/>
      <c r="H22" s="13"/>
      <c r="I22" s="13"/>
      <c r="J22" s="13"/>
      <c r="K22" s="13"/>
    </row>
    <row r="23" spans="1:11" s="11" customFormat="1" x14ac:dyDescent="0.25">
      <c r="A23" s="9" t="s">
        <v>107</v>
      </c>
      <c r="B23" s="10">
        <v>63875</v>
      </c>
      <c r="C23" s="10">
        <v>65673</v>
      </c>
      <c r="D23" s="10">
        <v>38481</v>
      </c>
      <c r="E23" s="10">
        <v>124494</v>
      </c>
      <c r="F23" s="12">
        <v>235361</v>
      </c>
      <c r="G23" s="13"/>
      <c r="H23" s="13"/>
      <c r="I23" s="13"/>
      <c r="J23" s="13"/>
      <c r="K23" s="13"/>
    </row>
    <row r="24" spans="1:11" s="11" customFormat="1" x14ac:dyDescent="0.25">
      <c r="A24" s="9"/>
      <c r="B24" s="80"/>
      <c r="C24" s="80"/>
      <c r="D24" s="10"/>
      <c r="E24" s="10"/>
      <c r="F24" s="12"/>
      <c r="G24" s="13"/>
      <c r="H24" s="13"/>
      <c r="I24" s="13"/>
      <c r="J24" s="13"/>
      <c r="K24" s="13"/>
    </row>
    <row r="25" spans="1:11" s="11" customFormat="1" x14ac:dyDescent="0.25">
      <c r="A25" s="9" t="s">
        <v>108</v>
      </c>
      <c r="B25" s="10">
        <v>0</v>
      </c>
      <c r="C25" s="10"/>
      <c r="D25" s="10"/>
      <c r="E25" s="10"/>
      <c r="F25" s="12"/>
      <c r="G25" s="13"/>
      <c r="H25" s="13"/>
      <c r="I25" s="13"/>
      <c r="J25" s="13"/>
      <c r="K25" s="13"/>
    </row>
    <row r="26" spans="1:11" s="11" customFormat="1" x14ac:dyDescent="0.25">
      <c r="A26" s="9" t="s">
        <v>109</v>
      </c>
      <c r="B26" s="10">
        <v>-4331</v>
      </c>
      <c r="C26" s="10">
        <v>-354477</v>
      </c>
      <c r="D26" s="10">
        <v>-656522</v>
      </c>
      <c r="E26" s="10">
        <v>-362479</v>
      </c>
      <c r="F26" s="12">
        <v>-764374</v>
      </c>
      <c r="G26" s="13"/>
      <c r="H26" s="13"/>
      <c r="I26" s="13"/>
      <c r="J26" s="13"/>
      <c r="K26" s="13"/>
    </row>
    <row r="27" spans="1:11" s="11" customFormat="1" x14ac:dyDescent="0.25">
      <c r="A27" s="9" t="s">
        <v>110</v>
      </c>
      <c r="B27" s="10">
        <v>11158</v>
      </c>
      <c r="C27" s="10">
        <v>130083</v>
      </c>
      <c r="D27" s="10">
        <v>379839</v>
      </c>
      <c r="E27" s="10">
        <v>718617</v>
      </c>
      <c r="F27" s="12">
        <v>72138</v>
      </c>
      <c r="G27" s="13"/>
      <c r="H27" s="13"/>
      <c r="I27" s="13"/>
      <c r="J27" s="13"/>
      <c r="K27" s="13"/>
    </row>
    <row r="28" spans="1:11" s="11" customFormat="1" ht="15.95" customHeight="1" x14ac:dyDescent="0.25">
      <c r="A28" s="32" t="s">
        <v>111</v>
      </c>
      <c r="B28" s="10" t="s">
        <v>48</v>
      </c>
      <c r="C28" s="10">
        <v>0</v>
      </c>
      <c r="D28" s="10">
        <v>0</v>
      </c>
      <c r="E28" s="10">
        <v>0</v>
      </c>
      <c r="F28" s="12">
        <v>-6555</v>
      </c>
      <c r="G28" s="13"/>
      <c r="H28" s="13"/>
      <c r="I28" s="13"/>
      <c r="J28" s="13"/>
      <c r="K28" s="13"/>
    </row>
    <row r="29" spans="1:11" s="11" customFormat="1" x14ac:dyDescent="0.25">
      <c r="A29" s="77" t="s">
        <v>112</v>
      </c>
      <c r="B29" s="10">
        <v>0</v>
      </c>
      <c r="C29" s="10">
        <v>0</v>
      </c>
      <c r="D29" s="10">
        <v>0</v>
      </c>
      <c r="E29" s="10">
        <v>14546</v>
      </c>
      <c r="F29" s="12">
        <v>0</v>
      </c>
      <c r="G29" s="13"/>
      <c r="H29" s="13"/>
      <c r="I29" s="13"/>
      <c r="J29" s="13"/>
      <c r="K29" s="13"/>
    </row>
    <row r="30" spans="1:11" s="11" customFormat="1" x14ac:dyDescent="0.25">
      <c r="A30" s="9" t="s">
        <v>113</v>
      </c>
      <c r="B30" s="10">
        <v>-11139</v>
      </c>
      <c r="C30" s="10">
        <v>-15939</v>
      </c>
      <c r="D30" s="10">
        <v>-72629</v>
      </c>
      <c r="E30" s="10">
        <v>-49886</v>
      </c>
      <c r="F30" s="12">
        <v>-55802</v>
      </c>
      <c r="G30" s="13"/>
      <c r="H30" s="13"/>
      <c r="I30" s="13"/>
      <c r="J30" s="13"/>
      <c r="K30" s="13"/>
    </row>
    <row r="31" spans="1:11" s="11" customFormat="1" x14ac:dyDescent="0.25">
      <c r="A31" s="9" t="s">
        <v>114</v>
      </c>
      <c r="B31" s="10">
        <v>-558</v>
      </c>
      <c r="C31" s="10">
        <v>-404</v>
      </c>
      <c r="D31" s="10">
        <v>-241</v>
      </c>
      <c r="E31" s="10">
        <v>-392</v>
      </c>
      <c r="F31" s="12">
        <v>-307</v>
      </c>
      <c r="G31" s="13"/>
      <c r="H31" s="13"/>
      <c r="I31" s="13"/>
      <c r="J31" s="13"/>
      <c r="K31" s="13"/>
    </row>
    <row r="32" spans="1:11" s="11" customFormat="1" x14ac:dyDescent="0.25">
      <c r="A32" s="9" t="s">
        <v>115</v>
      </c>
      <c r="B32" s="10" t="s">
        <v>48</v>
      </c>
      <c r="C32" s="10">
        <v>0</v>
      </c>
      <c r="D32" s="10">
        <v>95</v>
      </c>
      <c r="E32" s="10">
        <v>43</v>
      </c>
      <c r="F32" s="12">
        <v>287</v>
      </c>
      <c r="G32" s="13"/>
      <c r="H32" s="13"/>
      <c r="I32" s="13"/>
      <c r="J32" s="13"/>
      <c r="K32" s="13"/>
    </row>
    <row r="33" spans="1:13" s="11" customFormat="1" ht="15.95" customHeight="1" x14ac:dyDescent="0.25">
      <c r="A33" s="9" t="s">
        <v>67</v>
      </c>
      <c r="B33" s="10" t="s">
        <v>48</v>
      </c>
      <c r="C33" s="10">
        <v>0</v>
      </c>
      <c r="D33" s="10">
        <v>-7068</v>
      </c>
      <c r="E33" s="10">
        <v>-45500</v>
      </c>
      <c r="F33" s="12">
        <v>-74250</v>
      </c>
      <c r="G33" s="13"/>
      <c r="H33" s="13"/>
      <c r="I33" s="13"/>
      <c r="J33" s="13"/>
      <c r="K33" s="13"/>
    </row>
    <row r="34" spans="1:13" s="11" customFormat="1" x14ac:dyDescent="0.25">
      <c r="A34" s="72" t="s">
        <v>116</v>
      </c>
      <c r="B34" s="17">
        <v>-4990</v>
      </c>
      <c r="C34" s="17">
        <v>0</v>
      </c>
      <c r="D34" s="17">
        <v>0</v>
      </c>
      <c r="E34" s="17">
        <v>-22393</v>
      </c>
      <c r="F34" s="18">
        <v>-2104</v>
      </c>
      <c r="G34" s="13"/>
      <c r="H34" s="13"/>
      <c r="I34" s="13"/>
      <c r="J34" s="13"/>
      <c r="K34" s="13"/>
    </row>
    <row r="35" spans="1:13" s="11" customFormat="1" x14ac:dyDescent="0.25">
      <c r="A35" s="9" t="s">
        <v>117</v>
      </c>
      <c r="B35" s="10">
        <v>-9860</v>
      </c>
      <c r="C35" s="10">
        <v>-240737</v>
      </c>
      <c r="D35" s="10">
        <v>-356526</v>
      </c>
      <c r="E35" s="10">
        <v>252556</v>
      </c>
      <c r="F35" s="12">
        <v>-830967</v>
      </c>
      <c r="G35" s="13"/>
      <c r="H35" s="13"/>
      <c r="I35" s="13"/>
      <c r="J35" s="13"/>
      <c r="K35" s="13"/>
    </row>
    <row r="36" spans="1:13" s="11" customFormat="1" x14ac:dyDescent="0.25">
      <c r="A36" s="9"/>
      <c r="B36" s="20"/>
      <c r="C36" s="20"/>
      <c r="D36" s="10"/>
      <c r="E36" s="10"/>
      <c r="F36" s="12"/>
      <c r="G36" s="13"/>
      <c r="H36" s="13"/>
      <c r="I36" s="13"/>
      <c r="J36" s="13"/>
      <c r="K36" s="13"/>
    </row>
    <row r="37" spans="1:13" s="11" customFormat="1" x14ac:dyDescent="0.25">
      <c r="A37" s="9" t="s">
        <v>118</v>
      </c>
      <c r="B37" s="20"/>
      <c r="C37" s="20"/>
      <c r="D37" s="10"/>
      <c r="E37" s="10"/>
      <c r="F37" s="12"/>
      <c r="G37" s="13"/>
      <c r="H37" s="13"/>
      <c r="I37" s="13"/>
      <c r="J37" s="13"/>
      <c r="K37" s="13"/>
    </row>
    <row r="38" spans="1:13" s="11" customFormat="1" x14ac:dyDescent="0.25">
      <c r="A38" s="9" t="s">
        <v>119</v>
      </c>
      <c r="B38" s="10">
        <v>233993</v>
      </c>
      <c r="C38" s="10">
        <v>0</v>
      </c>
      <c r="D38" s="10">
        <v>306779</v>
      </c>
      <c r="E38" s="10">
        <v>105514</v>
      </c>
      <c r="F38" s="12">
        <v>-74</v>
      </c>
      <c r="G38" s="13"/>
      <c r="H38" s="13"/>
      <c r="I38" s="13"/>
      <c r="J38" s="13"/>
      <c r="K38" s="13"/>
    </row>
    <row r="39" spans="1:13" s="11" customFormat="1" x14ac:dyDescent="0.25">
      <c r="A39" s="9" t="s">
        <v>120</v>
      </c>
      <c r="B39" s="10">
        <v>1757</v>
      </c>
      <c r="C39" s="10">
        <v>114</v>
      </c>
      <c r="D39" s="10">
        <v>295</v>
      </c>
      <c r="E39" s="10">
        <v>51614</v>
      </c>
      <c r="F39" s="12">
        <v>0</v>
      </c>
      <c r="G39" s="13"/>
      <c r="H39" s="13"/>
      <c r="I39" s="13"/>
      <c r="J39" s="13"/>
      <c r="K39" s="13"/>
    </row>
    <row r="40" spans="1:13" s="11" customFormat="1" x14ac:dyDescent="0.25">
      <c r="A40" s="9" t="s">
        <v>121</v>
      </c>
      <c r="B40" s="10">
        <v>-14127</v>
      </c>
      <c r="C40" s="10">
        <v>-4051</v>
      </c>
      <c r="D40" s="10">
        <v>-7809</v>
      </c>
      <c r="E40" s="10">
        <v>-331309</v>
      </c>
      <c r="F40" s="12">
        <v>-4870</v>
      </c>
      <c r="G40" s="13"/>
      <c r="H40" s="13"/>
      <c r="I40" s="13"/>
      <c r="J40" s="13"/>
      <c r="K40" s="13"/>
    </row>
    <row r="41" spans="1:13" s="11" customFormat="1" x14ac:dyDescent="0.25">
      <c r="A41" s="9" t="s">
        <v>122</v>
      </c>
      <c r="B41" s="10" t="s">
        <v>48</v>
      </c>
      <c r="C41" s="10">
        <v>0</v>
      </c>
      <c r="D41" s="10">
        <v>0</v>
      </c>
      <c r="E41" s="10">
        <v>0</v>
      </c>
      <c r="F41" s="12">
        <v>673769</v>
      </c>
      <c r="G41" s="13"/>
      <c r="H41" s="13"/>
      <c r="I41" s="13"/>
      <c r="J41" s="13"/>
      <c r="K41" s="13"/>
    </row>
    <row r="42" spans="1:13" s="11" customFormat="1" x14ac:dyDescent="0.25">
      <c r="A42" s="9" t="s">
        <v>123</v>
      </c>
      <c r="B42" s="10" t="s">
        <v>48</v>
      </c>
      <c r="C42" s="10">
        <v>0</v>
      </c>
      <c r="D42" s="10">
        <v>0</v>
      </c>
      <c r="E42" s="10">
        <v>0</v>
      </c>
      <c r="F42" s="12">
        <v>124269</v>
      </c>
      <c r="G42" s="13"/>
      <c r="H42" s="13"/>
      <c r="I42" s="13"/>
      <c r="J42" s="13"/>
      <c r="K42" s="13"/>
    </row>
    <row r="43" spans="1:13" s="83" customFormat="1" x14ac:dyDescent="0.25">
      <c r="A43" s="81" t="s">
        <v>124</v>
      </c>
      <c r="B43" s="82" t="s">
        <v>48</v>
      </c>
      <c r="C43" s="82">
        <v>0</v>
      </c>
      <c r="D43" s="82">
        <v>0</v>
      </c>
      <c r="E43" s="82">
        <v>0</v>
      </c>
      <c r="F43" s="18">
        <v>-194994</v>
      </c>
      <c r="G43" s="13"/>
      <c r="H43" s="13"/>
      <c r="I43" s="13"/>
      <c r="J43" s="13"/>
      <c r="K43" s="13"/>
    </row>
    <row r="44" spans="1:13" s="11" customFormat="1" x14ac:dyDescent="0.25">
      <c r="A44" s="77" t="s">
        <v>125</v>
      </c>
      <c r="B44" s="10">
        <v>219348</v>
      </c>
      <c r="C44" s="10">
        <v>-3937</v>
      </c>
      <c r="D44" s="10">
        <v>299265</v>
      </c>
      <c r="E44" s="10">
        <v>-174181</v>
      </c>
      <c r="F44" s="12">
        <v>598100</v>
      </c>
      <c r="G44" s="13"/>
      <c r="H44" s="13"/>
      <c r="I44" s="13"/>
      <c r="J44" s="13"/>
      <c r="K44" s="13"/>
      <c r="L44" s="83"/>
      <c r="M44" s="83"/>
    </row>
    <row r="45" spans="1:13" s="11" customFormat="1" x14ac:dyDescent="0.25">
      <c r="A45" s="9" t="s">
        <v>126</v>
      </c>
      <c r="B45" s="10">
        <v>-774</v>
      </c>
      <c r="C45" s="10">
        <v>329</v>
      </c>
      <c r="D45" s="10">
        <v>1976</v>
      </c>
      <c r="E45" s="10">
        <v>-1982</v>
      </c>
      <c r="F45" s="12">
        <v>-3380</v>
      </c>
      <c r="G45" s="13"/>
      <c r="H45" s="13"/>
      <c r="I45" s="13"/>
      <c r="J45" s="13"/>
      <c r="K45" s="13"/>
    </row>
    <row r="46" spans="1:13" s="11" customFormat="1" x14ac:dyDescent="0.25">
      <c r="A46" s="77" t="s">
        <v>127</v>
      </c>
      <c r="B46" s="10">
        <v>272589</v>
      </c>
      <c r="C46" s="10">
        <v>-178672</v>
      </c>
      <c r="D46" s="10">
        <v>-16804</v>
      </c>
      <c r="E46" s="10">
        <v>200887</v>
      </c>
      <c r="F46" s="12">
        <v>-886</v>
      </c>
      <c r="G46" s="13"/>
      <c r="H46" s="13"/>
      <c r="I46" s="13"/>
      <c r="J46" s="13"/>
      <c r="K46" s="13"/>
    </row>
    <row r="47" spans="1:13" s="11" customFormat="1" x14ac:dyDescent="0.25">
      <c r="A47" s="9" t="s">
        <v>128</v>
      </c>
      <c r="B47" s="10">
        <v>78438</v>
      </c>
      <c r="C47" s="10">
        <v>351027</v>
      </c>
      <c r="D47" s="10">
        <v>172355</v>
      </c>
      <c r="E47" s="10">
        <v>155551</v>
      </c>
      <c r="F47" s="18">
        <v>356438</v>
      </c>
      <c r="G47" s="13"/>
      <c r="H47" s="13"/>
      <c r="I47" s="13"/>
      <c r="J47" s="13"/>
      <c r="K47" s="13"/>
    </row>
    <row r="48" spans="1:13" s="11" customFormat="1" ht="15.75" thickBot="1" x14ac:dyDescent="0.3">
      <c r="A48" s="22" t="s">
        <v>129</v>
      </c>
      <c r="B48" s="23">
        <v>351027</v>
      </c>
      <c r="C48" s="23">
        <v>172355</v>
      </c>
      <c r="D48" s="23">
        <v>155551</v>
      </c>
      <c r="E48" s="23">
        <v>356438</v>
      </c>
      <c r="F48" s="24">
        <v>355552</v>
      </c>
      <c r="G48" s="13"/>
      <c r="H48" s="13"/>
      <c r="I48" s="13"/>
      <c r="J48" s="13"/>
      <c r="K48" s="13"/>
    </row>
    <row r="49" spans="1:67" s="4" customFormat="1" ht="15.75" thickTop="1" x14ac:dyDescent="0.25">
      <c r="A49" s="25"/>
      <c r="B49" s="26"/>
      <c r="C49" s="26"/>
      <c r="D49" s="27"/>
      <c r="E49" s="27"/>
      <c r="F49" s="27"/>
      <c r="G49" s="13"/>
      <c r="H49" s="13"/>
      <c r="I49" s="13"/>
      <c r="J49" s="13"/>
      <c r="K49" s="13"/>
    </row>
    <row r="50" spans="1:67" s="4" customFormat="1" x14ac:dyDescent="0.25">
      <c r="A50" s="25" t="s">
        <v>130</v>
      </c>
      <c r="B50" s="27"/>
      <c r="C50" s="27"/>
      <c r="D50" s="27"/>
      <c r="E50" s="27"/>
      <c r="F50" s="27"/>
      <c r="G50" s="13"/>
      <c r="H50" s="13"/>
      <c r="I50" s="13"/>
      <c r="J50" s="13"/>
      <c r="K50" s="13"/>
    </row>
    <row r="51" spans="1:67" s="11" customFormat="1" x14ac:dyDescent="0.25">
      <c r="A51" s="9" t="s">
        <v>107</v>
      </c>
      <c r="B51" s="61">
        <v>63875</v>
      </c>
      <c r="C51" s="10">
        <v>65673</v>
      </c>
      <c r="D51" s="10">
        <v>38481</v>
      </c>
      <c r="E51" s="10">
        <v>124494</v>
      </c>
      <c r="F51" s="84">
        <v>235361</v>
      </c>
      <c r="G51" s="13"/>
      <c r="H51" s="13"/>
      <c r="I51" s="13"/>
      <c r="J51" s="13"/>
      <c r="K51" s="13"/>
    </row>
    <row r="52" spans="1:67" s="11" customFormat="1" x14ac:dyDescent="0.25">
      <c r="A52" s="9" t="s">
        <v>131</v>
      </c>
      <c r="B52" s="10">
        <v>-10419</v>
      </c>
      <c r="C52" s="10">
        <v>-15939</v>
      </c>
      <c r="D52" s="10">
        <v>-72629</v>
      </c>
      <c r="E52" s="10">
        <v>-49886</v>
      </c>
      <c r="F52" s="12">
        <v>-55802</v>
      </c>
      <c r="G52" s="13"/>
      <c r="H52" s="13"/>
      <c r="I52" s="13"/>
      <c r="J52" s="13"/>
      <c r="K52" s="13"/>
    </row>
    <row r="53" spans="1:67" s="11" customFormat="1" x14ac:dyDescent="0.25">
      <c r="A53" s="9" t="s">
        <v>132</v>
      </c>
      <c r="B53" s="10">
        <v>-1024</v>
      </c>
      <c r="C53" s="10">
        <v>-404</v>
      </c>
      <c r="D53" s="10">
        <v>-241</v>
      </c>
      <c r="E53" s="10">
        <v>-392</v>
      </c>
      <c r="F53" s="18">
        <v>-307</v>
      </c>
      <c r="G53" s="13"/>
      <c r="H53" s="13"/>
      <c r="I53" s="13"/>
      <c r="J53" s="13"/>
      <c r="K53" s="13"/>
    </row>
    <row r="54" spans="1:67" s="11" customFormat="1" ht="18" thickBot="1" x14ac:dyDescent="0.3">
      <c r="A54" s="85" t="s">
        <v>133</v>
      </c>
      <c r="B54" s="23">
        <v>52432</v>
      </c>
      <c r="C54" s="23">
        <v>49330</v>
      </c>
      <c r="D54" s="23">
        <v>-34389</v>
      </c>
      <c r="E54" s="23">
        <v>74216</v>
      </c>
      <c r="F54" s="24">
        <v>179252</v>
      </c>
      <c r="G54" s="13"/>
      <c r="H54" s="13"/>
      <c r="I54" s="13"/>
      <c r="J54" s="13"/>
      <c r="K54" s="13"/>
    </row>
    <row r="55" spans="1:67" s="11" customFormat="1" ht="15.75" thickTop="1" x14ac:dyDescent="0.25">
      <c r="A55" s="86" t="s">
        <v>134</v>
      </c>
      <c r="B55" s="10" t="s">
        <v>48</v>
      </c>
      <c r="C55" s="12">
        <v>-896</v>
      </c>
      <c r="D55" s="12">
        <v>-3345</v>
      </c>
      <c r="E55" s="12">
        <v>-5217</v>
      </c>
      <c r="F55" s="12">
        <v>1463</v>
      </c>
      <c r="G55" s="13"/>
      <c r="H55" s="13"/>
      <c r="I55" s="13"/>
      <c r="J55" s="13"/>
      <c r="K55" s="13"/>
    </row>
    <row r="56" spans="1:67" s="11" customFormat="1" x14ac:dyDescent="0.25">
      <c r="A56" s="9" t="s">
        <v>135</v>
      </c>
      <c r="B56" s="10" t="s">
        <v>48</v>
      </c>
      <c r="C56" s="10" t="s">
        <v>48</v>
      </c>
      <c r="D56" s="10" t="s">
        <v>48</v>
      </c>
      <c r="E56" s="10">
        <v>10298</v>
      </c>
      <c r="F56" s="18">
        <v>15899</v>
      </c>
      <c r="G56" s="13"/>
      <c r="H56" s="13"/>
      <c r="I56" s="13"/>
      <c r="J56" s="13"/>
      <c r="K56" s="13"/>
    </row>
    <row r="57" spans="1:67" s="11" customFormat="1" ht="18" thickBot="1" x14ac:dyDescent="0.3">
      <c r="A57" s="85" t="s">
        <v>136</v>
      </c>
      <c r="B57" s="87" t="s">
        <v>48</v>
      </c>
      <c r="C57" s="87">
        <v>48434</v>
      </c>
      <c r="D57" s="87">
        <v>16418</v>
      </c>
      <c r="E57" s="87">
        <v>79297</v>
      </c>
      <c r="F57" s="87">
        <v>196614</v>
      </c>
      <c r="G57" s="13"/>
      <c r="H57" s="13"/>
      <c r="I57" s="13"/>
      <c r="J57" s="13"/>
      <c r="K57" s="13"/>
    </row>
    <row r="58" spans="1:67" ht="15.75" thickTop="1" x14ac:dyDescent="0.25"/>
    <row r="59" spans="1:67" s="75" customFormat="1" ht="32.1" customHeight="1" x14ac:dyDescent="0.25">
      <c r="A59" s="74" t="s">
        <v>142</v>
      </c>
      <c r="G59" s="14"/>
      <c r="H59" s="14"/>
      <c r="I59" s="3"/>
      <c r="J59" s="3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</row>
    <row r="60" spans="1:67" x14ac:dyDescent="0.25">
      <c r="A60" s="9" t="s">
        <v>89</v>
      </c>
    </row>
    <row r="61" spans="1:67" x14ac:dyDescent="0.25">
      <c r="A61" s="9" t="s">
        <v>17</v>
      </c>
      <c r="B61" s="91">
        <f>B5/IS!B$4</f>
        <v>6.9524457944904153E-2</v>
      </c>
      <c r="C61" s="91">
        <f>C5/IS!C$4</f>
        <v>1.6614549975511434E-3</v>
      </c>
      <c r="D61" s="91">
        <f>D5/IS!D$4</f>
        <v>-2.5315600665488992E-3</v>
      </c>
      <c r="E61" s="91">
        <f>E5/IS!E$4</f>
        <v>-6.9515080827583647E-2</v>
      </c>
      <c r="F61" s="91">
        <f>F5/IS!F$4</f>
        <v>0.12365297264136277</v>
      </c>
    </row>
    <row r="62" spans="1:67" x14ac:dyDescent="0.25">
      <c r="A62" s="77" t="s">
        <v>90</v>
      </c>
      <c r="B62" s="91"/>
      <c r="C62" s="91"/>
      <c r="D62" s="91"/>
      <c r="E62" s="91"/>
      <c r="F62" s="91"/>
    </row>
    <row r="63" spans="1:67" x14ac:dyDescent="0.25">
      <c r="A63" s="78" t="s">
        <v>91</v>
      </c>
      <c r="B63" s="91">
        <f>B7/IS!B$4</f>
        <v>5.208442442652142E-2</v>
      </c>
      <c r="C63" s="91">
        <f>C7/IS!C$4</f>
        <v>0.1478638435745771</v>
      </c>
      <c r="D63" s="91">
        <f>D7/IS!D$4</f>
        <v>0.19614010510966912</v>
      </c>
      <c r="E63" s="91">
        <f>E7/IS!E$4</f>
        <v>0.35132925093324963</v>
      </c>
      <c r="F63" s="91">
        <f>F7/IS!F$4</f>
        <v>8.9228403232109316E-2</v>
      </c>
    </row>
    <row r="64" spans="1:67" x14ac:dyDescent="0.25">
      <c r="A64" s="9" t="s">
        <v>92</v>
      </c>
      <c r="B64" s="91">
        <f>B8/IS!B$4</f>
        <v>-8.5509965053277084E-3</v>
      </c>
      <c r="C64" s="91">
        <f>C8/IS!C$4</f>
        <v>-1.5045398033379799E-2</v>
      </c>
      <c r="D64" s="91">
        <f>D8/IS!D$4</f>
        <v>-2.4270083979072044E-2</v>
      </c>
      <c r="E64" s="91">
        <f>E8/IS!E$4</f>
        <v>-9.4168159827468984E-2</v>
      </c>
      <c r="F64" s="91">
        <f>F8/IS!F$4</f>
        <v>1.8564039212225877E-2</v>
      </c>
    </row>
    <row r="65" spans="1:6" x14ac:dyDescent="0.25">
      <c r="A65" s="79" t="s">
        <v>93</v>
      </c>
      <c r="B65" s="91"/>
      <c r="C65" s="91">
        <f>C9/IS!C$4</f>
        <v>0</v>
      </c>
      <c r="D65" s="91">
        <f>D9/IS!D$4</f>
        <v>0</v>
      </c>
      <c r="E65" s="91">
        <f>E9/IS!E$4</f>
        <v>-2.6679994116154977E-2</v>
      </c>
      <c r="F65" s="91">
        <f>F9/IS!F$4</f>
        <v>-8.3149919953610915E-2</v>
      </c>
    </row>
    <row r="66" spans="1:6" x14ac:dyDescent="0.25">
      <c r="A66" s="9" t="s">
        <v>94</v>
      </c>
      <c r="B66" s="91">
        <f>B10/IS!B$4</f>
        <v>2.5269718236095109E-2</v>
      </c>
      <c r="C66" s="91">
        <f>C10/IS!C$4</f>
        <v>2.1401122706551635E-2</v>
      </c>
      <c r="D66" s="91">
        <f>D10/IS!D$4</f>
        <v>1.8318568346982318E-2</v>
      </c>
      <c r="E66" s="91">
        <f>E10/IS!E$4</f>
        <v>2.1652086390596965E-2</v>
      </c>
      <c r="F66" s="91">
        <f>F10/IS!F$4</f>
        <v>2.0489354460537762E-2</v>
      </c>
    </row>
    <row r="67" spans="1:6" x14ac:dyDescent="0.25">
      <c r="A67" s="77" t="s">
        <v>95</v>
      </c>
      <c r="B67" s="91">
        <f>B11/IS!B$4</f>
        <v>8.0939276498090786E-5</v>
      </c>
      <c r="C67" s="91">
        <f>C11/IS!C$4</f>
        <v>1.6878272990995744E-3</v>
      </c>
      <c r="D67" s="91">
        <f>D11/IS!D$4</f>
        <v>4.9118726349223129E-3</v>
      </c>
      <c r="E67" s="91">
        <f>E11/IS!E$4</f>
        <v>6.042523520902128E-3</v>
      </c>
      <c r="F67" s="91">
        <f>F11/IS!F$4</f>
        <v>-1.2294789211175401E-3</v>
      </c>
    </row>
    <row r="68" spans="1:6" x14ac:dyDescent="0.25">
      <c r="A68" s="9" t="s">
        <v>96</v>
      </c>
      <c r="B68" s="91"/>
      <c r="C68" s="91">
        <f>C12/IS!C$4</f>
        <v>5.7114870210601661E-3</v>
      </c>
      <c r="D68" s="91">
        <f>D12/IS!D$4</f>
        <v>6.0264051700212777E-3</v>
      </c>
      <c r="E68" s="91">
        <f>E12/IS!E$4</f>
        <v>6.4548559674118379E-3</v>
      </c>
      <c r="F68" s="91">
        <f>F12/IS!F$4</f>
        <v>5.6515692033598476E-3</v>
      </c>
    </row>
    <row r="69" spans="1:6" x14ac:dyDescent="0.25">
      <c r="A69" s="9" t="s">
        <v>97</v>
      </c>
      <c r="B69" s="91">
        <f>B13/IS!B$4</f>
        <v>2.7233685974651723E-3</v>
      </c>
      <c r="C69" s="91">
        <f>C13/IS!C$4</f>
        <v>1.8517123158648232E-3</v>
      </c>
      <c r="D69" s="91">
        <f>D13/IS!D$4</f>
        <v>9.8531137160922928E-4</v>
      </c>
      <c r="E69" s="91">
        <f>E13/IS!E$4</f>
        <v>-8.1771546976363858E-4</v>
      </c>
      <c r="F69" s="91">
        <f>F13/IS!F$4</f>
        <v>2.9203275809182856E-3</v>
      </c>
    </row>
    <row r="70" spans="1:6" x14ac:dyDescent="0.25">
      <c r="A70" s="11" t="s">
        <v>98</v>
      </c>
      <c r="B70" s="91"/>
      <c r="C70" s="91">
        <f>C14/IS!C$4</f>
        <v>0</v>
      </c>
      <c r="D70" s="91">
        <f>D14/IS!D$4</f>
        <v>0</v>
      </c>
      <c r="E70" s="91">
        <f>E14/IS!E$4</f>
        <v>0</v>
      </c>
      <c r="F70" s="91">
        <f>F14/IS!F$4</f>
        <v>1.6639564345951669E-4</v>
      </c>
    </row>
    <row r="71" spans="1:6" x14ac:dyDescent="0.25">
      <c r="A71" s="11" t="s">
        <v>99</v>
      </c>
      <c r="B71" s="91"/>
      <c r="C71" s="91">
        <f>C15/IS!C$4</f>
        <v>0</v>
      </c>
      <c r="D71" s="91">
        <f>D15/IS!D$4</f>
        <v>0</v>
      </c>
      <c r="E71" s="91">
        <f>E15/IS!E$4</f>
        <v>0</v>
      </c>
      <c r="F71" s="91">
        <f>F15/IS!F$4</f>
        <v>1.7732060994928294E-4</v>
      </c>
    </row>
    <row r="72" spans="1:6" x14ac:dyDescent="0.25">
      <c r="A72" s="9" t="s">
        <v>100</v>
      </c>
      <c r="B72" s="91"/>
      <c r="C72" s="91">
        <f>C16/IS!C$4</f>
        <v>4.9146667671325769E-3</v>
      </c>
      <c r="D72" s="91">
        <f>D16/IS!D$4</f>
        <v>4.9104042126099298E-3</v>
      </c>
      <c r="E72" s="91">
        <f>E16/IS!E$4</f>
        <v>2.7797693023126521E-5</v>
      </c>
      <c r="F72" s="91">
        <f>F16/IS!F$4</f>
        <v>5.3103740960640704E-3</v>
      </c>
    </row>
    <row r="73" spans="1:6" x14ac:dyDescent="0.25">
      <c r="A73" s="9" t="s">
        <v>101</v>
      </c>
      <c r="B73" s="91">
        <f>B17/IS!B$4</f>
        <v>0</v>
      </c>
      <c r="C73" s="91">
        <f>C17/IS!C$4</f>
        <v>0</v>
      </c>
      <c r="D73" s="91">
        <f>D17/IS!D$4</f>
        <v>0</v>
      </c>
      <c r="E73" s="91">
        <f>E17/IS!E$4</f>
        <v>0</v>
      </c>
      <c r="F73" s="91">
        <f>F17/IS!F$4</f>
        <v>0</v>
      </c>
    </row>
    <row r="74" spans="1:6" x14ac:dyDescent="0.25">
      <c r="A74" s="9" t="s">
        <v>102</v>
      </c>
      <c r="B74" s="91">
        <f>B18/IS!B$4</f>
        <v>-0.16102869059295161</v>
      </c>
      <c r="C74" s="91">
        <f>C18/IS!C$4</f>
        <v>-7.3145462080397849E-2</v>
      </c>
      <c r="D74" s="91">
        <f>D18/IS!D$4</f>
        <v>-0.1582401252270548</v>
      </c>
      <c r="E74" s="91">
        <f>E18/IS!E$4</f>
        <v>-0.23832931231982171</v>
      </c>
      <c r="F74" s="91">
        <f>F18/IS!F$4</f>
        <v>-6.15394958548156E-2</v>
      </c>
    </row>
    <row r="75" spans="1:6" x14ac:dyDescent="0.25">
      <c r="A75" s="9" t="s">
        <v>103</v>
      </c>
      <c r="B75" s="91">
        <f>B19/IS!B$4</f>
        <v>3.5241913214051061E-2</v>
      </c>
      <c r="C75" s="91">
        <f>C19/IS!C$4</f>
        <v>-9.235956749425461E-3</v>
      </c>
      <c r="D75" s="91">
        <f>D19/IS!D$4</f>
        <v>-7.6587034124666123E-2</v>
      </c>
      <c r="E75" s="91">
        <f>E19/IS!E$4</f>
        <v>-2.116331028827366E-2</v>
      </c>
      <c r="F75" s="91">
        <f>F19/IS!F$4</f>
        <v>-8.0665750650245602E-2</v>
      </c>
    </row>
    <row r="76" spans="1:6" x14ac:dyDescent="0.25">
      <c r="A76" s="9" t="s">
        <v>104</v>
      </c>
      <c r="B76" s="91">
        <f>B20/IS!B$4</f>
        <v>-3.0326042450269958E-2</v>
      </c>
      <c r="C76" s="91">
        <f>C20/IS!C$4</f>
        <v>-1.854537919602155E-2</v>
      </c>
      <c r="D76" s="91">
        <f>D20/IS!D$4</f>
        <v>-2.1857466119826197E-2</v>
      </c>
      <c r="E76" s="91">
        <f>E20/IS!E$4</f>
        <v>-4.6512489850946456E-2</v>
      </c>
      <c r="F76" s="91">
        <f>F20/IS!F$4</f>
        <v>-4.3873825040863575E-2</v>
      </c>
    </row>
    <row r="77" spans="1:6" x14ac:dyDescent="0.25">
      <c r="A77" s="9" t="s">
        <v>105</v>
      </c>
      <c r="B77" s="91">
        <f>B21/IS!B$4</f>
        <v>3.215193730538865E-2</v>
      </c>
      <c r="C77" s="91">
        <f>C21/IS!C$4</f>
        <v>9.3565158422182874E-3</v>
      </c>
      <c r="D77" s="91">
        <f>D21/IS!D$4</f>
        <v>1.3048400667838468E-2</v>
      </c>
      <c r="E77" s="91">
        <f>E21/IS!E$4</f>
        <v>5.246930381836061E-2</v>
      </c>
      <c r="F77" s="91">
        <f>F21/IS!F$4</f>
        <v>6.7866732216465608E-2</v>
      </c>
    </row>
    <row r="78" spans="1:6" x14ac:dyDescent="0.25">
      <c r="A78" s="72" t="s">
        <v>106</v>
      </c>
      <c r="B78" s="91">
        <f>B22/IS!B$4</f>
        <v>0.1291267128179247</v>
      </c>
      <c r="C78" s="91">
        <f>C22/IS!C$4</f>
        <v>4.523414836303357E-2</v>
      </c>
      <c r="D78" s="91">
        <f>D22/IS!D$4</f>
        <v>9.5651561006339175E-2</v>
      </c>
      <c r="E78" s="91">
        <f>E22/IS!E$4</f>
        <v>0.20340382751068184</v>
      </c>
      <c r="F78" s="91">
        <f>F22/IS!F$4</f>
        <v>0.13422413829326812</v>
      </c>
    </row>
    <row r="79" spans="1:6" x14ac:dyDescent="0.25">
      <c r="A79" s="9" t="s">
        <v>107</v>
      </c>
      <c r="B79" s="91">
        <f>B23/IS!B$4</f>
        <v>0.15205871430339848</v>
      </c>
      <c r="C79" s="91">
        <f>C23/IS!C$4</f>
        <v>0.12371058282786422</v>
      </c>
      <c r="D79" s="91">
        <f>D23/IS!D$4</f>
        <v>5.6506359002823775E-2</v>
      </c>
      <c r="E79" s="91">
        <f>E23/IS!E$4</f>
        <v>0.14419358313421304</v>
      </c>
      <c r="F79" s="91">
        <f>F23/IS!F$4</f>
        <v>0.19779315676906722</v>
      </c>
    </row>
    <row r="80" spans="1:6" x14ac:dyDescent="0.25">
      <c r="A80" s="9"/>
      <c r="B80" s="91"/>
      <c r="C80" s="91"/>
      <c r="D80" s="91"/>
      <c r="E80" s="91"/>
      <c r="F80" s="91"/>
    </row>
    <row r="81" spans="1:6" x14ac:dyDescent="0.25">
      <c r="A81" s="9" t="s">
        <v>108</v>
      </c>
      <c r="B81" s="91"/>
      <c r="C81" s="91"/>
      <c r="D81" s="91"/>
      <c r="E81" s="91"/>
      <c r="F81" s="91"/>
    </row>
    <row r="82" spans="1:6" x14ac:dyDescent="0.25">
      <c r="A82" s="9" t="s">
        <v>109</v>
      </c>
      <c r="B82" s="91">
        <f>B26/IS!B$4</f>
        <v>-1.0310235485683271E-2</v>
      </c>
      <c r="C82" s="91">
        <f>C26/IS!C$4</f>
        <v>-0.66774102399879443</v>
      </c>
      <c r="D82" s="91">
        <f>D26/IS!D$4</f>
        <v>-0.96405155337054316</v>
      </c>
      <c r="E82" s="91">
        <f>E26/IS!E$4</f>
        <v>-0.41983666538874492</v>
      </c>
      <c r="F82" s="91">
        <f>F26/IS!F$4</f>
        <v>-0.64236617966527587</v>
      </c>
    </row>
    <row r="83" spans="1:6" x14ac:dyDescent="0.25">
      <c r="A83" s="9" t="s">
        <v>110</v>
      </c>
      <c r="B83" s="91">
        <f>B27/IS!B$4</f>
        <v>2.6562366093108736E-2</v>
      </c>
      <c r="C83" s="91">
        <f>C27/IS!C$4</f>
        <v>0.245042007308895</v>
      </c>
      <c r="D83" s="91">
        <f>D27/IS!D$4</f>
        <v>0.55776406271338008</v>
      </c>
      <c r="E83" s="91">
        <f>E27/IS!E$4</f>
        <v>0.83232894863333795</v>
      </c>
      <c r="F83" s="91">
        <f>F27/IS!F$4</f>
        <v>6.0623479433750585E-2</v>
      </c>
    </row>
    <row r="84" spans="1:6" x14ac:dyDescent="0.25">
      <c r="A84" s="32" t="s">
        <v>111</v>
      </c>
      <c r="B84" s="91"/>
      <c r="C84" s="91">
        <f>C28/IS!C$4</f>
        <v>0</v>
      </c>
      <c r="D84" s="91">
        <f>D28/IS!D$4</f>
        <v>0</v>
      </c>
      <c r="E84" s="91">
        <f>E28/IS!E$4</f>
        <v>0</v>
      </c>
      <c r="F84" s="91">
        <f>F28/IS!F$4</f>
        <v>-5.508704256955212E-3</v>
      </c>
    </row>
    <row r="85" spans="1:6" x14ac:dyDescent="0.25">
      <c r="A85" s="77" t="s">
        <v>112</v>
      </c>
      <c r="B85" s="91">
        <f>B29/IS!B$4</f>
        <v>0</v>
      </c>
      <c r="C85" s="91">
        <f>C29/IS!C$4</f>
        <v>0</v>
      </c>
      <c r="D85" s="91">
        <f>D29/IS!D$4</f>
        <v>0</v>
      </c>
      <c r="E85" s="91">
        <f>E29/IS!E$4</f>
        <v>1.6847718446433266E-2</v>
      </c>
      <c r="F85" s="91">
        <f>F29/IS!F$4</f>
        <v>0</v>
      </c>
    </row>
    <row r="86" spans="1:6" x14ac:dyDescent="0.25">
      <c r="A86" s="9" t="s">
        <v>113</v>
      </c>
      <c r="B86" s="91">
        <f>B30/IS!B$4</f>
        <v>-2.6517135320948036E-2</v>
      </c>
      <c r="C86" s="91">
        <f>C30/IS!C$4</f>
        <v>-3.0024865312888522E-2</v>
      </c>
      <c r="D86" s="91">
        <f>D30/IS!D$4</f>
        <v>-0.10665004412609048</v>
      </c>
      <c r="E86" s="91">
        <f>E30/IS!E$4</f>
        <v>-5.7779821422987071E-2</v>
      </c>
      <c r="F86" s="91">
        <f>F30/IS!F$4</f>
        <v>-4.6894998466302781E-2</v>
      </c>
    </row>
    <row r="87" spans="1:6" x14ac:dyDescent="0.25">
      <c r="A87" s="9" t="s">
        <v>114</v>
      </c>
      <c r="B87" s="91">
        <f>B31/IS!B$4</f>
        <v>-1.3283563613510194E-3</v>
      </c>
      <c r="C87" s="91">
        <f>C31/IS!C$4</f>
        <v>-7.6102927325471875E-4</v>
      </c>
      <c r="D87" s="91">
        <f>D31/IS!D$4</f>
        <v>-3.5388977728438787E-4</v>
      </c>
      <c r="E87" s="91">
        <f>E31/IS!E$4</f>
        <v>-4.5402898604439987E-4</v>
      </c>
      <c r="F87" s="91">
        <f>F31/IS!F$4</f>
        <v>-2.579972855660183E-4</v>
      </c>
    </row>
    <row r="88" spans="1:6" x14ac:dyDescent="0.25">
      <c r="A88" s="9" t="s">
        <v>115</v>
      </c>
      <c r="B88" s="91"/>
      <c r="C88" s="91">
        <f>C32/IS!C$4</f>
        <v>0</v>
      </c>
      <c r="D88" s="91">
        <f>D32/IS!D$4</f>
        <v>1.3950011967641846E-4</v>
      </c>
      <c r="E88" s="91">
        <f>E32/IS!E$4</f>
        <v>4.9804199999768353E-5</v>
      </c>
      <c r="F88" s="91">
        <f>F32/IS!F$4</f>
        <v>2.4118964481253179E-4</v>
      </c>
    </row>
    <row r="89" spans="1:6" x14ac:dyDescent="0.25">
      <c r="A89" s="9" t="s">
        <v>67</v>
      </c>
      <c r="B89" s="91"/>
      <c r="C89" s="91">
        <f>C33/IS!C$4</f>
        <v>0</v>
      </c>
      <c r="D89" s="91">
        <f>D33/IS!D$4</f>
        <v>-1.0378808903925533E-2</v>
      </c>
      <c r="E89" s="91">
        <f>E33/IS!E$4</f>
        <v>-5.2699793023010699E-2</v>
      </c>
      <c r="F89" s="91">
        <f>F33/IS!F$4</f>
        <v>-6.2398366297318764E-2</v>
      </c>
    </row>
    <row r="90" spans="1:6" x14ac:dyDescent="0.25">
      <c r="A90" s="72" t="s">
        <v>116</v>
      </c>
      <c r="B90" s="91">
        <f>B34/IS!B$4</f>
        <v>-1.1879029109572736E-2</v>
      </c>
      <c r="C90" s="91">
        <f>C34/IS!C$4</f>
        <v>0</v>
      </c>
      <c r="D90" s="91">
        <f>D34/IS!D$4</f>
        <v>0</v>
      </c>
      <c r="E90" s="91">
        <f>E34/IS!E$4</f>
        <v>-2.5936405827786342E-2</v>
      </c>
      <c r="F90" s="91">
        <f>F34/IS!F$4</f>
        <v>-1.7681638072667835E-3</v>
      </c>
    </row>
    <row r="91" spans="1:6" x14ac:dyDescent="0.25">
      <c r="A91" s="9" t="s">
        <v>117</v>
      </c>
      <c r="B91" s="91">
        <f>B35/IS!B$4</f>
        <v>-2.3472390184446329E-2</v>
      </c>
      <c r="C91" s="91">
        <f>C35/IS!C$4</f>
        <v>-0.45348491127604262</v>
      </c>
      <c r="D91" s="91">
        <f>D35/IS!D$4</f>
        <v>-0.52353073334478706</v>
      </c>
      <c r="E91" s="91">
        <f>E35/IS!E$4</f>
        <v>0.29251975663119756</v>
      </c>
      <c r="F91" s="91">
        <f>F35/IS!F$4</f>
        <v>-0.69832974070012233</v>
      </c>
    </row>
    <row r="92" spans="1:6" x14ac:dyDescent="0.25">
      <c r="A92" s="9"/>
      <c r="B92" s="91"/>
      <c r="C92" s="91"/>
      <c r="D92" s="91"/>
      <c r="E92" s="91"/>
      <c r="F92" s="91"/>
    </row>
    <row r="93" spans="1:6" x14ac:dyDescent="0.25">
      <c r="A93" s="9" t="s">
        <v>118</v>
      </c>
      <c r="B93" s="91"/>
      <c r="C93" s="91"/>
      <c r="D93" s="91"/>
      <c r="E93" s="91"/>
      <c r="F93" s="91"/>
    </row>
    <row r="94" spans="1:6" x14ac:dyDescent="0.25">
      <c r="A94" s="9" t="s">
        <v>119</v>
      </c>
      <c r="B94" s="91">
        <f>B38/IS!B$4</f>
        <v>0.5570360036946399</v>
      </c>
      <c r="C94" s="91">
        <f>C38/IS!C$4</f>
        <v>0</v>
      </c>
      <c r="D94" s="91">
        <f>D38/IS!D$4</f>
        <v>0.45048112857065242</v>
      </c>
      <c r="E94" s="91">
        <f>E38/IS!E$4</f>
        <v>0.12221024090175717</v>
      </c>
      <c r="F94" s="91">
        <f>F38/IS!F$4</f>
        <v>-6.2188270787900181E-5</v>
      </c>
    </row>
    <row r="95" spans="1:6" x14ac:dyDescent="0.25">
      <c r="A95" s="9" t="s">
        <v>120</v>
      </c>
      <c r="B95" s="91">
        <f>B39/IS!B$4</f>
        <v>4.1826561413866323E-3</v>
      </c>
      <c r="C95" s="91">
        <f>C39/IS!C$4</f>
        <v>2.1474588403722262E-4</v>
      </c>
      <c r="D95" s="91">
        <f>D39/IS!D$4</f>
        <v>4.331845821530889E-4</v>
      </c>
      <c r="E95" s="91">
        <f>E39/IS!E$4</f>
        <v>5.9781255320652177E-2</v>
      </c>
      <c r="F95" s="91">
        <f>F39/IS!F$4</f>
        <v>0</v>
      </c>
    </row>
    <row r="96" spans="1:6" x14ac:dyDescent="0.25">
      <c r="A96" s="9" t="s">
        <v>121</v>
      </c>
      <c r="B96" s="91">
        <f>B40/IS!B$4</f>
        <v>-3.3630269384956724E-2</v>
      </c>
      <c r="C96" s="91">
        <f>C40/IS!C$4</f>
        <v>-7.6310138266209547E-3</v>
      </c>
      <c r="D96" s="91">
        <f>D40/IS!D$4</f>
        <v>-1.1466909837401597E-2</v>
      </c>
      <c r="E96" s="91">
        <f>E40/IS!E$4</f>
        <v>-0.38373441157495936</v>
      </c>
      <c r="F96" s="91">
        <f>F40/IS!F$4</f>
        <v>-4.0926605234739713E-3</v>
      </c>
    </row>
    <row r="97" spans="1:67" x14ac:dyDescent="0.25">
      <c r="A97" s="9" t="s">
        <v>122</v>
      </c>
      <c r="B97" s="91"/>
      <c r="C97" s="91">
        <f>C41/IS!C$4</f>
        <v>0</v>
      </c>
      <c r="D97" s="91">
        <f>D41/IS!D$4</f>
        <v>0</v>
      </c>
      <c r="E97" s="91">
        <f>E41/IS!E$4</f>
        <v>0</v>
      </c>
      <c r="F97" s="91">
        <f>F41/IS!F$4</f>
        <v>0.5662233651417935</v>
      </c>
    </row>
    <row r="98" spans="1:67" x14ac:dyDescent="0.25">
      <c r="A98" s="9" t="s">
        <v>123</v>
      </c>
      <c r="B98" s="91"/>
      <c r="C98" s="91">
        <f>C42/IS!C$4</f>
        <v>0</v>
      </c>
      <c r="D98" s="91">
        <f>D42/IS!D$4</f>
        <v>0</v>
      </c>
      <c r="E98" s="91">
        <f>E42/IS!E$4</f>
        <v>0</v>
      </c>
      <c r="F98" s="91">
        <f>F42/IS!F$4</f>
        <v>0.10443343543975091</v>
      </c>
    </row>
    <row r="99" spans="1:67" x14ac:dyDescent="0.25">
      <c r="A99" s="81" t="s">
        <v>124</v>
      </c>
      <c r="B99" s="91"/>
      <c r="C99" s="91">
        <f>C43/IS!C$4</f>
        <v>0</v>
      </c>
      <c r="D99" s="91">
        <f>D43/IS!D$4</f>
        <v>0</v>
      </c>
      <c r="E99" s="91">
        <f>E43/IS!E$4</f>
        <v>0</v>
      </c>
      <c r="F99" s="91">
        <f>F43/IS!F$4</f>
        <v>-0.16386945505426767</v>
      </c>
    </row>
    <row r="100" spans="1:67" x14ac:dyDescent="0.25">
      <c r="A100" s="77" t="s">
        <v>125</v>
      </c>
      <c r="B100" s="91">
        <f>B44/IS!B$4</f>
        <v>0.52217260062656523</v>
      </c>
      <c r="C100" s="91">
        <f>C44/IS!C$4</f>
        <v>-7.4162679425837322E-3</v>
      </c>
      <c r="D100" s="91">
        <f>D44/IS!D$4</f>
        <v>0.43944740331540388</v>
      </c>
      <c r="E100" s="91">
        <f>E44/IS!E$4</f>
        <v>-0.20174291535255004</v>
      </c>
      <c r="F100" s="91">
        <f>F44/IS!F$4</f>
        <v>0.5026324967330148</v>
      </c>
    </row>
    <row r="101" spans="1:67" x14ac:dyDescent="0.25">
      <c r="A101" s="9" t="s">
        <v>126</v>
      </c>
      <c r="B101" s="91">
        <f>B45/IS!B$4</f>
        <v>-1.8425588238094785E-3</v>
      </c>
      <c r="C101" s="91">
        <f>C45/IS!C$4</f>
        <v>6.197490863881249E-4</v>
      </c>
      <c r="D101" s="91">
        <f>D45/IS!D$4</f>
        <v>2.9016024892695039E-3</v>
      </c>
      <c r="E101" s="91">
        <f>E45/IS!E$4</f>
        <v>-2.2956261488265321E-3</v>
      </c>
      <c r="F101" s="91">
        <f>F45/IS!F$4</f>
        <v>-2.8404912873392246E-3</v>
      </c>
    </row>
    <row r="102" spans="1:67" x14ac:dyDescent="0.25">
      <c r="A102" s="77" t="s">
        <v>127</v>
      </c>
      <c r="B102" s="91">
        <f>B46/IS!B$4</f>
        <v>0.64891636592170787</v>
      </c>
      <c r="C102" s="91">
        <f>C46/IS!C$4</f>
        <v>-0.33657084730437403</v>
      </c>
      <c r="D102" s="91">
        <f>D46/IS!D$4</f>
        <v>-2.4675368537289851E-2</v>
      </c>
      <c r="E102" s="91">
        <f>E46/IS!E$4</f>
        <v>0.23267479826403406</v>
      </c>
      <c r="F102" s="91">
        <f>F46/IS!F$4</f>
        <v>-7.4457848537945351E-4</v>
      </c>
    </row>
    <row r="103" spans="1:67" x14ac:dyDescent="0.25">
      <c r="A103" s="9" t="s">
        <v>128</v>
      </c>
      <c r="B103" s="91">
        <f>B47/IS!B$4</f>
        <v>0.18672691088109544</v>
      </c>
      <c r="C103" s="91">
        <f>C47/IS!C$4</f>
        <v>0.66124213540293109</v>
      </c>
      <c r="D103" s="91">
        <f>D47/IS!D$4</f>
        <v>0.25308992765083266</v>
      </c>
      <c r="E103" s="91">
        <f>E47/IS!E$4</f>
        <v>0.18016495614334807</v>
      </c>
      <c r="F103" s="91">
        <f>F47/IS!F$4</f>
        <v>0.29954409274456167</v>
      </c>
    </row>
    <row r="104" spans="1:67" ht="15.75" thickBot="1" x14ac:dyDescent="0.3">
      <c r="A104" s="22" t="s">
        <v>129</v>
      </c>
      <c r="B104" s="91">
        <f>B48/IS!B$4</f>
        <v>0.83564327680280337</v>
      </c>
      <c r="C104" s="91">
        <f>C48/IS!C$4</f>
        <v>0.32467128809855705</v>
      </c>
      <c r="D104" s="91">
        <f>D48/IS!D$4</f>
        <v>0.22841455911354283</v>
      </c>
      <c r="E104" s="91">
        <f>E48/IS!E$4</f>
        <v>0.41283975440738213</v>
      </c>
      <c r="F104" s="91">
        <f>F48/IS!F$4</f>
        <v>0.29879951425918222</v>
      </c>
    </row>
    <row r="105" spans="1:67" ht="15.75" thickTop="1" x14ac:dyDescent="0.25">
      <c r="A105" s="25"/>
      <c r="B105" s="91"/>
      <c r="C105" s="91"/>
      <c r="D105" s="91"/>
      <c r="E105" s="91"/>
      <c r="F105" s="91"/>
    </row>
    <row r="106" spans="1:67" x14ac:dyDescent="0.25">
      <c r="A106" s="25" t="s">
        <v>130</v>
      </c>
      <c r="B106" s="91"/>
      <c r="C106" s="91"/>
      <c r="D106" s="91"/>
      <c r="E106" s="91"/>
      <c r="F106" s="91"/>
    </row>
    <row r="107" spans="1:67" x14ac:dyDescent="0.25">
      <c r="A107" s="9" t="s">
        <v>107</v>
      </c>
      <c r="B107" s="91">
        <f>B51/IS!B$4</f>
        <v>0.15205871430339848</v>
      </c>
      <c r="C107" s="91">
        <f>C51/IS!C$4</f>
        <v>0.12371058282786422</v>
      </c>
      <c r="D107" s="91">
        <f>D51/IS!D$4</f>
        <v>5.6506359002823775E-2</v>
      </c>
      <c r="E107" s="91">
        <f>E51/IS!E$4</f>
        <v>0.14419358313421304</v>
      </c>
      <c r="F107" s="91">
        <f>F51/IS!F$4</f>
        <v>0.19779315676906722</v>
      </c>
    </row>
    <row r="108" spans="1:67" x14ac:dyDescent="0.25">
      <c r="A108" s="9" t="s">
        <v>131</v>
      </c>
      <c r="B108" s="91">
        <f>B52/IS!B$4</f>
        <v>-2.4803127112753173E-2</v>
      </c>
      <c r="C108" s="91">
        <f>C52/IS!C$4</f>
        <v>-3.0024865312888522E-2</v>
      </c>
      <c r="D108" s="91">
        <f>D52/IS!D$4</f>
        <v>-0.10665004412609048</v>
      </c>
      <c r="E108" s="91">
        <f>E52/IS!E$4</f>
        <v>-5.7779821422987071E-2</v>
      </c>
      <c r="F108" s="91">
        <f>F52/IS!F$4</f>
        <v>-4.6894998466302781E-2</v>
      </c>
    </row>
    <row r="109" spans="1:67" x14ac:dyDescent="0.25">
      <c r="A109" s="9" t="s">
        <v>132</v>
      </c>
      <c r="B109" s="91">
        <f>B53/IS!B$4</f>
        <v>-2.4377005627660283E-3</v>
      </c>
      <c r="C109" s="91">
        <f>C53/IS!C$4</f>
        <v>-7.6102927325471875E-4</v>
      </c>
      <c r="D109" s="91">
        <f>D53/IS!D$4</f>
        <v>-3.5388977728438787E-4</v>
      </c>
      <c r="E109" s="91">
        <f>E53/IS!E$4</f>
        <v>-4.5402898604439987E-4</v>
      </c>
      <c r="F109" s="91">
        <f>F53/IS!F$4</f>
        <v>-2.579972855660183E-4</v>
      </c>
    </row>
    <row r="110" spans="1:67" ht="18" thickBot="1" x14ac:dyDescent="0.3">
      <c r="A110" s="85" t="s">
        <v>133</v>
      </c>
      <c r="B110" s="91">
        <f>B54/IS!B$4</f>
        <v>0.12481788662787929</v>
      </c>
      <c r="C110" s="91">
        <f>C54/IS!C$4</f>
        <v>9.2924688241720982E-2</v>
      </c>
      <c r="D110" s="91">
        <f>D54/IS!D$4</f>
        <v>-5.0497574900551095E-2</v>
      </c>
      <c r="E110" s="91">
        <f>E54/IS!E$4</f>
        <v>8.5959732725181578E-2</v>
      </c>
      <c r="F110" s="91">
        <f>F54/IS!F$4</f>
        <v>0.15064016101719843</v>
      </c>
    </row>
    <row r="111" spans="1:67" ht="15.75" thickTop="1" x14ac:dyDescent="0.25"/>
    <row r="112" spans="1:67" s="75" customFormat="1" ht="32.1" customHeight="1" x14ac:dyDescent="0.25">
      <c r="A112" s="74" t="s">
        <v>143</v>
      </c>
      <c r="G112" s="14"/>
      <c r="H112" s="14"/>
      <c r="I112" s="3"/>
      <c r="J112" s="3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</row>
    <row r="113" spans="1:6" x14ac:dyDescent="0.25">
      <c r="A113" s="9" t="s">
        <v>89</v>
      </c>
    </row>
    <row r="114" spans="1:6" x14ac:dyDescent="0.25">
      <c r="A114" s="9" t="s">
        <v>17</v>
      </c>
      <c r="C114" s="91">
        <f>C5/B5-1</f>
        <v>-0.96979969183359016</v>
      </c>
      <c r="D114" s="91">
        <f t="shared" ref="D114:F114" si="0">D5/C5-1</f>
        <v>-2.9546485260770976</v>
      </c>
      <c r="E114" s="91">
        <f t="shared" si="0"/>
        <v>33.81322505800464</v>
      </c>
      <c r="F114" s="91">
        <f t="shared" si="0"/>
        <v>-3.4515811923089741</v>
      </c>
    </row>
    <row r="115" spans="1:6" x14ac:dyDescent="0.25">
      <c r="A115" s="77" t="s">
        <v>90</v>
      </c>
      <c r="C115" s="91"/>
      <c r="D115" s="91"/>
      <c r="E115" s="91"/>
      <c r="F115" s="91"/>
    </row>
    <row r="116" spans="1:6" x14ac:dyDescent="0.25">
      <c r="A116" s="78" t="s">
        <v>91</v>
      </c>
      <c r="C116" s="91">
        <f t="shared" ref="C116:F116" si="1">C7/B7-1</f>
        <v>2.5876868229809404</v>
      </c>
      <c r="D116" s="91">
        <f t="shared" si="1"/>
        <v>0.70166252627555892</v>
      </c>
      <c r="E116" s="91">
        <f t="shared" si="1"/>
        <v>1.2709175575719462</v>
      </c>
      <c r="F116" s="91">
        <f t="shared" si="1"/>
        <v>-0.64996653820413997</v>
      </c>
    </row>
    <row r="117" spans="1:6" x14ac:dyDescent="0.25">
      <c r="A117" s="9" t="s">
        <v>92</v>
      </c>
      <c r="C117" s="91">
        <f t="shared" ref="C117:F117" si="2">C8/B8-1</f>
        <v>1.2235523385300668</v>
      </c>
      <c r="D117" s="91">
        <f t="shared" si="2"/>
        <v>1.0693627144109179</v>
      </c>
      <c r="E117" s="91">
        <f t="shared" si="2"/>
        <v>3.9191069699903194</v>
      </c>
      <c r="F117" s="91">
        <f t="shared" si="2"/>
        <v>-1.2716996912783047</v>
      </c>
    </row>
    <row r="118" spans="1:6" x14ac:dyDescent="0.25">
      <c r="A118" s="79" t="s">
        <v>93</v>
      </c>
      <c r="C118" s="91"/>
      <c r="D118" s="91"/>
      <c r="E118" s="91"/>
      <c r="F118" s="91">
        <f t="shared" ref="F118" si="3">F9/E9-1</f>
        <v>3.295333188626004</v>
      </c>
    </row>
    <row r="119" spans="1:6" x14ac:dyDescent="0.25">
      <c r="A119" s="9" t="s">
        <v>94</v>
      </c>
      <c r="C119" s="91">
        <f t="shared" ref="C119:F119" si="4">C10/B10-1</f>
        <v>7.0277908619877483E-2</v>
      </c>
      <c r="D119" s="91">
        <f t="shared" si="4"/>
        <v>9.8054748701698724E-2</v>
      </c>
      <c r="E119" s="91">
        <f t="shared" si="4"/>
        <v>0.49851703406813619</v>
      </c>
      <c r="F119" s="91">
        <f t="shared" si="4"/>
        <v>0.30421525623194601</v>
      </c>
    </row>
    <row r="120" spans="1:6" x14ac:dyDescent="0.25">
      <c r="A120" s="77" t="s">
        <v>95</v>
      </c>
      <c r="C120" s="91">
        <f t="shared" ref="C120:F120" si="5">C11/B11-1</f>
        <v>25.352941176470587</v>
      </c>
      <c r="D120" s="91">
        <f t="shared" si="5"/>
        <v>2.7332589285714284</v>
      </c>
      <c r="E120" s="91">
        <f t="shared" si="5"/>
        <v>0.55964125560538114</v>
      </c>
      <c r="F120" s="91">
        <f t="shared" si="5"/>
        <v>-1.2804293655357486</v>
      </c>
    </row>
    <row r="121" spans="1:6" x14ac:dyDescent="0.25">
      <c r="A121" s="9" t="s">
        <v>96</v>
      </c>
      <c r="C121" s="91" t="e">
        <f t="shared" ref="C121:F121" si="6">C12/B12-1</f>
        <v>#VALUE!</v>
      </c>
      <c r="D121" s="91">
        <f t="shared" si="6"/>
        <v>0.35356200527704496</v>
      </c>
      <c r="E121" s="91">
        <f t="shared" si="6"/>
        <v>0.35794346978557501</v>
      </c>
      <c r="F121" s="91">
        <f t="shared" si="6"/>
        <v>0.20671092768706267</v>
      </c>
    </row>
    <row r="122" spans="1:6" x14ac:dyDescent="0.25">
      <c r="A122" s="9" t="s">
        <v>97</v>
      </c>
      <c r="C122" s="91">
        <f t="shared" ref="C122:F122" si="7">C13/B13-1</f>
        <v>-0.14073426573426573</v>
      </c>
      <c r="D122" s="91">
        <f t="shared" si="7"/>
        <v>-0.31739572736520849</v>
      </c>
      <c r="E122" s="91">
        <f t="shared" si="7"/>
        <v>-2.0521609538002981</v>
      </c>
      <c r="F122" s="91">
        <f t="shared" si="7"/>
        <v>-5.9220963172804533</v>
      </c>
    </row>
    <row r="123" spans="1:6" x14ac:dyDescent="0.25">
      <c r="A123" s="11" t="s">
        <v>98</v>
      </c>
      <c r="C123" s="91"/>
      <c r="D123" s="91"/>
      <c r="E123" s="91"/>
      <c r="F123" s="91"/>
    </row>
    <row r="124" spans="1:6" x14ac:dyDescent="0.25">
      <c r="A124" s="11" t="s">
        <v>99</v>
      </c>
      <c r="C124" s="91"/>
      <c r="D124" s="91"/>
      <c r="E124" s="91"/>
      <c r="F124" s="91"/>
    </row>
    <row r="125" spans="1:6" x14ac:dyDescent="0.25">
      <c r="A125" s="9" t="s">
        <v>100</v>
      </c>
      <c r="C125" s="91"/>
      <c r="D125" s="91">
        <f t="shared" ref="D125:F125" si="8">D16/C16-1</f>
        <v>0.28171713300114987</v>
      </c>
      <c r="E125" s="91">
        <f t="shared" si="8"/>
        <v>-0.99282296650717705</v>
      </c>
      <c r="F125" s="91">
        <f t="shared" si="8"/>
        <v>262.29166666666669</v>
      </c>
    </row>
    <row r="126" spans="1:6" x14ac:dyDescent="0.25">
      <c r="A126" s="9" t="s">
        <v>101</v>
      </c>
      <c r="C126" s="91"/>
      <c r="D126" s="91"/>
      <c r="E126" s="91"/>
      <c r="F126" s="91"/>
    </row>
    <row r="127" spans="1:6" x14ac:dyDescent="0.25">
      <c r="A127" s="9" t="s">
        <v>102</v>
      </c>
      <c r="C127" s="91">
        <f t="shared" ref="C127:F127" si="9">C18/B18-1</f>
        <v>-0.42595686175953162</v>
      </c>
      <c r="D127" s="91">
        <f t="shared" si="9"/>
        <v>1.7752253412310068</v>
      </c>
      <c r="E127" s="91">
        <f t="shared" si="9"/>
        <v>0.90947643881887874</v>
      </c>
      <c r="F127" s="91">
        <f t="shared" si="9"/>
        <v>-0.64412520836471965</v>
      </c>
    </row>
    <row r="128" spans="1:6" x14ac:dyDescent="0.25">
      <c r="A128" s="9" t="s">
        <v>103</v>
      </c>
      <c r="C128" s="91">
        <f t="shared" ref="C128:F128" si="10">C19/B19-1</f>
        <v>-1.3311942718184275</v>
      </c>
      <c r="D128" s="91">
        <f t="shared" si="10"/>
        <v>9.6375688354068938</v>
      </c>
      <c r="E128" s="91">
        <f t="shared" si="10"/>
        <v>-0.64966638545900757</v>
      </c>
      <c r="F128" s="91">
        <f t="shared" si="10"/>
        <v>4.253228984238179</v>
      </c>
    </row>
    <row r="129" spans="1:6" x14ac:dyDescent="0.25">
      <c r="A129" s="9" t="s">
        <v>104</v>
      </c>
      <c r="C129" s="91">
        <f t="shared" ref="C129:F129" si="11">C20/B20-1</f>
        <v>-0.22717638747154412</v>
      </c>
      <c r="D129" s="91">
        <f t="shared" si="11"/>
        <v>0.51193499238191986</v>
      </c>
      <c r="E129" s="91">
        <f t="shared" si="11"/>
        <v>1.6978837756130334</v>
      </c>
      <c r="F129" s="91">
        <f t="shared" si="11"/>
        <v>0.3000398426216444</v>
      </c>
    </row>
    <row r="130" spans="1:6" x14ac:dyDescent="0.25">
      <c r="A130" s="9" t="s">
        <v>105</v>
      </c>
      <c r="C130" s="91">
        <f t="shared" ref="C130:F130" si="12">C21/B21-1</f>
        <v>-0.6322375240633793</v>
      </c>
      <c r="D130" s="91">
        <f t="shared" si="12"/>
        <v>0.78900744916448562</v>
      </c>
      <c r="E130" s="91">
        <f t="shared" si="12"/>
        <v>4.0980193562907949</v>
      </c>
      <c r="F130" s="91">
        <f t="shared" si="12"/>
        <v>0.78267587911966618</v>
      </c>
    </row>
    <row r="131" spans="1:6" x14ac:dyDescent="0.25">
      <c r="A131" s="72" t="s">
        <v>106</v>
      </c>
      <c r="C131" s="91">
        <f t="shared" ref="C131:F131" si="13">C22/B22-1</f>
        <v>-0.55729877216916779</v>
      </c>
      <c r="D131" s="91">
        <f t="shared" si="13"/>
        <v>1.7126556448590349</v>
      </c>
      <c r="E131" s="91">
        <f t="shared" si="13"/>
        <v>1.696003930057262</v>
      </c>
      <c r="F131" s="91">
        <f t="shared" si="13"/>
        <v>-9.0521880249409215E-2</v>
      </c>
    </row>
    <row r="132" spans="1:6" x14ac:dyDescent="0.25">
      <c r="A132" s="9" t="s">
        <v>107</v>
      </c>
      <c r="C132" s="91">
        <f t="shared" ref="C132:F132" si="14">C23/B23-1</f>
        <v>2.8148727984344424E-2</v>
      </c>
      <c r="D132" s="91">
        <f t="shared" si="14"/>
        <v>-0.414051436663469</v>
      </c>
      <c r="E132" s="91">
        <f t="shared" si="14"/>
        <v>2.2352069852654557</v>
      </c>
      <c r="F132" s="91">
        <f t="shared" si="14"/>
        <v>0.89054090960206911</v>
      </c>
    </row>
    <row r="133" spans="1:6" x14ac:dyDescent="0.25">
      <c r="A133" s="9"/>
      <c r="C133" s="91"/>
      <c r="D133" s="91"/>
      <c r="E133" s="91"/>
      <c r="F133" s="91"/>
    </row>
    <row r="134" spans="1:6" x14ac:dyDescent="0.25">
      <c r="A134" s="9" t="s">
        <v>108</v>
      </c>
      <c r="C134" s="91"/>
      <c r="D134" s="91"/>
      <c r="E134" s="91"/>
      <c r="F134" s="91"/>
    </row>
    <row r="135" spans="1:6" x14ac:dyDescent="0.25">
      <c r="A135" s="9" t="s">
        <v>109</v>
      </c>
      <c r="C135" s="91">
        <f t="shared" ref="C135:F135" si="15">C26/B26-1</f>
        <v>80.846455783883627</v>
      </c>
      <c r="D135" s="91">
        <f t="shared" si="15"/>
        <v>0.85208631307531935</v>
      </c>
      <c r="E135" s="91">
        <f t="shared" si="15"/>
        <v>-0.44787988825964709</v>
      </c>
      <c r="F135" s="91">
        <f t="shared" si="15"/>
        <v>1.1087400925294983</v>
      </c>
    </row>
    <row r="136" spans="1:6" x14ac:dyDescent="0.25">
      <c r="A136" s="9" t="s">
        <v>110</v>
      </c>
      <c r="C136" s="91">
        <f t="shared" ref="C136:F136" si="16">C27/B27-1</f>
        <v>10.658272091772719</v>
      </c>
      <c r="D136" s="91">
        <f t="shared" si="16"/>
        <v>1.9199741703374</v>
      </c>
      <c r="E136" s="91">
        <f t="shared" si="16"/>
        <v>0.8918989361282017</v>
      </c>
      <c r="F136" s="91">
        <f t="shared" si="16"/>
        <v>-0.89961551146159913</v>
      </c>
    </row>
    <row r="137" spans="1:6" x14ac:dyDescent="0.25">
      <c r="A137" s="32" t="s">
        <v>111</v>
      </c>
      <c r="C137" s="91"/>
      <c r="D137" s="91"/>
      <c r="E137" s="91"/>
      <c r="F137" s="91"/>
    </row>
    <row r="138" spans="1:6" x14ac:dyDescent="0.25">
      <c r="A138" s="77" t="s">
        <v>112</v>
      </c>
      <c r="C138" s="91"/>
      <c r="D138" s="91"/>
      <c r="E138" s="91"/>
      <c r="F138" s="91">
        <f t="shared" ref="F138" si="17">F29/E29-1</f>
        <v>-1</v>
      </c>
    </row>
    <row r="139" spans="1:6" x14ac:dyDescent="0.25">
      <c r="A139" s="9" t="s">
        <v>113</v>
      </c>
      <c r="C139" s="91">
        <f t="shared" ref="C139:F139" si="18">C30/B30-1</f>
        <v>0.4309183948289792</v>
      </c>
      <c r="D139" s="91">
        <f t="shared" si="18"/>
        <v>3.5566848610326876</v>
      </c>
      <c r="E139" s="91">
        <f t="shared" si="18"/>
        <v>-0.31313937958666649</v>
      </c>
      <c r="F139" s="91">
        <f t="shared" si="18"/>
        <v>0.11859038608026307</v>
      </c>
    </row>
    <row r="140" spans="1:6" x14ac:dyDescent="0.25">
      <c r="A140" s="9" t="s">
        <v>114</v>
      </c>
      <c r="C140" s="91">
        <f t="shared" ref="C140:F140" si="19">C31/B31-1</f>
        <v>-0.27598566308243733</v>
      </c>
      <c r="D140" s="91">
        <f t="shared" si="19"/>
        <v>-0.40346534653465349</v>
      </c>
      <c r="E140" s="91">
        <f t="shared" si="19"/>
        <v>0.62655601659751037</v>
      </c>
      <c r="F140" s="91">
        <f t="shared" si="19"/>
        <v>-0.21683673469387754</v>
      </c>
    </row>
    <row r="141" spans="1:6" x14ac:dyDescent="0.25">
      <c r="A141" s="9" t="s">
        <v>115</v>
      </c>
      <c r="C141" s="91"/>
      <c r="D141" s="91"/>
      <c r="E141" s="91">
        <f t="shared" ref="E141:F141" si="20">E32/D32-1</f>
        <v>-0.5473684210526315</v>
      </c>
      <c r="F141" s="91">
        <f t="shared" si="20"/>
        <v>5.6744186046511631</v>
      </c>
    </row>
    <row r="142" spans="1:6" x14ac:dyDescent="0.25">
      <c r="A142" s="9" t="s">
        <v>67</v>
      </c>
      <c r="C142" s="91"/>
      <c r="D142" s="91"/>
      <c r="E142" s="91">
        <f t="shared" ref="E142:F142" si="21">E33/D33-1</f>
        <v>5.4374646293152233</v>
      </c>
      <c r="F142" s="91">
        <f t="shared" si="21"/>
        <v>0.63186813186813184</v>
      </c>
    </row>
    <row r="143" spans="1:6" x14ac:dyDescent="0.25">
      <c r="A143" s="72" t="s">
        <v>116</v>
      </c>
      <c r="C143" s="91">
        <f t="shared" ref="C143:F143" si="22">C34/B34-1</f>
        <v>-1</v>
      </c>
      <c r="D143" s="91"/>
      <c r="E143" s="91"/>
      <c r="F143" s="91">
        <f t="shared" si="22"/>
        <v>-0.90604206671727772</v>
      </c>
    </row>
    <row r="144" spans="1:6" x14ac:dyDescent="0.25">
      <c r="A144" s="9" t="s">
        <v>117</v>
      </c>
      <c r="C144" s="91">
        <f t="shared" ref="C144:F144" si="23">C35/B35-1</f>
        <v>23.415517241379309</v>
      </c>
      <c r="D144" s="91">
        <f t="shared" si="23"/>
        <v>0.48097716595288631</v>
      </c>
      <c r="E144" s="91">
        <f t="shared" si="23"/>
        <v>-1.7083803144791685</v>
      </c>
      <c r="F144" s="91">
        <f t="shared" si="23"/>
        <v>-4.290228701753275</v>
      </c>
    </row>
    <row r="145" spans="1:6" x14ac:dyDescent="0.25">
      <c r="A145" s="9"/>
      <c r="C145" s="91"/>
      <c r="D145" s="91"/>
      <c r="E145" s="91"/>
      <c r="F145" s="91"/>
    </row>
    <row r="146" spans="1:6" x14ac:dyDescent="0.25">
      <c r="A146" s="9" t="s">
        <v>118</v>
      </c>
      <c r="C146" s="91"/>
      <c r="D146" s="91"/>
      <c r="E146" s="91"/>
      <c r="F146" s="91"/>
    </row>
    <row r="147" spans="1:6" x14ac:dyDescent="0.25">
      <c r="A147" s="9" t="s">
        <v>119</v>
      </c>
      <c r="C147" s="91">
        <f t="shared" ref="C147:F147" si="24">C38/B38-1</f>
        <v>-1</v>
      </c>
      <c r="D147" s="91" t="e">
        <f t="shared" si="24"/>
        <v>#DIV/0!</v>
      </c>
      <c r="E147" s="91">
        <f t="shared" si="24"/>
        <v>-0.65605859592736138</v>
      </c>
      <c r="F147" s="91">
        <f t="shared" si="24"/>
        <v>-1.0007013287336277</v>
      </c>
    </row>
    <row r="148" spans="1:6" x14ac:dyDescent="0.25">
      <c r="A148" s="9" t="s">
        <v>120</v>
      </c>
      <c r="C148" s="91">
        <f t="shared" ref="C148:F148" si="25">C39/B39-1</f>
        <v>-0.93511667615253269</v>
      </c>
      <c r="D148" s="91">
        <f t="shared" si="25"/>
        <v>1.5877192982456139</v>
      </c>
      <c r="E148" s="91">
        <f t="shared" si="25"/>
        <v>173.96271186440677</v>
      </c>
      <c r="F148" s="91">
        <f t="shared" si="25"/>
        <v>-1</v>
      </c>
    </row>
    <row r="149" spans="1:6" x14ac:dyDescent="0.25">
      <c r="A149" s="9" t="s">
        <v>121</v>
      </c>
      <c r="C149" s="91">
        <f t="shared" ref="C149:F149" si="26">C40/B40-1</f>
        <v>-0.71324414242231193</v>
      </c>
      <c r="D149" s="91">
        <f t="shared" si="26"/>
        <v>0.92767217970871396</v>
      </c>
      <c r="E149" s="91">
        <f t="shared" si="26"/>
        <v>41.426559098476119</v>
      </c>
      <c r="F149" s="91">
        <f t="shared" si="26"/>
        <v>-0.98530073134143659</v>
      </c>
    </row>
    <row r="150" spans="1:6" x14ac:dyDescent="0.25">
      <c r="A150" s="9" t="s">
        <v>122</v>
      </c>
      <c r="C150" s="91"/>
      <c r="D150" s="91"/>
      <c r="E150" s="91"/>
      <c r="F150" s="91"/>
    </row>
    <row r="151" spans="1:6" x14ac:dyDescent="0.25">
      <c r="A151" s="9" t="s">
        <v>123</v>
      </c>
      <c r="C151" s="91"/>
      <c r="D151" s="91"/>
      <c r="E151" s="91"/>
      <c r="F151" s="91"/>
    </row>
    <row r="152" spans="1:6" x14ac:dyDescent="0.25">
      <c r="A152" s="81" t="s">
        <v>124</v>
      </c>
      <c r="C152" s="91"/>
      <c r="D152" s="91"/>
      <c r="E152" s="91"/>
      <c r="F152" s="91"/>
    </row>
    <row r="153" spans="1:6" x14ac:dyDescent="0.25">
      <c r="A153" s="77" t="s">
        <v>125</v>
      </c>
      <c r="C153" s="91">
        <f t="shared" ref="C153:F153" si="27">C44/B44-1</f>
        <v>-1.0179486478107846</v>
      </c>
      <c r="D153" s="91">
        <f t="shared" si="27"/>
        <v>-77.01346202692406</v>
      </c>
      <c r="E153" s="91">
        <f t="shared" si="27"/>
        <v>-1.582029305130904</v>
      </c>
      <c r="F153" s="91">
        <f t="shared" si="27"/>
        <v>-4.4337843966907986</v>
      </c>
    </row>
    <row r="154" spans="1:6" x14ac:dyDescent="0.25">
      <c r="A154" s="9" t="s">
        <v>126</v>
      </c>
      <c r="C154" s="91">
        <f t="shared" ref="C154:F154" si="28">C45/B45-1</f>
        <v>-1.4250645994832041</v>
      </c>
      <c r="D154" s="91">
        <f t="shared" si="28"/>
        <v>5.0060790273556233</v>
      </c>
      <c r="E154" s="91">
        <f t="shared" si="28"/>
        <v>-2.0030364372469638</v>
      </c>
      <c r="F154" s="91">
        <f t="shared" si="28"/>
        <v>0.7053481331987892</v>
      </c>
    </row>
    <row r="155" spans="1:6" x14ac:dyDescent="0.25">
      <c r="A155" s="77" t="s">
        <v>127</v>
      </c>
      <c r="C155" s="91">
        <f t="shared" ref="C155:F155" si="29">C46/B46-1</f>
        <v>-1.6554629864007717</v>
      </c>
      <c r="D155" s="91">
        <f t="shared" si="29"/>
        <v>-0.9059505686397421</v>
      </c>
      <c r="E155" s="91">
        <f t="shared" si="29"/>
        <v>-12.954713163532492</v>
      </c>
      <c r="F155" s="91">
        <f t="shared" si="29"/>
        <v>-1.0044104396999307</v>
      </c>
    </row>
    <row r="156" spans="1:6" x14ac:dyDescent="0.25">
      <c r="A156" s="9" t="s">
        <v>128</v>
      </c>
      <c r="C156" s="91">
        <f t="shared" ref="C156:F156" si="30">C47/B47-1</f>
        <v>3.4752160942400367</v>
      </c>
      <c r="D156" s="91">
        <f t="shared" si="30"/>
        <v>-0.50899788335370211</v>
      </c>
      <c r="E156" s="91">
        <f t="shared" si="30"/>
        <v>-9.7496446288184324E-2</v>
      </c>
      <c r="F156" s="91">
        <f t="shared" si="30"/>
        <v>1.2914542497315993</v>
      </c>
    </row>
    <row r="157" spans="1:6" ht="15.75" thickBot="1" x14ac:dyDescent="0.3">
      <c r="A157" s="22" t="s">
        <v>129</v>
      </c>
      <c r="C157" s="91">
        <f t="shared" ref="C157:F157" si="31">C48/B48-1</f>
        <v>-0.50899788335370211</v>
      </c>
      <c r="D157" s="91">
        <f t="shared" si="31"/>
        <v>-9.7496446288184324E-2</v>
      </c>
      <c r="E157" s="91">
        <f t="shared" si="31"/>
        <v>1.2914542497315993</v>
      </c>
      <c r="F157" s="91">
        <f t="shared" si="31"/>
        <v>-2.4857057889450251E-3</v>
      </c>
    </row>
    <row r="158" spans="1:6" ht="15.75" thickTop="1" x14ac:dyDescent="0.25">
      <c r="A158" s="25"/>
      <c r="C158" s="91"/>
      <c r="D158" s="91"/>
      <c r="E158" s="91"/>
      <c r="F158" s="91"/>
    </row>
    <row r="159" spans="1:6" x14ac:dyDescent="0.25">
      <c r="A159" s="25" t="s">
        <v>130</v>
      </c>
      <c r="C159" s="91"/>
      <c r="D159" s="91"/>
      <c r="E159" s="91"/>
      <c r="F159" s="91"/>
    </row>
    <row r="160" spans="1:6" x14ac:dyDescent="0.25">
      <c r="A160" s="9" t="s">
        <v>107</v>
      </c>
      <c r="C160" s="91">
        <f t="shared" ref="C160:F160" si="32">C51/B51-1</f>
        <v>2.8148727984344424E-2</v>
      </c>
      <c r="D160" s="91">
        <f t="shared" si="32"/>
        <v>-0.414051436663469</v>
      </c>
      <c r="E160" s="91">
        <f t="shared" si="32"/>
        <v>2.2352069852654557</v>
      </c>
      <c r="F160" s="91">
        <f t="shared" si="32"/>
        <v>0.89054090960206911</v>
      </c>
    </row>
    <row r="161" spans="1:6" x14ac:dyDescent="0.25">
      <c r="A161" s="9" t="s">
        <v>131</v>
      </c>
      <c r="C161" s="91">
        <f t="shared" ref="C161:F161" si="33">C52/B52-1</f>
        <v>0.5298013245033113</v>
      </c>
      <c r="D161" s="91">
        <f t="shared" si="33"/>
        <v>3.5566848610326876</v>
      </c>
      <c r="E161" s="91">
        <f t="shared" si="33"/>
        <v>-0.31313937958666649</v>
      </c>
      <c r="F161" s="91">
        <f t="shared" si="33"/>
        <v>0.11859038608026307</v>
      </c>
    </row>
    <row r="162" spans="1:6" x14ac:dyDescent="0.25">
      <c r="A162" s="9" t="s">
        <v>132</v>
      </c>
      <c r="C162" s="91">
        <f t="shared" ref="C162:F162" si="34">C53/B53-1</f>
        <v>-0.60546875</v>
      </c>
      <c r="D162" s="91">
        <f t="shared" si="34"/>
        <v>-0.40346534653465349</v>
      </c>
      <c r="E162" s="91">
        <f t="shared" si="34"/>
        <v>0.62655601659751037</v>
      </c>
      <c r="F162" s="91">
        <f t="shared" si="34"/>
        <v>-0.21683673469387754</v>
      </c>
    </row>
    <row r="163" spans="1:6" ht="18" thickBot="1" x14ac:dyDescent="0.3">
      <c r="A163" s="85" t="s">
        <v>133</v>
      </c>
      <c r="C163" s="91">
        <f t="shared" ref="C163:F163" si="35">C54/B54-1</f>
        <v>-5.9162343606957601E-2</v>
      </c>
      <c r="D163" s="91">
        <f t="shared" si="35"/>
        <v>-1.6971214271234543</v>
      </c>
      <c r="E163" s="91">
        <f t="shared" si="35"/>
        <v>-3.1581319608014189</v>
      </c>
      <c r="F163" s="91">
        <f t="shared" si="35"/>
        <v>1.4152743343753369</v>
      </c>
    </row>
    <row r="164" spans="1:6" ht="15.75" thickTop="1" x14ac:dyDescent="0.25"/>
  </sheetData>
  <hyperlinks>
    <hyperlink ref="A1" location="Index!A1" display="Index" xr:uid="{058CE9F3-5297-4C85-9645-47407A66F4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E909-D3DE-483F-A6FD-5941B223273A}">
  <dimension ref="A1:BN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33" bestFit="1" customWidth="1"/>
  </cols>
  <sheetData>
    <row r="1" spans="1:66" x14ac:dyDescent="0.25">
      <c r="A1" s="260" t="s">
        <v>332</v>
      </c>
    </row>
    <row r="3" spans="1:66" s="4" customFormat="1" x14ac:dyDescent="0.25">
      <c r="A3" s="1" t="s">
        <v>0</v>
      </c>
      <c r="B3" s="2" t="s">
        <v>46</v>
      </c>
      <c r="C3" s="2" t="s">
        <v>1</v>
      </c>
      <c r="D3" s="2" t="s">
        <v>2</v>
      </c>
      <c r="E3" s="2" t="s">
        <v>3</v>
      </c>
      <c r="F3" s="2" t="s">
        <v>4</v>
      </c>
      <c r="G3" s="105" t="s">
        <v>168</v>
      </c>
      <c r="H3" s="2" t="s">
        <v>169</v>
      </c>
      <c r="I3" s="2" t="s">
        <v>170</v>
      </c>
      <c r="J3" s="2" t="s">
        <v>171</v>
      </c>
      <c r="K3" s="2" t="s">
        <v>172</v>
      </c>
      <c r="L3" s="2" t="s">
        <v>173</v>
      </c>
    </row>
    <row r="4" spans="1:66" s="6" customFormat="1" ht="42.95" customHeight="1" x14ac:dyDescent="0.25">
      <c r="A4" s="5" t="s">
        <v>339</v>
      </c>
      <c r="B4" s="7"/>
      <c r="C4" s="7"/>
      <c r="D4" s="7"/>
      <c r="G4" s="9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spans="1:66" x14ac:dyDescent="0.25">
      <c r="A5" t="s">
        <v>8</v>
      </c>
      <c r="B5" s="90">
        <f>IS!B6/IS!B$4</f>
        <v>0.61557414513840614</v>
      </c>
      <c r="C5" s="90">
        <f>IS!C6/IS!C$4</f>
        <v>0.57884564668650873</v>
      </c>
      <c r="D5" s="90">
        <f>IS!D6/IS!D$4</f>
        <v>0.6113497297368734</v>
      </c>
      <c r="E5" s="90">
        <f>IS!E6/IS!E$4</f>
        <v>0.62650208888080694</v>
      </c>
      <c r="F5" s="90">
        <f>IS!F6/IS!F$4</f>
        <v>0.61233428716694605</v>
      </c>
      <c r="G5" s="90">
        <f>IS!G6/IS!G$4</f>
        <v>0.64</v>
      </c>
      <c r="H5" s="90">
        <f>IS!H6/IS!H$4</f>
        <v>0.64</v>
      </c>
      <c r="I5" s="90">
        <f>IS!I6/IS!I$4</f>
        <v>0.64500000000000002</v>
      </c>
      <c r="J5" s="90">
        <f>IS!J6/IS!J$4</f>
        <v>0.64500000000000002</v>
      </c>
      <c r="K5" s="90">
        <f>IS!K6/IS!K$4</f>
        <v>0.65</v>
      </c>
      <c r="L5" s="90">
        <f>IS!L6/IS!L$4</f>
        <v>0.65</v>
      </c>
    </row>
    <row r="6" spans="1:66" x14ac:dyDescent="0.25">
      <c r="A6" t="s">
        <v>340</v>
      </c>
      <c r="B6" s="90">
        <f>IS!B13/IS!B4</f>
        <v>6.6903453726539511E-2</v>
      </c>
      <c r="C6" s="90">
        <f>IS!C13/IS!C4</f>
        <v>3.8993331575179896E-3</v>
      </c>
      <c r="D6" s="90">
        <f>IS!D13/IS!D4</f>
        <v>-9.2378447672036689E-3</v>
      </c>
      <c r="E6" s="90">
        <f>IS!E13/IS!E4</f>
        <v>-0.16374578546435467</v>
      </c>
      <c r="F6" s="90">
        <f>IS!F13/IS!F4</f>
        <v>0.16515019727968333</v>
      </c>
      <c r="G6" s="90">
        <f>IS!G13/IS!G4</f>
        <v>0.20310988122308812</v>
      </c>
      <c r="H6" s="90">
        <f>IS!H13/IS!H4</f>
        <v>0.19709538976802216</v>
      </c>
      <c r="I6" s="90">
        <f>IS!I13/IS!I4</f>
        <v>0.21800917509488932</v>
      </c>
      <c r="J6" s="90">
        <f>IS!J13/IS!J4</f>
        <v>0.21826816141624544</v>
      </c>
      <c r="K6" s="90">
        <f>IS!K13/IS!K4</f>
        <v>0.23181652015182691</v>
      </c>
      <c r="L6" s="90">
        <f>IS!L13/IS!L4</f>
        <v>0.22573313007608098</v>
      </c>
    </row>
    <row r="7" spans="1:66" x14ac:dyDescent="0.25">
      <c r="A7" t="s">
        <v>341</v>
      </c>
      <c r="B7" s="90">
        <f>(IS!B11+CF!B10)/IS!B4</f>
        <v>8.4405381985773728E-2</v>
      </c>
      <c r="C7" s="90">
        <f>(IS!C11+CF!C10)/IS!C4</f>
        <v>9.3565158422182874E-3</v>
      </c>
      <c r="D7" s="90">
        <f>(IS!D11+CF!D10)/IS!D4</f>
        <v>-2.4596073732421151E-3</v>
      </c>
      <c r="E7" s="90">
        <f>(IS!E11+CF!E10)/IS!E4</f>
        <v>-0.17307422794803221</v>
      </c>
      <c r="F7" s="90">
        <f>(IS!F11+CF!F10)/IS!F4</f>
        <v>9.8857500619781755E-2</v>
      </c>
      <c r="G7" s="90">
        <f>(IS!G11+CF!G10)/IS!G4</f>
        <v>0.15952273056718275</v>
      </c>
      <c r="H7" s="90">
        <f>(IS!H11+CF!H10)/IS!H4</f>
        <v>0.1653895745086455</v>
      </c>
      <c r="I7" s="90">
        <f>(IS!I11+CF!I10)/IS!I4</f>
        <v>0.19600322200338666</v>
      </c>
      <c r="J7" s="90">
        <f>(IS!J11+CF!J10)/IS!J4</f>
        <v>0.20137809146181027</v>
      </c>
      <c r="K7" s="90">
        <f>(IS!K11+CF!K10)/IS!K4</f>
        <v>0.22150184179321419</v>
      </c>
      <c r="L7" s="90">
        <f>(IS!L11+CF!L10)/IS!L4</f>
        <v>0.22637264284996594</v>
      </c>
    </row>
    <row r="8" spans="1:66" x14ac:dyDescent="0.25">
      <c r="A8" t="s">
        <v>342</v>
      </c>
      <c r="B8" s="90">
        <f>IS!B15/IS!B4</f>
        <v>6.9524457944904153E-2</v>
      </c>
      <c r="C8" s="90">
        <f>IS!C15/IS!C4</f>
        <v>1.6614549975511434E-3</v>
      </c>
      <c r="D8" s="90">
        <f>IS!D15/IS!D4</f>
        <v>-2.5315600665488992E-3</v>
      </c>
      <c r="E8" s="90">
        <f>IS!E15/IS!E4</f>
        <v>-6.9515080827583647E-2</v>
      </c>
      <c r="F8" s="90">
        <f>IS!F15/IS!F4</f>
        <v>0.12365297264136277</v>
      </c>
      <c r="G8" s="90">
        <f>IS!G15/IS!G4</f>
        <v>0.15207454183985164</v>
      </c>
      <c r="H8" s="90">
        <f>IS!H15/IS!H4</f>
        <v>0.14757130926977177</v>
      </c>
      <c r="I8" s="90">
        <f>IS!I15/IS!I4</f>
        <v>0.16323009604355285</v>
      </c>
      <c r="J8" s="90">
        <f>IS!J15/IS!J4</f>
        <v>0.16342400697455164</v>
      </c>
      <c r="K8" s="90">
        <f>IS!K15/IS!K4</f>
        <v>0.17356807497847351</v>
      </c>
      <c r="L8" s="90">
        <f>IS!L15/IS!L4</f>
        <v>0.16901325591683447</v>
      </c>
    </row>
    <row r="9" spans="1:66" x14ac:dyDescent="0.25">
      <c r="A9" t="s">
        <v>343</v>
      </c>
      <c r="B9" s="90">
        <f>IS!B15/BS!B48</f>
        <v>6.2494115431691928E-2</v>
      </c>
      <c r="C9" s="90">
        <f>IS!C15/BS!C48</f>
        <v>1.6228300168354814E-3</v>
      </c>
      <c r="D9" s="90">
        <f>IS!D15/BS!D48</f>
        <v>-1.7659320566860092E-3</v>
      </c>
      <c r="E9" s="90">
        <f>IS!E15/BS!E48</f>
        <v>-5.7277336715500039E-2</v>
      </c>
      <c r="F9" s="90">
        <f>IS!F15/BS!F48</f>
        <v>0.115995304657266</v>
      </c>
      <c r="G9" s="90">
        <f>IS!G15/BS!G48</f>
        <v>0.15719618770291469</v>
      </c>
      <c r="H9" s="90">
        <f>IS!H15/BS!H48</f>
        <v>0.16617884015558204</v>
      </c>
      <c r="I9" s="90">
        <f>IS!I15/BS!I48</f>
        <v>0.19356076653943718</v>
      </c>
      <c r="J9" s="90">
        <f>IS!J15/BS!J48</f>
        <v>0.20165202151216383</v>
      </c>
      <c r="K9" s="90">
        <f>IS!K15/BS!K48</f>
        <v>0.21775194232451422</v>
      </c>
      <c r="L9" s="90">
        <f>IS!L15/BS!L48</f>
        <v>0.18736945775375172</v>
      </c>
    </row>
    <row r="11" spans="1:66" s="6" customFormat="1" ht="42.95" customHeight="1" x14ac:dyDescent="0.25">
      <c r="A11" s="5" t="s">
        <v>344</v>
      </c>
      <c r="B11" s="7"/>
      <c r="C11" s="7"/>
      <c r="D11" s="7"/>
      <c r="G11" s="9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</row>
    <row r="12" spans="1:66" x14ac:dyDescent="0.25">
      <c r="A12" t="s">
        <v>345</v>
      </c>
      <c r="B12" s="137">
        <f>BS!B14/BS!B33</f>
        <v>3.3621567245543971</v>
      </c>
      <c r="C12" s="137">
        <f>BS!C14/BS!C33</f>
        <v>3.1164670750539458</v>
      </c>
      <c r="D12" s="137">
        <f>BS!D14/BS!D33</f>
        <v>3.8307968993215802</v>
      </c>
      <c r="E12" s="137">
        <f>BS!E14/BS!E33</f>
        <v>2.6509780871210764</v>
      </c>
      <c r="F12" s="137">
        <f>BS!F14/BS!F33</f>
        <v>2.9955861318253172</v>
      </c>
      <c r="G12" s="137">
        <f>BS!G14/BS!G33</f>
        <v>2.9295204247205446</v>
      </c>
      <c r="H12" s="137">
        <f>BS!H14/BS!H33</f>
        <v>2.6906380695040126</v>
      </c>
      <c r="I12" s="137">
        <f>BS!I14/BS!I33</f>
        <v>2.5539186229841828</v>
      </c>
      <c r="J12" s="137">
        <f>BS!J14/BS!J33</f>
        <v>2.4493036798431533</v>
      </c>
      <c r="K12" s="137">
        <f>BS!K14/BS!K33</f>
        <v>2.3997426926476018</v>
      </c>
      <c r="L12" s="137">
        <f>BS!L14/BS!L33</f>
        <v>2.3534671747960774</v>
      </c>
    </row>
    <row r="13" spans="1:66" x14ac:dyDescent="0.25">
      <c r="A13" t="s">
        <v>346</v>
      </c>
      <c r="B13" s="137">
        <f>(BS!B7+BS!B9+BS!B10)/BS!B33</f>
        <v>2.8916216395299106</v>
      </c>
      <c r="C13" s="137">
        <f>(BS!C7+BS!C9+BS!C10)/BS!C33</f>
        <v>1.631817391571132</v>
      </c>
      <c r="D13" s="137">
        <f>(BS!D7+BS!D9+BS!D10)/BS!D33</f>
        <v>1.5005637242471648</v>
      </c>
      <c r="E13" s="137">
        <f>(BS!E7+BS!E9+BS!E10)/BS!E33</f>
        <v>1.7904262868529894</v>
      </c>
      <c r="F13" s="137">
        <f>(BS!F7+BS!F9+BS!F10)/BS!F33</f>
        <v>1.2463602181048243</v>
      </c>
      <c r="G13" s="137">
        <f>(BS!G7+BS!G9+BS!G10)/BS!G33</f>
        <v>1.6119940483505484</v>
      </c>
      <c r="H13" s="137">
        <f>(BS!H7+BS!H9+BS!H10)/BS!H33</f>
        <v>1.548471665212573</v>
      </c>
      <c r="I13" s="137">
        <f>(BS!I7+BS!I9+BS!I10)/BS!I33</f>
        <v>1.5776787871781917</v>
      </c>
      <c r="J13" s="137">
        <f>(BS!J7+BS!J9+BS!J10)/BS!J33</f>
        <v>1.5618139164315707</v>
      </c>
      <c r="K13" s="137">
        <f>(BS!K7+BS!K9+BS!K10)/BS!K33</f>
        <v>1.6774694915928867</v>
      </c>
      <c r="L13" s="137">
        <f>(BS!L7+BS!L9+BS!L10)/BS!L33</f>
        <v>1.7521243196440617</v>
      </c>
    </row>
    <row r="15" spans="1:66" s="6" customFormat="1" ht="42.95" customHeight="1" x14ac:dyDescent="0.25">
      <c r="A15" s="5" t="s">
        <v>347</v>
      </c>
      <c r="B15" s="7"/>
      <c r="C15" s="7"/>
      <c r="D15" s="7"/>
      <c r="G15" s="9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</row>
    <row r="16" spans="1:66" x14ac:dyDescent="0.25">
      <c r="A16" t="s">
        <v>348</v>
      </c>
      <c r="B16" s="137">
        <f>BS!B24/BS!B48</f>
        <v>1.5397026474137858</v>
      </c>
      <c r="C16" s="137">
        <f>BS!C24/BS!C48</f>
        <v>1.5559278374226073</v>
      </c>
      <c r="D16" s="137">
        <f>BS!D24/BS!D48</f>
        <v>1.4146129853368228</v>
      </c>
      <c r="E16" s="137">
        <f>BS!E24/BS!E48</f>
        <v>1.611119541078915</v>
      </c>
      <c r="F16" s="137">
        <f>BS!F24/BS!F48</f>
        <v>2.2482571811703829</v>
      </c>
      <c r="G16" s="137">
        <f>BS!G24/BS!G48</f>
        <v>2.233921276923978</v>
      </c>
      <c r="H16" s="137">
        <f>BS!H24/BS!H48</f>
        <v>2.2525512495564985</v>
      </c>
      <c r="I16" s="137">
        <f>BS!I24/BS!I48</f>
        <v>2.2473550940396154</v>
      </c>
      <c r="J16" s="137">
        <f>BS!J24/BS!J48</f>
        <v>2.2504329766536326</v>
      </c>
      <c r="K16" s="137">
        <f>BS!K24/BS!K48</f>
        <v>2.2368306037039525</v>
      </c>
      <c r="L16" s="137">
        <f>BS!L24/BS!L48</f>
        <v>1.9486963653341196</v>
      </c>
    </row>
    <row r="17" spans="1:66" x14ac:dyDescent="0.25">
      <c r="A17" t="s">
        <v>349</v>
      </c>
      <c r="B17" s="137">
        <f>BS!B41/BS!B48</f>
        <v>0.53970264741378571</v>
      </c>
      <c r="C17" s="137">
        <f>BS!C41/BS!C48</f>
        <v>0.55592783742260743</v>
      </c>
      <c r="D17" s="137">
        <f>BS!D41/BS!D48</f>
        <v>0.41461298533682284</v>
      </c>
      <c r="E17" s="137">
        <f>BS!E41/BS!E48</f>
        <v>0.61111954107891497</v>
      </c>
      <c r="F17" s="137">
        <f>BS!F41/BS!F48</f>
        <v>1.2482571811703829</v>
      </c>
      <c r="G17" s="137">
        <f>BS!G41/BS!G48</f>
        <v>1.2339206103676554</v>
      </c>
      <c r="H17" s="137">
        <f>BS!H41/BS!H48</f>
        <v>1.2525506922539784</v>
      </c>
      <c r="I17" s="137">
        <f>BS!I41/BS!I48</f>
        <v>1.2473546435860139</v>
      </c>
      <c r="J17" s="137">
        <f>BS!J41/BS!J48</f>
        <v>1.2504326163735813</v>
      </c>
      <c r="K17" s="137">
        <f>BS!K41/BS!K48</f>
        <v>1.2368303218755818</v>
      </c>
      <c r="L17" s="137">
        <f>BS!L41/BS!L48</f>
        <v>0.94869617359723479</v>
      </c>
    </row>
    <row r="18" spans="1:66" x14ac:dyDescent="0.25">
      <c r="A18" t="s">
        <v>350</v>
      </c>
      <c r="B18" s="362">
        <f>(BS!B14-BS!B33)/(BS!B37+BS!B48)</f>
        <v>0.8391266016725013</v>
      </c>
      <c r="C18" s="362">
        <f>(BS!C14-BS!C33)/(BS!C37+BS!C48)</f>
        <v>0.76156910367160691</v>
      </c>
      <c r="D18" s="362">
        <f>(BS!D14-BS!D33)/(BS!D37+BS!D48)</f>
        <v>0.74326994484023134</v>
      </c>
      <c r="E18" s="362">
        <f>(BS!E14-BS!E33)/(BS!E37+BS!E48)</f>
        <v>0.65941657624333272</v>
      </c>
      <c r="F18" s="362">
        <f>(BS!F14-BS!F33)/(BS!F37+BS!F48)</f>
        <v>0.61912895928766543</v>
      </c>
      <c r="G18" s="362">
        <f>(BS!G14-BS!G33)/(BS!G37+BS!G48)</f>
        <v>0.69039301208324255</v>
      </c>
      <c r="H18" s="362">
        <f>(BS!H14-BS!H33)/(BS!H37+BS!H48)</f>
        <v>0.71884950981566242</v>
      </c>
      <c r="I18" s="362">
        <f>(BS!I14-BS!I33)/(BS!I37+BS!I48)</f>
        <v>0.75516932115149116</v>
      </c>
      <c r="J18" s="362">
        <f>(BS!J14-BS!J33)/(BS!J37+BS!J48)</f>
        <v>0.79407295767515873</v>
      </c>
      <c r="K18" s="362">
        <f>(BS!K14-BS!K33)/(BS!K37+BS!K48)</f>
        <v>0.83576131221070404</v>
      </c>
      <c r="L18" s="362">
        <f>(BS!L14-BS!L33)/(BS!L37+BS!L48)</f>
        <v>0.87594679697707822</v>
      </c>
    </row>
    <row r="20" spans="1:66" s="6" customFormat="1" ht="42.95" customHeight="1" x14ac:dyDescent="0.25">
      <c r="A20" s="5" t="s">
        <v>351</v>
      </c>
      <c r="B20" s="7"/>
      <c r="C20" s="7"/>
      <c r="D20" s="7"/>
      <c r="G20" s="9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</row>
    <row r="21" spans="1:66" x14ac:dyDescent="0.25">
      <c r="A21" t="s">
        <v>351</v>
      </c>
      <c r="C21" s="137">
        <f>IS!C65/IS!C58</f>
        <v>-4.7674223949945151</v>
      </c>
      <c r="D21" s="137">
        <f>IS!D65/IS!D58</f>
        <v>4.2888423431490779</v>
      </c>
      <c r="E21" s="137">
        <f>IS!E65/IS!E58</f>
        <v>40.631673314930453</v>
      </c>
      <c r="F21" s="137">
        <f>IS!F65/IS!F58</f>
        <v>-4.1104186334071473</v>
      </c>
      <c r="G21" s="137">
        <f>IS!G65/IS!G58</f>
        <v>4.3798721398015728</v>
      </c>
      <c r="H21" s="137">
        <f>IS!H65/IS!H58</f>
        <v>1.153595203304387</v>
      </c>
      <c r="I21" s="137">
        <f>IS!I65/IS!I58</f>
        <v>1.8901304782155501</v>
      </c>
      <c r="J21" s="137">
        <f>IS!J65/IS!J58</f>
        <v>1.1234910598652221</v>
      </c>
      <c r="K21" s="137">
        <f>IS!K65/IS!K58</f>
        <v>1.4817861401699288</v>
      </c>
      <c r="L21" s="137">
        <f>IS!L65/IS!L58</f>
        <v>1.1086490807555325</v>
      </c>
    </row>
    <row r="23" spans="1:66" s="6" customFormat="1" ht="42.95" customHeight="1" x14ac:dyDescent="0.25">
      <c r="A23" s="5" t="s">
        <v>352</v>
      </c>
      <c r="B23" s="7"/>
      <c r="C23" s="7"/>
      <c r="D23" s="7"/>
      <c r="G23" s="9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</row>
    <row r="24" spans="1:66" x14ac:dyDescent="0.25">
      <c r="A24" t="s">
        <v>353</v>
      </c>
      <c r="C24" s="360">
        <f>IS!C4/AVERAGE(BS!B24:C24)</f>
        <v>0.67833774922868251</v>
      </c>
      <c r="D24" s="360">
        <f>IS!D4/AVERAGE(BS!C24:D24)</f>
        <v>0.61168062328274342</v>
      </c>
      <c r="E24" s="360">
        <f>IS!E4/AVERAGE(BS!D24:E24)</f>
        <v>0.56260375149100772</v>
      </c>
      <c r="F24" s="360">
        <f>IS!F4/AVERAGE(BS!E24:F24)</f>
        <v>0.52418843268788562</v>
      </c>
      <c r="G24" s="360">
        <f>IS!G4/AVERAGE(BS!F24:G24)</f>
        <v>0.49998123717518034</v>
      </c>
      <c r="H24" s="360">
        <f>IS!H4/AVERAGE(BS!G24:H24)</f>
        <v>0.54660466568503197</v>
      </c>
      <c r="I24" s="360">
        <f>IS!I4/AVERAGE(BS!H24:I24)</f>
        <v>0.58299167140526464</v>
      </c>
      <c r="J24" s="360">
        <f>IS!J4/AVERAGE(BS!I24:J24)</f>
        <v>0.60965836553589148</v>
      </c>
      <c r="K24" s="360">
        <f>IS!K4/AVERAGE(BS!J24:K24)</f>
        <v>0.62771618641035754</v>
      </c>
      <c r="L24" s="360">
        <f>IS!L4/AVERAGE(BS!K24:L24)</f>
        <v>0.63887806837212635</v>
      </c>
    </row>
    <row r="25" spans="1:66" x14ac:dyDescent="0.25">
      <c r="A25" t="s">
        <v>354</v>
      </c>
      <c r="C25" s="360">
        <f>IS!C4/AVERAGE(BS!B10:C10)</f>
        <v>3.8266109703485585</v>
      </c>
      <c r="D25" s="360">
        <f>IS!D4/AVERAGE(BS!C10:D10)</f>
        <v>3.6215954626554527</v>
      </c>
      <c r="E25" s="360">
        <f>IS!E4/AVERAGE(BS!D10:E10)</f>
        <v>3.1394531107959711</v>
      </c>
      <c r="F25" s="360">
        <f>IS!F4/AVERAGE(BS!E10:F10)</f>
        <v>3.5049167242260411</v>
      </c>
      <c r="G25" s="360">
        <f>IS!G4/AVERAGE(BS!F10:G10)</f>
        <v>4.065247918234161</v>
      </c>
      <c r="H25" s="360">
        <f>IS!H4/AVERAGE(BS!G10:H10)</f>
        <v>4.4315268306175426</v>
      </c>
      <c r="I25" s="360">
        <f>IS!I4/AVERAGE(BS!H10:I10)</f>
        <v>4.6119177717796767</v>
      </c>
      <c r="J25" s="360">
        <f>IS!J4/AVERAGE(BS!I10:J10)</f>
        <v>4.8049064773266004</v>
      </c>
      <c r="K25" s="360">
        <f>IS!K4/AVERAGE(BS!J10:K10)</f>
        <v>5.0159756699967666</v>
      </c>
      <c r="L25" s="360">
        <f>IS!L4/AVERAGE(BS!K10:L10)</f>
        <v>5.2473025873383543</v>
      </c>
    </row>
    <row r="26" spans="1:66" x14ac:dyDescent="0.25">
      <c r="A26" t="s">
        <v>355</v>
      </c>
      <c r="C26" s="360">
        <f>IS!C5/AVERAGE(BS!B12:C12)</f>
        <v>6.1583847509916261</v>
      </c>
      <c r="D26" s="360">
        <f>IS!D5/AVERAGE(BS!C12:D12)</f>
        <v>4.1097179413522973</v>
      </c>
      <c r="E26" s="360">
        <f>IS!E5/AVERAGE(BS!D12:E12)</f>
        <v>3.2466900919223143</v>
      </c>
      <c r="F26" s="360">
        <f>IS!F5/AVERAGE(BS!E12:F12)</f>
        <v>2.9650243123290663</v>
      </c>
      <c r="G26" s="360">
        <f>IS!G5/AVERAGE(BS!F12:G12)</f>
        <v>2.4610234026469757</v>
      </c>
      <c r="H26" s="360">
        <f>IS!H5/AVERAGE(BS!G12:H12)</f>
        <v>2.5794302131158777</v>
      </c>
      <c r="I26" s="360">
        <f>IS!I5/AVERAGE(BS!H12:I12)</f>
        <v>2.6856378811819304</v>
      </c>
      <c r="J26" s="360">
        <f>IS!J5/AVERAGE(BS!I12:J12)</f>
        <v>3.0068829780338788</v>
      </c>
      <c r="K26" s="360">
        <f>IS!K5/AVERAGE(BS!J12:K12)</f>
        <v>3.4896174359878436</v>
      </c>
      <c r="L26" s="360">
        <f>IS!L5/AVERAGE(BS!K12:L12)</f>
        <v>4.1582598452396669</v>
      </c>
    </row>
    <row r="28" spans="1:66" x14ac:dyDescent="0.25">
      <c r="A28" t="s">
        <v>356</v>
      </c>
      <c r="C28" s="361">
        <f>365/C25</f>
        <v>95.384663564781675</v>
      </c>
      <c r="D28" s="361">
        <f t="shared" ref="D28:L28" si="0">365/D25</f>
        <v>100.78431005443441</v>
      </c>
      <c r="E28" s="361">
        <f t="shared" si="0"/>
        <v>116.26228744899413</v>
      </c>
      <c r="F28" s="361">
        <f t="shared" si="0"/>
        <v>104.13942148100527</v>
      </c>
      <c r="G28" s="361">
        <f t="shared" si="0"/>
        <v>89.785422031172601</v>
      </c>
      <c r="H28" s="361">
        <f t="shared" si="0"/>
        <v>82.364389058462834</v>
      </c>
      <c r="I28" s="361">
        <f t="shared" si="0"/>
        <v>79.142781389866684</v>
      </c>
      <c r="J28" s="361">
        <f t="shared" si="0"/>
        <v>75.964017556296369</v>
      </c>
      <c r="K28" s="361">
        <f t="shared" si="0"/>
        <v>72.767498092795833</v>
      </c>
      <c r="L28" s="361">
        <f t="shared" si="0"/>
        <v>69.559548725232347</v>
      </c>
    </row>
    <row r="29" spans="1:66" x14ac:dyDescent="0.25">
      <c r="A29" t="s">
        <v>357</v>
      </c>
      <c r="C29" s="361">
        <f>365/C26</f>
        <v>59.268787962822152</v>
      </c>
      <c r="D29" s="361">
        <f t="shared" ref="D29:L29" si="1">365/D26</f>
        <v>88.813880954539968</v>
      </c>
      <c r="E29" s="361">
        <f t="shared" si="1"/>
        <v>112.42218680129375</v>
      </c>
      <c r="F29" s="361">
        <f t="shared" si="1"/>
        <v>123.10185737171498</v>
      </c>
      <c r="G29" s="361">
        <f t="shared" si="1"/>
        <v>148.31228325883492</v>
      </c>
      <c r="H29" s="361">
        <f t="shared" si="1"/>
        <v>141.50411906631521</v>
      </c>
      <c r="I29" s="361">
        <f t="shared" si="1"/>
        <v>135.9081217008177</v>
      </c>
      <c r="J29" s="361">
        <f t="shared" si="1"/>
        <v>121.38816264764112</v>
      </c>
      <c r="K29" s="361">
        <f t="shared" si="1"/>
        <v>104.59599274001091</v>
      </c>
      <c r="L29" s="361">
        <f t="shared" si="1"/>
        <v>87.777102341944371</v>
      </c>
    </row>
  </sheetData>
  <hyperlinks>
    <hyperlink ref="A1" location="Index!A1" display="Index" xr:uid="{CA7DE7F9-36D1-49D7-B472-33C247B555CD}"/>
  </hyperlink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88C4E609-1D00-403E-8C7A-836A4C4B734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Ratios!C24:L24</xm:f>
              <xm:sqref>M24</xm:sqref>
            </x14:sparkline>
            <x14:sparkline>
              <xm:f>Ratios!C25:L25</xm:f>
              <xm:sqref>M25</xm:sqref>
            </x14:sparkline>
            <x14:sparkline>
              <xm:f>Ratios!C26:L26</xm:f>
              <xm:sqref>M26</xm:sqref>
            </x14:sparkline>
            <x14:sparkline>
              <xm:f>Ratios!C27:L27</xm:f>
              <xm:sqref>M27</xm:sqref>
            </x14:sparkline>
            <x14:sparkline>
              <xm:f>Ratios!C28:L28</xm:f>
              <xm:sqref>M28</xm:sqref>
            </x14:sparkline>
            <x14:sparkline>
              <xm:f>Ratios!C29:L29</xm:f>
              <xm:sqref>M29</xm:sqref>
            </x14:sparkline>
          </x14:sparklines>
        </x14:sparklineGroup>
        <x14:sparklineGroup type="column" displayEmptyCellsAs="gap" xr2:uid="{F68D39B7-60FA-4DD0-ADCE-AD83C9B9D1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Ratios!B16:L16</xm:f>
              <xm:sqref>M16</xm:sqref>
            </x14:sparkline>
            <x14:sparkline>
              <xm:f>Ratios!B17:L17</xm:f>
              <xm:sqref>M17</xm:sqref>
            </x14:sparkline>
            <x14:sparkline>
              <xm:f>Ratios!B18:L18</xm:f>
              <xm:sqref>M18</xm:sqref>
            </x14:sparkline>
          </x14:sparklines>
        </x14:sparklineGroup>
        <x14:sparklineGroup type="column" displayEmptyCellsAs="gap" xr2:uid="{3431B3C6-2377-4AD3-89ED-C21124EF600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Ratios!B12:L12</xm:f>
              <xm:sqref>M12</xm:sqref>
            </x14:sparkline>
            <x14:sparkline>
              <xm:f>Ratios!B13:L13</xm:f>
              <xm:sqref>M13</xm:sqref>
            </x14:sparkline>
          </x14:sparklines>
        </x14:sparklineGroup>
        <x14:sparklineGroup type="column" displayEmptyCellsAs="gap" xr2:uid="{2553F3DA-FDA4-4D11-B3C6-D7FF99A7457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Ratios!B5:L5</xm:f>
              <xm:sqref>M5</xm:sqref>
            </x14:sparkline>
            <x14:sparkline>
              <xm:f>Ratios!B6:L6</xm:f>
              <xm:sqref>M6</xm:sqref>
            </x14:sparkline>
            <x14:sparkline>
              <xm:f>Ratios!B7:L7</xm:f>
              <xm:sqref>M7</xm:sqref>
            </x14:sparkline>
            <x14:sparkline>
              <xm:f>Ratios!B8:L8</xm:f>
              <xm:sqref>M8</xm:sqref>
            </x14:sparkline>
            <x14:sparkline>
              <xm:f>Ratios!B9:L9</xm:f>
              <xm:sqref>M9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827B-B1D8-46C0-B790-31BF873AD5F3}">
  <dimension ref="A1:BO40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34.7109375" customWidth="1"/>
    <col min="2" max="2" width="10.140625" bestFit="1" customWidth="1"/>
    <col min="3" max="3" width="10.5703125" bestFit="1" customWidth="1"/>
    <col min="4" max="6" width="10.140625" bestFit="1" customWidth="1"/>
    <col min="7" max="11" width="14.42578125" bestFit="1" customWidth="1"/>
    <col min="12" max="12" width="13.28515625" bestFit="1" customWidth="1"/>
    <col min="16" max="16" width="10.140625" bestFit="1" customWidth="1"/>
    <col min="17" max="17" width="12" bestFit="1" customWidth="1"/>
    <col min="18" max="19" width="10.140625" bestFit="1" customWidth="1"/>
  </cols>
  <sheetData>
    <row r="1" spans="1:67" x14ac:dyDescent="0.25">
      <c r="A1" s="260" t="s">
        <v>332</v>
      </c>
    </row>
    <row r="3" spans="1:67" x14ac:dyDescent="0.25">
      <c r="A3" t="s">
        <v>202</v>
      </c>
    </row>
    <row r="4" spans="1:67" x14ac:dyDescent="0.25">
      <c r="A4">
        <f>(16.3/4)*1000</f>
        <v>4075</v>
      </c>
      <c r="C4" s="138">
        <f>ROUND(((A4*1000)/220),0)</f>
        <v>18523</v>
      </c>
      <c r="D4" t="s">
        <v>336</v>
      </c>
    </row>
    <row r="7" spans="1:67" s="6" customFormat="1" ht="42.95" customHeight="1" x14ac:dyDescent="0.25">
      <c r="A7" s="5"/>
      <c r="B7" s="6" t="s">
        <v>46</v>
      </c>
      <c r="C7" s="6" t="s">
        <v>1</v>
      </c>
      <c r="D7" s="6" t="s">
        <v>2</v>
      </c>
      <c r="E7" s="6" t="s">
        <v>3</v>
      </c>
      <c r="F7" s="6" t="s">
        <v>4</v>
      </c>
      <c r="G7" s="94" t="s">
        <v>168</v>
      </c>
      <c r="H7" s="6" t="s">
        <v>169</v>
      </c>
      <c r="I7" s="6" t="s">
        <v>170</v>
      </c>
      <c r="J7" s="6" t="s">
        <v>171</v>
      </c>
      <c r="K7" s="6" t="s">
        <v>172</v>
      </c>
      <c r="L7" s="6" t="s">
        <v>173</v>
      </c>
      <c r="M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x14ac:dyDescent="0.25">
      <c r="A8" t="s">
        <v>335</v>
      </c>
      <c r="B8" s="127">
        <v>58829384</v>
      </c>
      <c r="C8" s="127">
        <v>59528200</v>
      </c>
      <c r="D8" s="127">
        <v>63783849</v>
      </c>
      <c r="E8" s="127">
        <v>70931874</v>
      </c>
      <c r="F8" s="127">
        <v>72862227</v>
      </c>
      <c r="G8" s="265">
        <f>F8-$C$4</f>
        <v>72843704</v>
      </c>
      <c r="H8" s="265">
        <f t="shared" ref="H8:J8" si="0">G8-$C$4</f>
        <v>72825181</v>
      </c>
      <c r="I8" s="265">
        <f t="shared" si="0"/>
        <v>72806658</v>
      </c>
      <c r="J8" s="265">
        <f t="shared" si="0"/>
        <v>72788135</v>
      </c>
      <c r="K8" s="265">
        <f>J8</f>
        <v>72788135</v>
      </c>
      <c r="L8" s="265">
        <f>K8+3016680</f>
        <v>75804815</v>
      </c>
    </row>
    <row r="11" spans="1:67" s="6" customFormat="1" ht="42.95" customHeight="1" x14ac:dyDescent="0.25">
      <c r="A11" s="5" t="s">
        <v>147</v>
      </c>
      <c r="F11" s="6" t="s">
        <v>4</v>
      </c>
      <c r="G11" s="94" t="s">
        <v>168</v>
      </c>
      <c r="H11" s="6" t="s">
        <v>169</v>
      </c>
      <c r="I11" s="6" t="s">
        <v>170</v>
      </c>
      <c r="J11" s="6" t="s">
        <v>171</v>
      </c>
      <c r="K11" s="6" t="s">
        <v>172</v>
      </c>
      <c r="L11" s="6" t="s">
        <v>173</v>
      </c>
      <c r="M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x14ac:dyDescent="0.25">
      <c r="A12" t="s">
        <v>205</v>
      </c>
      <c r="F12" s="12">
        <f>BS!E46</f>
        <v>109883</v>
      </c>
      <c r="G12" s="12">
        <f>F16</f>
        <v>257022</v>
      </c>
      <c r="H12" s="12">
        <f t="shared" ref="H12:L12" si="1">G16</f>
        <v>488780.31586107996</v>
      </c>
      <c r="I12" s="12">
        <f t="shared" si="1"/>
        <v>782889.57679770305</v>
      </c>
      <c r="J12" s="12">
        <f t="shared" si="1"/>
        <v>1208516.473120569</v>
      </c>
      <c r="K12" s="12">
        <f t="shared" si="1"/>
        <v>1764150.5683813705</v>
      </c>
      <c r="L12" s="12">
        <f t="shared" si="1"/>
        <v>2536790.8178350339</v>
      </c>
    </row>
    <row r="13" spans="1:67" x14ac:dyDescent="0.25">
      <c r="A13" s="93" t="s">
        <v>206</v>
      </c>
      <c r="F13" s="12">
        <f>IS!F15</f>
        <v>147139</v>
      </c>
      <c r="G13" s="12">
        <f>IS!G15</f>
        <v>235833.31586107993</v>
      </c>
      <c r="H13" s="12">
        <f>IS!H15</f>
        <v>298184.26093662303</v>
      </c>
      <c r="I13" s="12">
        <f>IS!I15</f>
        <v>429701.89632286597</v>
      </c>
      <c r="J13" s="12">
        <f>IS!J15</f>
        <v>559709.09526080149</v>
      </c>
      <c r="K13" s="12">
        <f>IS!K15</f>
        <v>772640.24945366336</v>
      </c>
      <c r="L13" s="12">
        <f>IS!L15</f>
        <v>977221.76959128852</v>
      </c>
    </row>
    <row r="14" spans="1:67" x14ac:dyDescent="0.25">
      <c r="A14" s="133" t="s">
        <v>233</v>
      </c>
      <c r="F14" s="12"/>
      <c r="G14" s="12">
        <f t="shared" ref="G14:J14" si="2">$A$4*-1</f>
        <v>-4075</v>
      </c>
      <c r="H14" s="12">
        <f t="shared" si="2"/>
        <v>-4075</v>
      </c>
      <c r="I14" s="12">
        <f t="shared" si="2"/>
        <v>-4075</v>
      </c>
      <c r="J14" s="12">
        <f t="shared" si="2"/>
        <v>-4075</v>
      </c>
      <c r="K14" s="12"/>
      <c r="L14" s="12"/>
      <c r="M14" s="127"/>
      <c r="P14" s="127"/>
      <c r="Q14" s="127"/>
      <c r="R14" s="127"/>
      <c r="S14" s="127"/>
    </row>
    <row r="15" spans="1:67" x14ac:dyDescent="0.25">
      <c r="A15" s="93" t="s">
        <v>207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U15">
        <v>1</v>
      </c>
      <c r="V15">
        <v>220</v>
      </c>
    </row>
    <row r="16" spans="1:67" x14ac:dyDescent="0.25">
      <c r="A16" s="93" t="s">
        <v>208</v>
      </c>
      <c r="F16" s="12">
        <f>BS!F46</f>
        <v>257022</v>
      </c>
      <c r="G16" s="12">
        <f>SUM(G12:G15)</f>
        <v>488780.31586107996</v>
      </c>
      <c r="H16" s="12">
        <f t="shared" ref="H16:L16" si="3">SUM(H12:H15)</f>
        <v>782889.57679770305</v>
      </c>
      <c r="I16" s="12">
        <f t="shared" si="3"/>
        <v>1208516.473120569</v>
      </c>
      <c r="J16" s="12">
        <f t="shared" si="3"/>
        <v>1764150.5683813705</v>
      </c>
      <c r="K16" s="12">
        <f t="shared" si="3"/>
        <v>2536790.8178350339</v>
      </c>
      <c r="L16" s="12">
        <f t="shared" si="3"/>
        <v>3514012.5874263225</v>
      </c>
      <c r="V16">
        <v>16.3</v>
      </c>
    </row>
    <row r="18" spans="1:67" s="6" customFormat="1" ht="42.95" customHeight="1" x14ac:dyDescent="0.25">
      <c r="A18" s="5" t="s">
        <v>209</v>
      </c>
      <c r="B18" s="6" t="s">
        <v>46</v>
      </c>
      <c r="C18" s="6" t="s">
        <v>1</v>
      </c>
      <c r="D18" s="6" t="s">
        <v>2</v>
      </c>
      <c r="E18" s="6" t="s">
        <v>3</v>
      </c>
      <c r="F18" s="6" t="s">
        <v>4</v>
      </c>
      <c r="G18" s="94" t="s">
        <v>168</v>
      </c>
      <c r="H18" s="6" t="s">
        <v>169</v>
      </c>
      <c r="I18" s="6" t="s">
        <v>170</v>
      </c>
      <c r="J18" s="6" t="s">
        <v>171</v>
      </c>
      <c r="K18" s="6" t="s">
        <v>172</v>
      </c>
      <c r="L18" s="6" t="s">
        <v>173</v>
      </c>
      <c r="M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</row>
    <row r="19" spans="1:67" x14ac:dyDescent="0.25">
      <c r="A19" t="s">
        <v>210</v>
      </c>
      <c r="B19" s="127">
        <v>67649</v>
      </c>
      <c r="C19" s="127">
        <f t="shared" ref="C19:E19" si="4">B21</f>
        <v>77778</v>
      </c>
      <c r="D19" s="127">
        <f t="shared" si="4"/>
        <v>85602</v>
      </c>
      <c r="E19" s="127">
        <f t="shared" si="4"/>
        <v>152679</v>
      </c>
      <c r="F19" s="127">
        <f>E21</f>
        <v>197241</v>
      </c>
      <c r="G19" s="127">
        <f t="shared" ref="G19:L19" si="5">F21</f>
        <v>247738</v>
      </c>
      <c r="H19" s="127">
        <f t="shared" si="5"/>
        <v>311163.07787934557</v>
      </c>
      <c r="I19" s="127">
        <f t="shared" si="5"/>
        <v>387714.40735563758</v>
      </c>
      <c r="J19" s="127">
        <f t="shared" si="5"/>
        <v>479221.5021270744</v>
      </c>
      <c r="K19" s="127">
        <f t="shared" si="5"/>
        <v>587533.58908607124</v>
      </c>
      <c r="L19" s="127">
        <f t="shared" si="5"/>
        <v>714450.68615150033</v>
      </c>
    </row>
    <row r="20" spans="1:67" x14ac:dyDescent="0.25">
      <c r="A20" s="93" t="s">
        <v>211</v>
      </c>
      <c r="B20" s="127">
        <f t="shared" ref="B20:E20" si="6">B21-B19</f>
        <v>10129</v>
      </c>
      <c r="C20" s="127">
        <f t="shared" si="6"/>
        <v>7824</v>
      </c>
      <c r="D20" s="127">
        <f t="shared" si="6"/>
        <v>67077</v>
      </c>
      <c r="E20" s="127">
        <f t="shared" si="6"/>
        <v>44562</v>
      </c>
      <c r="F20" s="127">
        <f>F21-F19</f>
        <v>50497</v>
      </c>
      <c r="G20" s="127">
        <f>G27*G19</f>
        <v>63425.077879345576</v>
      </c>
      <c r="H20" s="127">
        <f t="shared" ref="H20:L20" si="7">H27*H19</f>
        <v>76551.329476292012</v>
      </c>
      <c r="I20" s="127">
        <f t="shared" si="7"/>
        <v>91507.094771436794</v>
      </c>
      <c r="J20" s="127">
        <f t="shared" si="7"/>
        <v>108312.08695899679</v>
      </c>
      <c r="K20" s="127">
        <f t="shared" si="7"/>
        <v>126917.09706542912</v>
      </c>
      <c r="L20" s="127">
        <f t="shared" si="7"/>
        <v>147188.8091686409</v>
      </c>
      <c r="N20" t="s">
        <v>219</v>
      </c>
    </row>
    <row r="21" spans="1:67" x14ac:dyDescent="0.25">
      <c r="A21" s="93" t="s">
        <v>212</v>
      </c>
      <c r="B21" s="127">
        <v>77778</v>
      </c>
      <c r="C21" s="127">
        <v>85602</v>
      </c>
      <c r="D21" s="127">
        <v>152679</v>
      </c>
      <c r="E21" s="127">
        <v>197241</v>
      </c>
      <c r="F21" s="127">
        <v>247738</v>
      </c>
      <c r="G21" s="127">
        <f>G19+G20</f>
        <v>311163.07787934557</v>
      </c>
      <c r="H21" s="127">
        <f t="shared" ref="H21:L21" si="8">H19+H20</f>
        <v>387714.40735563758</v>
      </c>
      <c r="I21" s="127">
        <f t="shared" si="8"/>
        <v>479221.5021270744</v>
      </c>
      <c r="J21" s="127">
        <f t="shared" si="8"/>
        <v>587533.58908607124</v>
      </c>
      <c r="K21" s="127">
        <f t="shared" si="8"/>
        <v>714450.68615150033</v>
      </c>
      <c r="L21" s="127">
        <f t="shared" si="8"/>
        <v>861639.4953201412</v>
      </c>
    </row>
    <row r="22" spans="1:67" x14ac:dyDescent="0.25">
      <c r="A22" t="s">
        <v>213</v>
      </c>
      <c r="B22" s="10">
        <v>-36477</v>
      </c>
      <c r="C22" s="10">
        <f t="shared" ref="C22:E22" si="9">B24</f>
        <v>-39885</v>
      </c>
      <c r="D22" s="10">
        <f t="shared" si="9"/>
        <v>-41832</v>
      </c>
      <c r="E22" s="10">
        <f t="shared" si="9"/>
        <v>-47185</v>
      </c>
      <c r="F22" s="10">
        <f>E24</f>
        <v>-58784</v>
      </c>
      <c r="G22" s="10">
        <f t="shared" ref="G22:L22" si="10">F24</f>
        <v>-77895</v>
      </c>
      <c r="H22" s="10">
        <f t="shared" si="10"/>
        <v>-105010.36690870559</v>
      </c>
      <c r="I22" s="10">
        <f t="shared" si="10"/>
        <v>-142673.71236222103</v>
      </c>
      <c r="J22" s="10">
        <f t="shared" si="10"/>
        <v>-194018.45326579351</v>
      </c>
      <c r="K22" s="10">
        <f t="shared" si="10"/>
        <v>-262843.30158435629</v>
      </c>
      <c r="L22" s="10">
        <f t="shared" si="10"/>
        <v>-353679.97689186397</v>
      </c>
    </row>
    <row r="23" spans="1:67" x14ac:dyDescent="0.25">
      <c r="A23" s="93" t="s">
        <v>214</v>
      </c>
      <c r="B23" s="127">
        <f t="shared" ref="B23:E23" si="11">B24-B22</f>
        <v>-3408</v>
      </c>
      <c r="C23" s="127">
        <f t="shared" si="11"/>
        <v>-1947</v>
      </c>
      <c r="D23" s="127">
        <f t="shared" si="11"/>
        <v>-5353</v>
      </c>
      <c r="E23" s="127">
        <f t="shared" si="11"/>
        <v>-11599</v>
      </c>
      <c r="F23" s="127">
        <f>F24-F22</f>
        <v>-19111</v>
      </c>
      <c r="G23" s="127">
        <f>G28*G21</f>
        <v>-27115.366908705593</v>
      </c>
      <c r="H23" s="127">
        <f t="shared" ref="H23:L23" si="12">H28*H21</f>
        <v>-37663.345453515438</v>
      </c>
      <c r="I23" s="127">
        <f t="shared" si="12"/>
        <v>-51344.740903572456</v>
      </c>
      <c r="J23" s="127">
        <f t="shared" si="12"/>
        <v>-68824.848318562799</v>
      </c>
      <c r="K23" s="127">
        <f t="shared" si="12"/>
        <v>-90836.675307507685</v>
      </c>
      <c r="L23" s="127">
        <f t="shared" si="12"/>
        <v>-118166.94698657648</v>
      </c>
    </row>
    <row r="24" spans="1:67" x14ac:dyDescent="0.25">
      <c r="A24" s="93" t="s">
        <v>215</v>
      </c>
      <c r="B24" s="10">
        <v>-39885</v>
      </c>
      <c r="C24" s="10">
        <v>-41832</v>
      </c>
      <c r="D24" s="10">
        <v>-47185</v>
      </c>
      <c r="E24" s="10">
        <v>-58784</v>
      </c>
      <c r="F24" s="10">
        <v>-77895</v>
      </c>
      <c r="G24" s="10">
        <f>G22+G23</f>
        <v>-105010.36690870559</v>
      </c>
      <c r="H24" s="10">
        <f t="shared" ref="H24:L24" si="13">H22+H23</f>
        <v>-142673.71236222103</v>
      </c>
      <c r="I24" s="10">
        <f t="shared" si="13"/>
        <v>-194018.45326579351</v>
      </c>
      <c r="J24" s="10">
        <f t="shared" si="13"/>
        <v>-262843.30158435629</v>
      </c>
      <c r="K24" s="10">
        <f t="shared" si="13"/>
        <v>-353679.97689186397</v>
      </c>
      <c r="L24" s="10">
        <f t="shared" si="13"/>
        <v>-471846.92387844046</v>
      </c>
    </row>
    <row r="25" spans="1:67" x14ac:dyDescent="0.25">
      <c r="A25" t="s">
        <v>216</v>
      </c>
      <c r="B25" s="127">
        <f t="shared" ref="B25:E25" si="14">B21+B24</f>
        <v>37893</v>
      </c>
      <c r="C25" s="127">
        <f t="shared" si="14"/>
        <v>43770</v>
      </c>
      <c r="D25" s="127">
        <f t="shared" si="14"/>
        <v>105494</v>
      </c>
      <c r="E25" s="127">
        <f t="shared" si="14"/>
        <v>138457</v>
      </c>
      <c r="F25" s="127">
        <f>F21+F24</f>
        <v>169843</v>
      </c>
      <c r="G25" s="127">
        <f t="shared" ref="G25:L25" si="15">G21+G24</f>
        <v>206152.71097063998</v>
      </c>
      <c r="H25" s="127">
        <f t="shared" si="15"/>
        <v>245040.69499341655</v>
      </c>
      <c r="I25" s="127">
        <f t="shared" si="15"/>
        <v>285203.0488612809</v>
      </c>
      <c r="J25" s="127">
        <f t="shared" si="15"/>
        <v>324690.28750171495</v>
      </c>
      <c r="K25" s="127">
        <f t="shared" si="15"/>
        <v>360770.70925963635</v>
      </c>
      <c r="L25" s="127">
        <f t="shared" si="15"/>
        <v>389792.57144170074</v>
      </c>
      <c r="N25" t="s">
        <v>220</v>
      </c>
    </row>
    <row r="27" spans="1:67" x14ac:dyDescent="0.25">
      <c r="A27" t="s">
        <v>217</v>
      </c>
      <c r="B27" s="91">
        <f t="shared" ref="B27:E27" si="16">B20/B19</f>
        <v>0.14972874691421897</v>
      </c>
      <c r="C27" s="91">
        <f t="shared" si="16"/>
        <v>0.10059399830286199</v>
      </c>
      <c r="D27" s="91">
        <f t="shared" si="16"/>
        <v>0.78359150487138152</v>
      </c>
      <c r="E27" s="91">
        <f t="shared" si="16"/>
        <v>0.29186725089894483</v>
      </c>
      <c r="F27" s="91">
        <f>F20/F19</f>
        <v>0.25601675108116467</v>
      </c>
      <c r="G27" s="128">
        <f>F27</f>
        <v>0.25601675108116467</v>
      </c>
      <c r="H27" s="128">
        <f>G27-1%</f>
        <v>0.24601675108116466</v>
      </c>
      <c r="I27" s="128">
        <f t="shared" ref="I27:L27" si="17">H27-1%</f>
        <v>0.23601675108116466</v>
      </c>
      <c r="J27" s="128">
        <f t="shared" si="17"/>
        <v>0.22601675108116465</v>
      </c>
      <c r="K27" s="128">
        <f t="shared" si="17"/>
        <v>0.21601675108116464</v>
      </c>
      <c r="L27" s="128">
        <f t="shared" si="17"/>
        <v>0.20601675108116463</v>
      </c>
      <c r="N27" t="s">
        <v>303</v>
      </c>
    </row>
    <row r="28" spans="1:67" x14ac:dyDescent="0.25">
      <c r="A28" t="s">
        <v>218</v>
      </c>
      <c r="B28" s="91">
        <f t="shared" ref="B28:E28" si="18">B23/B21</f>
        <v>-4.3817017665663816E-2</v>
      </c>
      <c r="C28" s="91">
        <f t="shared" si="18"/>
        <v>-2.2744795682343871E-2</v>
      </c>
      <c r="D28" s="91">
        <f t="shared" si="18"/>
        <v>-3.506048637992127E-2</v>
      </c>
      <c r="E28" s="91">
        <f t="shared" si="18"/>
        <v>-5.8806231970026518E-2</v>
      </c>
      <c r="F28" s="91">
        <f>F23/F21</f>
        <v>-7.7141980640838312E-2</v>
      </c>
      <c r="G28" s="128">
        <f>F28-1%</f>
        <v>-8.7141980640838307E-2</v>
      </c>
      <c r="H28" s="128">
        <f t="shared" ref="H28:L28" si="19">G28-1%</f>
        <v>-9.7141980640838302E-2</v>
      </c>
      <c r="I28" s="128">
        <f t="shared" si="19"/>
        <v>-0.1071419806408383</v>
      </c>
      <c r="J28" s="128">
        <f t="shared" si="19"/>
        <v>-0.11714198064083829</v>
      </c>
      <c r="K28" s="128">
        <f t="shared" si="19"/>
        <v>-0.12714198064083829</v>
      </c>
      <c r="L28" s="128">
        <f t="shared" si="19"/>
        <v>-0.1371419806408383</v>
      </c>
      <c r="N28" t="s">
        <v>185</v>
      </c>
    </row>
    <row r="30" spans="1:67" s="6" customFormat="1" ht="42.95" customHeight="1" x14ac:dyDescent="0.25">
      <c r="A30" s="5" t="s">
        <v>221</v>
      </c>
      <c r="B30" s="6" t="s">
        <v>46</v>
      </c>
      <c r="C30" s="6" t="s">
        <v>1</v>
      </c>
      <c r="D30" s="6" t="s">
        <v>2</v>
      </c>
      <c r="E30" s="6" t="s">
        <v>3</v>
      </c>
      <c r="F30" s="6" t="s">
        <v>4</v>
      </c>
      <c r="G30" s="94" t="s">
        <v>168</v>
      </c>
      <c r="H30" s="6" t="s">
        <v>169</v>
      </c>
      <c r="I30" s="6" t="s">
        <v>170</v>
      </c>
      <c r="J30" s="6" t="s">
        <v>171</v>
      </c>
      <c r="K30" s="6" t="s">
        <v>172</v>
      </c>
      <c r="L30" s="6" t="s">
        <v>173</v>
      </c>
      <c r="M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</row>
    <row r="31" spans="1:67" x14ac:dyDescent="0.25">
      <c r="A31" t="s">
        <v>222</v>
      </c>
      <c r="B31" s="127">
        <v>26025</v>
      </c>
      <c r="C31" s="127">
        <f t="shared" ref="C31:E31" si="20">B33</f>
        <v>28585</v>
      </c>
      <c r="D31" s="127">
        <f t="shared" si="20"/>
        <v>26180</v>
      </c>
      <c r="E31" s="127">
        <f t="shared" si="20"/>
        <v>23678</v>
      </c>
      <c r="F31" s="127">
        <f>E33</f>
        <v>32436</v>
      </c>
      <c r="G31" s="127">
        <f t="shared" ref="G31:L31" si="21">F33</f>
        <v>32887</v>
      </c>
      <c r="H31" s="127">
        <f t="shared" si="21"/>
        <v>34876.310286245338</v>
      </c>
      <c r="I31" s="127">
        <f t="shared" si="21"/>
        <v>36985.952479169959</v>
      </c>
      <c r="J31" s="127">
        <f t="shared" si="21"/>
        <v>39223.205366736292</v>
      </c>
      <c r="K31" s="127">
        <f t="shared" si="21"/>
        <v>41595.78802540269</v>
      </c>
      <c r="L31" s="127">
        <f t="shared" si="21"/>
        <v>44111.886452848616</v>
      </c>
    </row>
    <row r="32" spans="1:67" x14ac:dyDescent="0.25">
      <c r="A32" s="93" t="s">
        <v>211</v>
      </c>
      <c r="B32" s="127">
        <f t="shared" ref="B32:E32" si="22">B33-B31</f>
        <v>2560</v>
      </c>
      <c r="C32" s="127">
        <f>C33-C31</f>
        <v>-2405</v>
      </c>
      <c r="D32" s="127">
        <f t="shared" si="22"/>
        <v>-2502</v>
      </c>
      <c r="E32" s="127">
        <f t="shared" si="22"/>
        <v>8758</v>
      </c>
      <c r="F32" s="127">
        <f>F33-F31</f>
        <v>451</v>
      </c>
      <c r="G32" s="127">
        <f>G31*G40</f>
        <v>1989.3102862453375</v>
      </c>
      <c r="H32" s="127">
        <f t="shared" ref="H32:L32" si="23">H31*H40</f>
        <v>2109.6421929246185</v>
      </c>
      <c r="I32" s="127">
        <f t="shared" si="23"/>
        <v>2237.2528875663343</v>
      </c>
      <c r="J32" s="127">
        <f t="shared" si="23"/>
        <v>2372.5826586663979</v>
      </c>
      <c r="K32" s="127">
        <f t="shared" si="23"/>
        <v>2516.098427445927</v>
      </c>
      <c r="L32" s="127">
        <f t="shared" si="23"/>
        <v>2668.2953588450787</v>
      </c>
    </row>
    <row r="33" spans="1:14" x14ac:dyDescent="0.25">
      <c r="A33" s="93" t="s">
        <v>223</v>
      </c>
      <c r="B33" s="127">
        <v>28585</v>
      </c>
      <c r="C33" s="127">
        <v>26180</v>
      </c>
      <c r="D33" s="127">
        <v>23678</v>
      </c>
      <c r="E33" s="127">
        <v>32436</v>
      </c>
      <c r="F33" s="127">
        <v>32887</v>
      </c>
      <c r="G33" s="127">
        <f>G31+G32</f>
        <v>34876.310286245338</v>
      </c>
      <c r="H33" s="127">
        <f t="shared" ref="H33:L33" si="24">H31+H32</f>
        <v>36985.952479169959</v>
      </c>
      <c r="I33" s="127">
        <f t="shared" si="24"/>
        <v>39223.205366736292</v>
      </c>
      <c r="J33" s="127">
        <f t="shared" si="24"/>
        <v>41595.78802540269</v>
      </c>
      <c r="K33" s="127">
        <f t="shared" si="24"/>
        <v>44111.886452848616</v>
      </c>
      <c r="L33" s="127">
        <f t="shared" si="24"/>
        <v>46780.181811693692</v>
      </c>
    </row>
    <row r="34" spans="1:14" x14ac:dyDescent="0.25">
      <c r="A34" t="s">
        <v>224</v>
      </c>
      <c r="B34">
        <v>-7202</v>
      </c>
      <c r="C34" s="127">
        <f t="shared" ref="C34:E34" si="25">B36</f>
        <v>-12650</v>
      </c>
      <c r="D34" s="127">
        <f t="shared" si="25"/>
        <v>-13409</v>
      </c>
      <c r="E34" s="127">
        <f t="shared" si="25"/>
        <v>-14230</v>
      </c>
      <c r="F34" s="127">
        <f>E36</f>
        <v>-16966</v>
      </c>
      <c r="G34" s="127">
        <f t="shared" ref="G34:L34" si="26">F36</f>
        <v>-20729</v>
      </c>
      <c r="H34" s="127">
        <f t="shared" si="26"/>
        <v>-23888.985090511422</v>
      </c>
      <c r="I34" s="127">
        <f t="shared" si="26"/>
        <v>-27425.045102446162</v>
      </c>
      <c r="J34" s="127">
        <f t="shared" si="26"/>
        <v>-31371.114793859171</v>
      </c>
      <c r="K34" s="127">
        <f t="shared" si="26"/>
        <v>-35763.858260056317</v>
      </c>
      <c r="L34" s="127">
        <f t="shared" si="26"/>
        <v>-40642.874959172768</v>
      </c>
    </row>
    <row r="35" spans="1:14" x14ac:dyDescent="0.25">
      <c r="A35" s="93" t="s">
        <v>225</v>
      </c>
      <c r="B35" s="127">
        <f t="shared" ref="B35:E35" si="27">B36-B34</f>
        <v>-5448</v>
      </c>
      <c r="C35" s="127">
        <f t="shared" si="27"/>
        <v>-759</v>
      </c>
      <c r="D35" s="127">
        <f t="shared" si="27"/>
        <v>-821</v>
      </c>
      <c r="E35" s="127">
        <f t="shared" si="27"/>
        <v>-2736</v>
      </c>
      <c r="F35" s="127">
        <f>F36-F34</f>
        <v>-3763</v>
      </c>
      <c r="G35" s="127">
        <f>G39*G33</f>
        <v>-3159.9850905114231</v>
      </c>
      <c r="H35" s="127">
        <f t="shared" ref="H35:L35" si="28">H39*H33</f>
        <v>-3536.0600119347391</v>
      </c>
      <c r="I35" s="127">
        <f t="shared" si="28"/>
        <v>-3946.0696914130094</v>
      </c>
      <c r="J35" s="127">
        <f t="shared" si="28"/>
        <v>-4392.7434661971474</v>
      </c>
      <c r="K35" s="127">
        <f t="shared" si="28"/>
        <v>-4879.0166991164515</v>
      </c>
      <c r="L35" s="127">
        <f t="shared" si="28"/>
        <v>-5408.0457167380337</v>
      </c>
    </row>
    <row r="36" spans="1:14" x14ac:dyDescent="0.25">
      <c r="A36" s="93" t="s">
        <v>226</v>
      </c>
      <c r="B36" s="127">
        <v>-12650</v>
      </c>
      <c r="C36" s="127">
        <v>-13409</v>
      </c>
      <c r="D36" s="127">
        <v>-14230</v>
      </c>
      <c r="E36" s="127">
        <v>-16966</v>
      </c>
      <c r="F36" s="127">
        <v>-20729</v>
      </c>
      <c r="G36" s="127">
        <f>G34+G35</f>
        <v>-23888.985090511422</v>
      </c>
      <c r="H36" s="127">
        <f t="shared" ref="H36:L36" si="29">H34+H35</f>
        <v>-27425.045102446162</v>
      </c>
      <c r="I36" s="127">
        <f t="shared" si="29"/>
        <v>-31371.114793859171</v>
      </c>
      <c r="J36" s="127">
        <f t="shared" si="29"/>
        <v>-35763.858260056317</v>
      </c>
      <c r="K36" s="127">
        <f t="shared" si="29"/>
        <v>-40642.874959172768</v>
      </c>
      <c r="L36" s="127">
        <f t="shared" si="29"/>
        <v>-46050.920675910806</v>
      </c>
    </row>
    <row r="37" spans="1:14" x14ac:dyDescent="0.25">
      <c r="A37" t="s">
        <v>227</v>
      </c>
      <c r="B37" s="127">
        <f t="shared" ref="B37:E37" si="30">B33+B36</f>
        <v>15935</v>
      </c>
      <c r="C37" s="127">
        <f t="shared" si="30"/>
        <v>12771</v>
      </c>
      <c r="D37" s="127">
        <f t="shared" si="30"/>
        <v>9448</v>
      </c>
      <c r="E37" s="127">
        <f t="shared" si="30"/>
        <v>15470</v>
      </c>
      <c r="F37" s="127">
        <f>F33+F36</f>
        <v>12158</v>
      </c>
      <c r="G37" s="127">
        <f t="shared" ref="G37:L37" si="31">G33+G36</f>
        <v>10987.325195733916</v>
      </c>
      <c r="H37" s="127">
        <f t="shared" si="31"/>
        <v>9560.9073767237969</v>
      </c>
      <c r="I37" s="127">
        <f t="shared" si="31"/>
        <v>7852.0905728771213</v>
      </c>
      <c r="J37" s="127">
        <f t="shared" si="31"/>
        <v>5831.9297653463727</v>
      </c>
      <c r="K37" s="127">
        <f t="shared" si="31"/>
        <v>3469.0114936758473</v>
      </c>
      <c r="L37" s="127">
        <f t="shared" si="31"/>
        <v>729.26113578288641</v>
      </c>
    </row>
    <row r="39" spans="1:14" x14ac:dyDescent="0.25">
      <c r="A39" t="s">
        <v>228</v>
      </c>
      <c r="B39" s="90">
        <f>B35/B33</f>
        <v>-0.19058947000174917</v>
      </c>
      <c r="C39" s="90">
        <f t="shared" ref="C39:E39" si="32">C35/C33</f>
        <v>-2.8991596638655463E-2</v>
      </c>
      <c r="D39" s="90">
        <f t="shared" si="32"/>
        <v>-3.4673536616268263E-2</v>
      </c>
      <c r="E39" s="90">
        <f t="shared" si="32"/>
        <v>-8.4350721420643732E-2</v>
      </c>
      <c r="F39" s="90">
        <f>F35/F33</f>
        <v>-0.11442211208076139</v>
      </c>
      <c r="G39" s="139">
        <f>AVERAGE(B39:F39)</f>
        <v>-9.0605487351615596E-2</v>
      </c>
      <c r="H39" s="139">
        <f>G39-0.5%</f>
        <v>-9.5605487351615601E-2</v>
      </c>
      <c r="I39" s="139">
        <f t="shared" ref="I39:L39" si="33">H39-0.5%</f>
        <v>-0.10060548735161561</v>
      </c>
      <c r="J39" s="139">
        <f t="shared" si="33"/>
        <v>-0.10560548735161561</v>
      </c>
      <c r="K39" s="139">
        <f t="shared" si="33"/>
        <v>-0.11060548735161561</v>
      </c>
      <c r="L39" s="139">
        <f t="shared" si="33"/>
        <v>-0.11560548735161562</v>
      </c>
      <c r="N39" t="s">
        <v>304</v>
      </c>
    </row>
    <row r="40" spans="1:14" x14ac:dyDescent="0.25">
      <c r="A40" t="s">
        <v>229</v>
      </c>
      <c r="B40" s="90">
        <f>B32/B31</f>
        <v>9.8366954851104707E-2</v>
      </c>
      <c r="C40" s="90">
        <f t="shared" ref="C40:F40" si="34">C32/C31</f>
        <v>-8.4135035857967472E-2</v>
      </c>
      <c r="D40" s="90">
        <f t="shared" si="34"/>
        <v>-9.5569136745607339E-2</v>
      </c>
      <c r="E40" s="90">
        <f t="shared" si="34"/>
        <v>0.36987921277134894</v>
      </c>
      <c r="F40" s="90">
        <f t="shared" si="34"/>
        <v>1.3904303859908743E-2</v>
      </c>
      <c r="G40" s="139">
        <f>AVERAGE(B40:F40)</f>
        <v>6.0489259775757517E-2</v>
      </c>
      <c r="H40" s="139">
        <f>G40</f>
        <v>6.0489259775757517E-2</v>
      </c>
      <c r="I40" s="139">
        <f t="shared" ref="I40:L40" si="35">H40</f>
        <v>6.0489259775757517E-2</v>
      </c>
      <c r="J40" s="139">
        <f t="shared" si="35"/>
        <v>6.0489259775757517E-2</v>
      </c>
      <c r="K40" s="139">
        <f t="shared" si="35"/>
        <v>6.0489259775757517E-2</v>
      </c>
      <c r="L40" s="139">
        <f t="shared" si="35"/>
        <v>6.0489259775757517E-2</v>
      </c>
      <c r="N40" t="s">
        <v>196</v>
      </c>
    </row>
  </sheetData>
  <phoneticPr fontId="15" type="noConversion"/>
  <hyperlinks>
    <hyperlink ref="A1" location="Index!A1" display="Index" xr:uid="{67AA696A-909E-447A-916F-E38791B7E316}"/>
  </hyperlink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Scenario Analysis</vt:lpstr>
      <vt:lpstr>DCF FCFE</vt:lpstr>
      <vt:lpstr>Ke</vt:lpstr>
      <vt:lpstr>Revenue model</vt:lpstr>
      <vt:lpstr>IS</vt:lpstr>
      <vt:lpstr>BS</vt:lpstr>
      <vt:lpstr>Derived Cash Flow</vt:lpstr>
      <vt:lpstr>CF</vt:lpstr>
      <vt:lpstr>Ratios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Gore</dc:creator>
  <cp:lastModifiedBy>Siddhesh Gore</cp:lastModifiedBy>
  <dcterms:created xsi:type="dcterms:W3CDTF">2015-06-05T18:17:20Z</dcterms:created>
  <dcterms:modified xsi:type="dcterms:W3CDTF">2024-01-31T06:05:00Z</dcterms:modified>
</cp:coreProperties>
</file>