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MD Files\BUFN 730 - Equity analysis\Assignment - 4\"/>
    </mc:Choice>
  </mc:AlternateContent>
  <xr:revisionPtr revIDLastSave="0" documentId="13_ncr:1_{99F4E476-428B-4333-B4F8-FBDE810163C8}" xr6:coauthVersionLast="47" xr6:coauthVersionMax="47" xr10:uidLastSave="{00000000-0000-0000-0000-000000000000}"/>
  <bookViews>
    <workbookView xWindow="-110" yWindow="-110" windowWidth="19420" windowHeight="10300" activeTab="1" xr2:uid="{6290C6D7-5C3C-4518-A8EA-906256BFFEAE}"/>
  </bookViews>
  <sheets>
    <sheet name="Group" sheetId="3" r:id="rId1"/>
    <sheet name="Comps" sheetId="1" r:id="rId2"/>
    <sheet name="Rat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D13" i="2" a="1"/>
  <c r="D13" i="2" l="1"/>
  <c r="I3" i="2"/>
  <c r="I2" i="2"/>
  <c r="D23" i="1"/>
  <c r="E23" i="1"/>
  <c r="F23" i="1"/>
  <c r="P23" i="1"/>
  <c r="O23" i="1"/>
  <c r="M23" i="1"/>
  <c r="L23" i="1"/>
  <c r="J23" i="1"/>
  <c r="I23" i="1"/>
  <c r="H23" i="1"/>
  <c r="Q23" i="1"/>
  <c r="C23" i="1"/>
  <c r="N23" i="1"/>
  <c r="K23" i="1"/>
  <c r="I11" i="2" a="1"/>
  <c r="I12" i="2" a="1"/>
  <c r="I7" i="2" a="1"/>
  <c r="I14" i="2" a="1"/>
  <c r="I5" i="2" a="1"/>
  <c r="I8" i="2" a="1"/>
  <c r="I9" i="2" a="1"/>
  <c r="I15" i="2" a="1"/>
  <c r="D6" i="1"/>
  <c r="I4" i="2" a="1"/>
  <c r="I6" i="2" a="1"/>
  <c r="I13" i="2" a="1"/>
  <c r="I10" i="2" a="1"/>
  <c r="I5" i="2" l="1"/>
  <c r="I4" i="2"/>
  <c r="I15" i="2"/>
  <c r="I14" i="2"/>
  <c r="I13" i="2"/>
  <c r="I12" i="2"/>
  <c r="I11" i="2"/>
  <c r="I10" i="2"/>
  <c r="I9" i="2"/>
  <c r="I8" i="2"/>
  <c r="I7" i="2"/>
  <c r="I6" i="2"/>
  <c r="G23" i="1"/>
  <c r="L11" i="1"/>
  <c r="B24" i="1"/>
  <c r="G11" i="1"/>
  <c r="H11" i="1"/>
  <c r="J11" i="1"/>
  <c r="I11" i="1"/>
  <c r="D11" i="1"/>
  <c r="F11" i="1"/>
  <c r="E11" i="1"/>
  <c r="C42" i="1"/>
  <c r="C41" i="1"/>
  <c r="A36" i="1"/>
  <c r="B36" i="1"/>
  <c r="A24" i="1"/>
  <c r="C11" i="1"/>
  <c r="C35" i="1" s="1"/>
  <c r="B28" i="1"/>
  <c r="B29" i="1"/>
  <c r="B30" i="1"/>
  <c r="B31" i="1"/>
  <c r="B32" i="1"/>
  <c r="B33" i="1"/>
  <c r="B34" i="1"/>
  <c r="A29" i="1"/>
  <c r="A30" i="1"/>
  <c r="A31" i="1"/>
  <c r="A32" i="1"/>
  <c r="A33" i="1"/>
  <c r="A34" i="1"/>
  <c r="A17" i="1"/>
  <c r="A18" i="1"/>
  <c r="A19" i="1"/>
  <c r="A20" i="1"/>
  <c r="A21" i="1"/>
  <c r="A22" i="1"/>
  <c r="B17" i="1"/>
  <c r="B18" i="1"/>
  <c r="B19" i="1"/>
  <c r="B20" i="1"/>
  <c r="B21" i="1"/>
  <c r="B22" i="1"/>
  <c r="B16" i="1"/>
  <c r="G12" i="1"/>
  <c r="I6" i="1"/>
  <c r="F9" i="1"/>
  <c r="E8" i="1"/>
  <c r="I9" i="1"/>
  <c r="L5" i="1"/>
  <c r="H8" i="1"/>
  <c r="L6" i="1"/>
  <c r="J9" i="1"/>
  <c r="L8" i="1"/>
  <c r="J8" i="1"/>
  <c r="D4" i="1"/>
  <c r="G8" i="1"/>
  <c r="K9" i="1"/>
  <c r="C7" i="1"/>
  <c r="G10" i="1"/>
  <c r="H4" i="1"/>
  <c r="J5" i="1"/>
  <c r="K5" i="1"/>
  <c r="A4" i="1"/>
  <c r="K8" i="1"/>
  <c r="G9" i="1"/>
  <c r="C5" i="1"/>
  <c r="I4" i="1"/>
  <c r="E9" i="1"/>
  <c r="I7" i="1"/>
  <c r="C6" i="1"/>
  <c r="G5" i="1"/>
  <c r="L4" i="1"/>
  <c r="L7" i="1"/>
  <c r="G16" i="1"/>
  <c r="D8" i="1"/>
  <c r="L10" i="1"/>
  <c r="G7" i="1"/>
  <c r="J4" i="1"/>
  <c r="C9" i="1"/>
  <c r="K4" i="1"/>
  <c r="E6" i="1"/>
  <c r="I8" i="1"/>
  <c r="C10" i="1"/>
  <c r="K6" i="1"/>
  <c r="Q21" i="1"/>
  <c r="J12" i="1"/>
  <c r="G22" i="1"/>
  <c r="E7" i="1"/>
  <c r="D5" i="1"/>
  <c r="I10" i="1"/>
  <c r="G18" i="1"/>
  <c r="E4" i="1"/>
  <c r="F7" i="1"/>
  <c r="K12" i="1"/>
  <c r="E5" i="1"/>
  <c r="J6" i="1"/>
  <c r="H12" i="1"/>
  <c r="C12" i="1"/>
  <c r="D12" i="1"/>
  <c r="I5" i="1"/>
  <c r="G17" i="1"/>
  <c r="G6" i="1"/>
  <c r="K10" i="1"/>
  <c r="D9" i="1"/>
  <c r="J7" i="1"/>
  <c r="E10" i="1"/>
  <c r="H5" i="1"/>
  <c r="J10" i="1"/>
  <c r="H9" i="1"/>
  <c r="H10" i="1"/>
  <c r="F4" i="1"/>
  <c r="C8" i="1"/>
  <c r="D10" i="1"/>
  <c r="K7" i="1"/>
  <c r="N21" i="1"/>
  <c r="H6" i="1"/>
  <c r="D7" i="1"/>
  <c r="F6" i="1"/>
  <c r="F10" i="1"/>
  <c r="F5" i="1"/>
  <c r="I12" i="1"/>
  <c r="H7" i="1"/>
  <c r="G4" i="1"/>
  <c r="F12" i="1"/>
  <c r="E12" i="1"/>
  <c r="F8" i="1"/>
  <c r="L12" i="1"/>
  <c r="G19" i="1"/>
  <c r="L9" i="1"/>
  <c r="B2" i="2" l="1" a="1"/>
  <c r="B2" i="2" s="1"/>
  <c r="C32" i="1"/>
  <c r="C30" i="1"/>
  <c r="C34" i="1"/>
  <c r="C29" i="1"/>
  <c r="C33" i="1"/>
  <c r="C31" i="1"/>
  <c r="C36" i="1"/>
  <c r="A28" i="1"/>
  <c r="A16" i="1"/>
  <c r="C13" i="2" a="1"/>
  <c r="E13" i="2" a="1"/>
  <c r="E6" i="2" a="1"/>
  <c r="C8" i="2" a="1"/>
  <c r="H10" i="2" a="1"/>
  <c r="D6" i="2" a="1"/>
  <c r="I20" i="1"/>
  <c r="Q22" i="1"/>
  <c r="P17" i="1"/>
  <c r="P19" i="1"/>
  <c r="M21" i="1"/>
  <c r="P18" i="1"/>
  <c r="L19" i="1"/>
  <c r="O24" i="1"/>
  <c r="F24" i="1"/>
  <c r="M24" i="1"/>
  <c r="C21" i="1"/>
  <c r="F18" i="1"/>
  <c r="J17" i="1"/>
  <c r="F15" i="2" a="1"/>
  <c r="C11" i="2" a="1"/>
  <c r="Q18" i="1"/>
  <c r="L18" i="1"/>
  <c r="J24" i="1"/>
  <c r="E11" i="2" a="1"/>
  <c r="E8" i="2" a="1"/>
  <c r="J18" i="1"/>
  <c r="N24" i="1"/>
  <c r="E9" i="2" a="1"/>
  <c r="D12" i="2" a="1"/>
  <c r="C19" i="1"/>
  <c r="H17" i="1"/>
  <c r="I24" i="1"/>
  <c r="E5" i="2" a="1"/>
  <c r="Q24" i="1"/>
  <c r="N19" i="1"/>
  <c r="E16" i="1"/>
  <c r="D16" i="1"/>
  <c r="H9" i="2" a="1"/>
  <c r="C9" i="2" a="1"/>
  <c r="L16" i="1"/>
  <c r="E21" i="1"/>
  <c r="D7" i="2" a="1"/>
  <c r="F6" i="2" a="1"/>
  <c r="E18" i="1"/>
  <c r="E22" i="1"/>
  <c r="F21" i="1"/>
  <c r="H14" i="2" a="1"/>
  <c r="L17" i="1"/>
  <c r="Q17" i="1"/>
  <c r="C14" i="2" a="1"/>
  <c r="F16" i="1"/>
  <c r="J22" i="1"/>
  <c r="N22" i="1"/>
  <c r="C6" i="2" a="1"/>
  <c r="D11" i="2" a="1"/>
  <c r="D5" i="2" a="1"/>
  <c r="E7" i="2" a="1"/>
  <c r="G5" i="2" a="1"/>
  <c r="C5" i="2" a="1"/>
  <c r="O22" i="1"/>
  <c r="H24" i="1"/>
  <c r="N20" i="1"/>
  <c r="N16" i="1"/>
  <c r="H20" i="1"/>
  <c r="O20" i="1"/>
  <c r="C17" i="1"/>
  <c r="Q20" i="1"/>
  <c r="G24" i="1"/>
  <c r="Q19" i="1"/>
  <c r="G10" i="2" a="1"/>
  <c r="H5" i="2" a="1"/>
  <c r="N17" i="1"/>
  <c r="E17" i="1"/>
  <c r="E20" i="1"/>
  <c r="H15" i="2" a="1"/>
  <c r="L24" i="1"/>
  <c r="F22" i="1"/>
  <c r="O21" i="1"/>
  <c r="H7" i="2" a="1"/>
  <c r="F14" i="2" a="1"/>
  <c r="O18" i="1"/>
  <c r="K22" i="1"/>
  <c r="C20" i="1"/>
  <c r="O19" i="1"/>
  <c r="F4" i="2" a="1"/>
  <c r="C7" i="2" a="1"/>
  <c r="C22" i="1"/>
  <c r="Q16" i="1"/>
  <c r="M20" i="1"/>
  <c r="E14" i="2" a="1"/>
  <c r="D15" i="2" a="1"/>
  <c r="E10" i="2" a="1"/>
  <c r="D19" i="1"/>
  <c r="P24" i="1"/>
  <c r="G14" i="2" a="1"/>
  <c r="F20" i="1"/>
  <c r="I19" i="1"/>
  <c r="F19" i="1"/>
  <c r="K24" i="1"/>
  <c r="F9" i="2" a="1"/>
  <c r="C10" i="2" a="1"/>
  <c r="D17" i="1"/>
  <c r="J21" i="1"/>
  <c r="E19" i="1"/>
  <c r="J16" i="1"/>
  <c r="D4" i="2" a="1"/>
  <c r="F5" i="2" a="1"/>
  <c r="K18" i="1"/>
  <c r="I16" i="1"/>
  <c r="H16" i="1"/>
  <c r="C16" i="1"/>
  <c r="D8" i="2" a="1"/>
  <c r="G12" i="2" a="1"/>
  <c r="G21" i="1"/>
  <c r="J20" i="1"/>
  <c r="M18" i="1"/>
  <c r="P20" i="1"/>
  <c r="H13" i="2" a="1"/>
  <c r="D9" i="2" a="1"/>
  <c r="F12" i="2" a="1"/>
  <c r="E4" i="2" a="1"/>
  <c r="F10" i="2" a="1"/>
  <c r="E12" i="2" a="1"/>
  <c r="C24" i="1"/>
  <c r="H19" i="1"/>
  <c r="H22" i="1"/>
  <c r="N18" i="1"/>
  <c r="I22" i="1"/>
  <c r="I18" i="1"/>
  <c r="H21" i="1"/>
  <c r="M22" i="1"/>
  <c r="D20" i="1"/>
  <c r="G7" i="2" a="1"/>
  <c r="G8" i="2" a="1"/>
  <c r="D14" i="2" a="1"/>
  <c r="H6" i="2" a="1"/>
  <c r="M17" i="1"/>
  <c r="K20" i="1"/>
  <c r="P21" i="1"/>
  <c r="G6" i="2" a="1"/>
  <c r="F11" i="2" a="1"/>
  <c r="C15" i="2" a="1"/>
  <c r="F17" i="1"/>
  <c r="K17" i="1"/>
  <c r="P22" i="1"/>
  <c r="H12" i="2" a="1"/>
  <c r="C4" i="2" a="1"/>
  <c r="D21" i="1"/>
  <c r="E24" i="1"/>
  <c r="D22" i="1"/>
  <c r="F8" i="2" a="1"/>
  <c r="F13" i="2" a="1"/>
  <c r="D18" i="1"/>
  <c r="O16" i="1"/>
  <c r="J19" i="1"/>
  <c r="G15" i="2" a="1"/>
  <c r="F7" i="2" a="1"/>
  <c r="M19" i="1"/>
  <c r="M16" i="1"/>
  <c r="L20" i="1"/>
  <c r="G11" i="2" a="1"/>
  <c r="G13" i="2" a="1"/>
  <c r="H8" i="2" a="1"/>
  <c r="D24" i="1"/>
  <c r="K16" i="1"/>
  <c r="L22" i="1"/>
  <c r="H4" i="2" a="1"/>
  <c r="I17" i="1"/>
  <c r="C18" i="1"/>
  <c r="K19" i="1"/>
  <c r="E15" i="2" a="1"/>
  <c r="G9" i="2" a="1"/>
  <c r="G4" i="2" a="1"/>
  <c r="L21" i="1"/>
  <c r="K21" i="1"/>
  <c r="O17" i="1"/>
  <c r="G20" i="1"/>
  <c r="D10" i="2" a="1"/>
  <c r="C12" i="2" a="1"/>
  <c r="H11" i="2" a="1"/>
  <c r="H18" i="1"/>
  <c r="P16" i="1"/>
  <c r="I21" i="1"/>
  <c r="H8" i="2" l="1"/>
  <c r="E10" i="2"/>
  <c r="D12" i="2"/>
  <c r="F14" i="2"/>
  <c r="C15" i="2"/>
  <c r="H6" i="2"/>
  <c r="E12" i="2"/>
  <c r="C5" i="2"/>
  <c r="D6" i="2"/>
  <c r="H11" i="2"/>
  <c r="G4" i="2"/>
  <c r="F6" i="2"/>
  <c r="G13" i="2"/>
  <c r="F7" i="2"/>
  <c r="F13" i="2"/>
  <c r="C4" i="2"/>
  <c r="C11" i="2"/>
  <c r="H5" i="2"/>
  <c r="F10" i="2"/>
  <c r="G5" i="2"/>
  <c r="H10" i="2"/>
  <c r="G12" i="2"/>
  <c r="F5" i="2"/>
  <c r="C10" i="2"/>
  <c r="G14" i="2"/>
  <c r="E5" i="2"/>
  <c r="C7" i="2"/>
  <c r="E8" i="2"/>
  <c r="F11" i="2"/>
  <c r="D14" i="2"/>
  <c r="E4" i="2"/>
  <c r="E7" i="2"/>
  <c r="C8" i="2"/>
  <c r="C12" i="2"/>
  <c r="G9" i="2"/>
  <c r="H4" i="2"/>
  <c r="C9" i="2"/>
  <c r="D15" i="2"/>
  <c r="F8" i="2"/>
  <c r="H12" i="2"/>
  <c r="H15" i="2"/>
  <c r="G8" i="2"/>
  <c r="F12" i="2"/>
  <c r="D5" i="2"/>
  <c r="E6" i="2"/>
  <c r="D10" i="2"/>
  <c r="E15" i="2"/>
  <c r="F9" i="2"/>
  <c r="G11" i="2"/>
  <c r="E14" i="2"/>
  <c r="F4" i="2"/>
  <c r="H7" i="2"/>
  <c r="G6" i="2"/>
  <c r="G10" i="2"/>
  <c r="D9" i="2"/>
  <c r="D11" i="2"/>
  <c r="E13" i="2"/>
  <c r="C14" i="2"/>
  <c r="D4" i="2"/>
  <c r="D7" i="2"/>
  <c r="H9" i="2"/>
  <c r="G15" i="2"/>
  <c r="E9" i="2"/>
  <c r="E11" i="2"/>
  <c r="F15" i="2"/>
  <c r="G7" i="2"/>
  <c r="H13" i="2"/>
  <c r="C6" i="2"/>
  <c r="C13" i="2"/>
  <c r="D8" i="2"/>
  <c r="H14" i="2"/>
  <c r="Q32" i="1"/>
  <c r="S36" i="1"/>
  <c r="Q28" i="1"/>
  <c r="Q34" i="1"/>
  <c r="S33" i="1"/>
  <c r="R33" i="1"/>
  <c r="R32" i="1"/>
  <c r="R31" i="1"/>
  <c r="S31" i="1"/>
  <c r="R28" i="1"/>
  <c r="S30" i="1"/>
  <c r="R36" i="1"/>
  <c r="Q31" i="1"/>
  <c r="S34" i="1"/>
  <c r="R29" i="1"/>
  <c r="N28" i="1"/>
  <c r="R34" i="1"/>
  <c r="Q36" i="1"/>
  <c r="S29" i="1"/>
  <c r="Q29" i="1"/>
  <c r="S32" i="1"/>
  <c r="S28" i="1"/>
  <c r="R30" i="1"/>
  <c r="Q30" i="1"/>
  <c r="Q33" i="1"/>
  <c r="N33" i="1"/>
  <c r="O36" i="1"/>
  <c r="N34" i="1"/>
  <c r="N30" i="1"/>
  <c r="O32" i="1"/>
  <c r="N29" i="1"/>
  <c r="O33" i="1"/>
  <c r="N31" i="1"/>
  <c r="P32" i="1"/>
  <c r="P31" i="1"/>
  <c r="O34" i="1"/>
  <c r="O30" i="1"/>
  <c r="P30" i="1"/>
  <c r="P36" i="1"/>
  <c r="N32" i="1"/>
  <c r="P28" i="1"/>
  <c r="P33" i="1"/>
  <c r="N36" i="1"/>
  <c r="P29" i="1"/>
  <c r="O31" i="1"/>
  <c r="P34" i="1"/>
  <c r="O28" i="1"/>
  <c r="O29" i="1"/>
  <c r="D33" i="1"/>
  <c r="F33" i="1"/>
  <c r="H33" i="1"/>
  <c r="K33" i="1" s="1"/>
  <c r="E33" i="1"/>
  <c r="G33" i="1"/>
  <c r="I33" i="1"/>
  <c r="L33" i="1" s="1"/>
  <c r="J33" i="1"/>
  <c r="M33" i="1" s="1"/>
  <c r="D32" i="1"/>
  <c r="I32" i="1"/>
  <c r="L32" i="1" s="1"/>
  <c r="J32" i="1"/>
  <c r="M32" i="1" s="1"/>
  <c r="F32" i="1"/>
  <c r="G32" i="1"/>
  <c r="H32" i="1"/>
  <c r="K32" i="1" s="1"/>
  <c r="E32" i="1"/>
  <c r="D36" i="1"/>
  <c r="I36" i="1"/>
  <c r="L36" i="1" s="1"/>
  <c r="E36" i="1"/>
  <c r="H36" i="1"/>
  <c r="K36" i="1" s="1"/>
  <c r="F36" i="1"/>
  <c r="J36" i="1"/>
  <c r="M36" i="1" s="1"/>
  <c r="G36" i="1"/>
  <c r="D34" i="1"/>
  <c r="H34" i="1"/>
  <c r="K34" i="1" s="1"/>
  <c r="G34" i="1"/>
  <c r="I34" i="1"/>
  <c r="L34" i="1" s="1"/>
  <c r="J34" i="1"/>
  <c r="M34" i="1" s="1"/>
  <c r="E34" i="1"/>
  <c r="F34" i="1"/>
  <c r="D29" i="1"/>
  <c r="J29" i="1"/>
  <c r="M29" i="1" s="1"/>
  <c r="E29" i="1"/>
  <c r="F29" i="1"/>
  <c r="H29" i="1"/>
  <c r="K29" i="1" s="1"/>
  <c r="G29" i="1"/>
  <c r="I29" i="1"/>
  <c r="L29" i="1" s="1"/>
  <c r="D31" i="1"/>
  <c r="H31" i="1"/>
  <c r="K31" i="1" s="1"/>
  <c r="G31" i="1"/>
  <c r="I31" i="1"/>
  <c r="L31" i="1" s="1"/>
  <c r="E31" i="1"/>
  <c r="J31" i="1"/>
  <c r="M31" i="1" s="1"/>
  <c r="F31" i="1"/>
  <c r="D30" i="1"/>
  <c r="F30" i="1"/>
  <c r="H30" i="1"/>
  <c r="K30" i="1" s="1"/>
  <c r="I30" i="1"/>
  <c r="L30" i="1" s="1"/>
  <c r="G30" i="1"/>
  <c r="J30" i="1"/>
  <c r="M30" i="1" s="1"/>
  <c r="E30" i="1"/>
  <c r="B7" i="2" a="1"/>
  <c r="B4" i="2" a="1"/>
  <c r="B10" i="2" a="1"/>
  <c r="B8" i="2" a="1"/>
  <c r="B5" i="2" a="1"/>
  <c r="B15" i="2" a="1"/>
  <c r="B14" i="2" a="1"/>
  <c r="B13" i="2" a="1"/>
  <c r="B12" i="2" a="1"/>
  <c r="B11" i="2" a="1"/>
  <c r="B6" i="2" a="1"/>
  <c r="C4" i="1"/>
  <c r="B9" i="2" a="1"/>
  <c r="B9" i="2" l="1"/>
  <c r="K9" i="2" s="1"/>
  <c r="B6" i="2"/>
  <c r="K6" i="2" s="1"/>
  <c r="B10" i="2"/>
  <c r="K10" i="2" s="1"/>
  <c r="B11" i="2"/>
  <c r="K11" i="2" s="1"/>
  <c r="B12" i="2"/>
  <c r="K12" i="2" s="1"/>
  <c r="B13" i="2"/>
  <c r="K13" i="2" s="1"/>
  <c r="B14" i="2"/>
  <c r="K14" i="2" s="1"/>
  <c r="B15" i="2"/>
  <c r="K15" i="2" s="1"/>
  <c r="B5" i="2"/>
  <c r="K5" i="2" s="1"/>
  <c r="B4" i="2"/>
  <c r="K4" i="2" s="1"/>
  <c r="B7" i="2"/>
  <c r="K7" i="2" s="1"/>
  <c r="B8" i="2"/>
  <c r="K8" i="2" s="1"/>
  <c r="R38" i="1"/>
  <c r="R41" i="1" s="1"/>
  <c r="R39" i="1"/>
  <c r="R42" i="1" s="1"/>
  <c r="Q38" i="1"/>
  <c r="Q41" i="1" s="1"/>
  <c r="Q39" i="1"/>
  <c r="Q42" i="1" s="1"/>
  <c r="S39" i="1"/>
  <c r="S42" i="1" s="1"/>
  <c r="S38" i="1"/>
  <c r="S41" i="1" s="1"/>
  <c r="O39" i="1"/>
  <c r="O42" i="1" s="1"/>
  <c r="O38" i="1"/>
  <c r="O41" i="1" s="1"/>
  <c r="P38" i="1"/>
  <c r="P41" i="1" s="1"/>
  <c r="P39" i="1"/>
  <c r="P42" i="1" s="1"/>
  <c r="N39" i="1"/>
  <c r="N42" i="1" s="1"/>
  <c r="N38" i="1"/>
  <c r="N41" i="1" s="1"/>
  <c r="C28" i="1"/>
  <c r="D28" i="1" l="1"/>
  <c r="F28" i="1"/>
  <c r="J28" i="1"/>
  <c r="H28" i="1"/>
  <c r="H38" i="1" s="1"/>
  <c r="E28" i="1"/>
  <c r="I28" i="1"/>
  <c r="G28" i="1"/>
  <c r="K28" i="1" l="1"/>
  <c r="H39" i="1"/>
  <c r="H42" i="1" s="1"/>
  <c r="H41" i="1"/>
  <c r="M28" i="1"/>
  <c r="J39" i="1"/>
  <c r="J42" i="1" s="1"/>
  <c r="J38" i="1"/>
  <c r="J41" i="1" s="1"/>
  <c r="G39" i="1"/>
  <c r="G42" i="1" s="1"/>
  <c r="G38" i="1"/>
  <c r="G41" i="1" s="1"/>
  <c r="L28" i="1"/>
  <c r="I39" i="1"/>
  <c r="I42" i="1" s="1"/>
  <c r="I38" i="1"/>
  <c r="I41" i="1" s="1"/>
  <c r="F39" i="1"/>
  <c r="F42" i="1" s="1"/>
  <c r="F38" i="1"/>
  <c r="F41" i="1" s="1"/>
  <c r="E39" i="1"/>
  <c r="E42" i="1" s="1"/>
  <c r="E38" i="1"/>
  <c r="E41" i="1" s="1"/>
  <c r="D39" i="1"/>
  <c r="D42" i="1" s="1"/>
  <c r="D38" i="1"/>
  <c r="D41" i="1" s="1"/>
  <c r="M38" i="1" l="1"/>
  <c r="M41" i="1" s="1"/>
  <c r="M39" i="1"/>
  <c r="M42" i="1" s="1"/>
  <c r="L38" i="1"/>
  <c r="L41" i="1" s="1"/>
  <c r="L39" i="1"/>
  <c r="L42" i="1" s="1"/>
  <c r="K39" i="1"/>
  <c r="K42" i="1" s="1"/>
  <c r="K38" i="1"/>
  <c r="K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<sst xmlns="http://schemas.openxmlformats.org/spreadsheetml/2006/main" count="96" uniqueCount="61">
  <si>
    <t>Company Name</t>
  </si>
  <si>
    <t>Ticker</t>
  </si>
  <si>
    <t>HSY</t>
  </si>
  <si>
    <t>Recent Price</t>
  </si>
  <si>
    <t>52 Week High</t>
  </si>
  <si>
    <t>Shares O/S</t>
  </si>
  <si>
    <t>Market Cap</t>
  </si>
  <si>
    <t xml:space="preserve">Cash </t>
  </si>
  <si>
    <t xml:space="preserve">Total Debt       </t>
  </si>
  <si>
    <t>Enterprise Value</t>
  </si>
  <si>
    <t>Beta</t>
  </si>
  <si>
    <t>MDLZ.O</t>
  </si>
  <si>
    <t>USD</t>
  </si>
  <si>
    <t>NESN.S</t>
  </si>
  <si>
    <t>Nestle SA</t>
  </si>
  <si>
    <t>LISN.S</t>
  </si>
  <si>
    <t>Chocoladefabriken Lindt &amp; Spruengli AG</t>
  </si>
  <si>
    <t>KHC.O</t>
  </si>
  <si>
    <t>Kraft Heinz Co</t>
  </si>
  <si>
    <t>K</t>
  </si>
  <si>
    <t>Kellogg Co</t>
  </si>
  <si>
    <t>PEP.O</t>
  </si>
  <si>
    <t>PepsiCo Inc</t>
  </si>
  <si>
    <t>Sales</t>
  </si>
  <si>
    <t>Last FY</t>
  </si>
  <si>
    <t>FYR1</t>
  </si>
  <si>
    <t>FYR2</t>
  </si>
  <si>
    <t>FYR3</t>
  </si>
  <si>
    <t>EPS</t>
  </si>
  <si>
    <t>EBIT</t>
  </si>
  <si>
    <t>EBITDA</t>
  </si>
  <si>
    <t>EPS 5 yr Growth %</t>
  </si>
  <si>
    <t>Price / Book</t>
  </si>
  <si>
    <t>Price / Sales</t>
  </si>
  <si>
    <t>PE</t>
  </si>
  <si>
    <t>PEG</t>
  </si>
  <si>
    <t>EV / EBITDA</t>
  </si>
  <si>
    <t>Average</t>
  </si>
  <si>
    <t xml:space="preserve">Median </t>
  </si>
  <si>
    <t>Book Value / Share</t>
  </si>
  <si>
    <t>Hershey Co</t>
  </si>
  <si>
    <t>Price Target - Mean</t>
  </si>
  <si>
    <t>Gross Margin</t>
  </si>
  <si>
    <t>Operating Margin</t>
  </si>
  <si>
    <t>Net Margin</t>
  </si>
  <si>
    <t xml:space="preserve">ROE </t>
  </si>
  <si>
    <t>ROA</t>
  </si>
  <si>
    <t>Asset Turnover</t>
  </si>
  <si>
    <t>Inventory Turnover</t>
  </si>
  <si>
    <t>Payables Turnover</t>
  </si>
  <si>
    <t>Quick Ratio</t>
  </si>
  <si>
    <t>Current Ratio</t>
  </si>
  <si>
    <t>Interest Coverage</t>
  </si>
  <si>
    <t>LTD/Total Capital</t>
  </si>
  <si>
    <t>EV / Sales</t>
  </si>
  <si>
    <t>General Mills Inc</t>
  </si>
  <si>
    <t>GIS.N</t>
  </si>
  <si>
    <t>If plug-in doesn't work -&gt;</t>
  </si>
  <si>
    <t>(screenshot)</t>
  </si>
  <si>
    <t>Aman Sharma</t>
  </si>
  <si>
    <t>Siddhesh 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</si>
</sst>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_(* #,##0_);_(* \(#,##0\);_(* &quot;-&quot;??_);_(@_)"/>
    <numFmt numFmtId="166" formatCode="0.00\x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0" xfId="0" applyFill="1" applyBorder="1"/>
    <xf numFmtId="164" fontId="0" fillId="2" borderId="10" xfId="2" applyNumberFormat="1" applyFont="1" applyFill="1" applyBorder="1"/>
    <xf numFmtId="0" fontId="0" fillId="2" borderId="1" xfId="0" applyFill="1" applyBorder="1"/>
    <xf numFmtId="164" fontId="0" fillId="2" borderId="1" xfId="2" applyNumberFormat="1" applyFont="1" applyFill="1" applyBorder="1"/>
    <xf numFmtId="0" fontId="0" fillId="2" borderId="11" xfId="0" applyFill="1" applyBorder="1" applyAlignment="1">
      <alignment horizontal="center"/>
    </xf>
    <xf numFmtId="165" fontId="0" fillId="2" borderId="10" xfId="1" applyNumberFormat="1" applyFont="1" applyFill="1" applyBorder="1"/>
    <xf numFmtId="165" fontId="0" fillId="2" borderId="1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64" fontId="0" fillId="2" borderId="10" xfId="1" applyNumberFormat="1" applyFont="1" applyFill="1" applyBorder="1"/>
    <xf numFmtId="164" fontId="0" fillId="2" borderId="1" xfId="1" applyNumberFormat="1" applyFont="1" applyFill="1" applyBorder="1" applyAlignment="1">
      <alignment horizontal="right"/>
    </xf>
    <xf numFmtId="165" fontId="0" fillId="2" borderId="9" xfId="1" applyNumberFormat="1" applyFont="1" applyFill="1" applyBorder="1"/>
    <xf numFmtId="2" fontId="0" fillId="2" borderId="10" xfId="0" applyNumberFormat="1" applyFill="1" applyBorder="1" applyAlignment="1">
      <alignment horizontal="center"/>
    </xf>
    <xf numFmtId="2" fontId="0" fillId="2" borderId="10" xfId="0" applyNumberFormat="1" applyFill="1" applyBorder="1"/>
    <xf numFmtId="2" fontId="0" fillId="2" borderId="1" xfId="0" applyNumberFormat="1" applyFill="1" applyBorder="1" applyAlignment="1">
      <alignment horizontal="center"/>
    </xf>
    <xf numFmtId="43" fontId="0" fillId="2" borderId="10" xfId="1" applyFont="1" applyFill="1" applyBorder="1" applyAlignment="1">
      <alignment horizontal="right"/>
    </xf>
    <xf numFmtId="43" fontId="0" fillId="2" borderId="1" xfId="1" applyFont="1" applyFill="1" applyBorder="1" applyAlignment="1">
      <alignment horizontal="right"/>
    </xf>
    <xf numFmtId="164" fontId="0" fillId="2" borderId="10" xfId="0" applyNumberFormat="1" applyFill="1" applyBorder="1"/>
    <xf numFmtId="164" fontId="0" fillId="2" borderId="1" xfId="0" applyNumberFormat="1" applyFill="1" applyBorder="1"/>
    <xf numFmtId="165" fontId="0" fillId="2" borderId="4" xfId="1" applyNumberFormat="1" applyFont="1" applyFill="1" applyBorder="1"/>
    <xf numFmtId="164" fontId="0" fillId="2" borderId="4" xfId="1" applyNumberFormat="1" applyFont="1" applyFill="1" applyBorder="1" applyAlignment="1">
      <alignment horizontal="center"/>
    </xf>
    <xf numFmtId="164" fontId="0" fillId="2" borderId="12" xfId="1" applyNumberFormat="1" applyFont="1" applyFill="1" applyBorder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164" fontId="0" fillId="2" borderId="10" xfId="1" applyNumberFormat="1" applyFont="1" applyFill="1" applyBorder="1" applyAlignment="1">
      <alignment horizontal="right"/>
    </xf>
    <xf numFmtId="165" fontId="0" fillId="2" borderId="10" xfId="1" applyNumberFormat="1" applyFont="1" applyFill="1" applyBorder="1" applyAlignment="1">
      <alignment horizontal="center"/>
    </xf>
    <xf numFmtId="165" fontId="0" fillId="2" borderId="12" xfId="1" applyNumberFormat="1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0" fontId="0" fillId="2" borderId="10" xfId="3" applyNumberFormat="1" applyFont="1" applyFill="1" applyBorder="1" applyAlignment="1">
      <alignment horizontal="center"/>
    </xf>
    <xf numFmtId="10" fontId="0" fillId="2" borderId="1" xfId="3" applyNumberFormat="1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64" fontId="0" fillId="2" borderId="11" xfId="1" applyNumberFormat="1" applyFont="1" applyFill="1" applyBorder="1" applyAlignment="1">
      <alignment horizontal="center"/>
    </xf>
    <xf numFmtId="165" fontId="0" fillId="2" borderId="0" xfId="1" applyNumberFormat="1" applyFont="1" applyFill="1"/>
    <xf numFmtId="165" fontId="0" fillId="2" borderId="5" xfId="1" applyNumberFormat="1" applyFont="1" applyFill="1" applyBorder="1"/>
    <xf numFmtId="165" fontId="0" fillId="2" borderId="11" xfId="1" applyNumberFormat="1" applyFont="1" applyFill="1" applyBorder="1"/>
    <xf numFmtId="165" fontId="0" fillId="2" borderId="13" xfId="1" applyNumberFormat="1" applyFont="1" applyFill="1" applyBorder="1"/>
    <xf numFmtId="166" fontId="0" fillId="2" borderId="4" xfId="0" applyNumberFormat="1" applyFill="1" applyBorder="1" applyAlignment="1">
      <alignment horizontal="center"/>
    </xf>
    <xf numFmtId="166" fontId="0" fillId="2" borderId="5" xfId="0" applyNumberFormat="1" applyFill="1" applyBorder="1" applyAlignment="1">
      <alignment horizontal="center"/>
    </xf>
    <xf numFmtId="166" fontId="0" fillId="2" borderId="6" xfId="0" applyNumberFormat="1" applyFill="1" applyBorder="1" applyAlignment="1">
      <alignment horizontal="center"/>
    </xf>
    <xf numFmtId="166" fontId="0" fillId="2" borderId="12" xfId="0" applyNumberFormat="1" applyFill="1" applyBorder="1" applyAlignment="1">
      <alignment horizontal="center"/>
    </xf>
    <xf numFmtId="166" fontId="0" fillId="2" borderId="11" xfId="0" applyNumberFormat="1" applyFill="1" applyBorder="1" applyAlignment="1">
      <alignment horizontal="center"/>
    </xf>
    <xf numFmtId="166" fontId="0" fillId="2" borderId="13" xfId="0" applyNumberFormat="1" applyFill="1" applyBorder="1" applyAlignment="1">
      <alignment horizontal="center"/>
    </xf>
    <xf numFmtId="166" fontId="0" fillId="2" borderId="2" xfId="0" applyNumberFormat="1" applyFill="1" applyBorder="1" applyAlignment="1">
      <alignment horizontal="center"/>
    </xf>
    <xf numFmtId="166" fontId="0" fillId="2" borderId="3" xfId="0" applyNumberFormat="1" applyFill="1" applyBorder="1" applyAlignment="1">
      <alignment horizontal="center"/>
    </xf>
    <xf numFmtId="166" fontId="0" fillId="2" borderId="7" xfId="0" applyNumberFormat="1" applyFill="1" applyBorder="1" applyAlignment="1">
      <alignment horizontal="center"/>
    </xf>
    <xf numFmtId="166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left"/>
    </xf>
    <xf numFmtId="2" fontId="0" fillId="2" borderId="2" xfId="1" applyNumberFormat="1" applyFont="1" applyFill="1" applyBorder="1" applyAlignment="1">
      <alignment horizontal="center"/>
    </xf>
    <xf numFmtId="2" fontId="0" fillId="2" borderId="3" xfId="1" applyNumberFormat="1" applyFont="1" applyFill="1" applyBorder="1" applyAlignment="1">
      <alignment horizontal="center"/>
    </xf>
    <xf numFmtId="2" fontId="0" fillId="2" borderId="0" xfId="1" applyNumberFormat="1" applyFont="1" applyFill="1" applyBorder="1" applyAlignment="1">
      <alignment horizontal="center"/>
    </xf>
    <xf numFmtId="2" fontId="0" fillId="2" borderId="5" xfId="1" applyNumberFormat="1" applyFont="1" applyFill="1" applyBorder="1" applyAlignment="1">
      <alignment horizontal="center"/>
    </xf>
    <xf numFmtId="10" fontId="0" fillId="2" borderId="0" xfId="3" applyNumberFormat="1" applyFont="1" applyFill="1" applyBorder="1" applyAlignment="1">
      <alignment horizontal="center"/>
    </xf>
    <xf numFmtId="10" fontId="0" fillId="2" borderId="5" xfId="3" applyNumberFormat="1" applyFont="1" applyFill="1" applyBorder="1" applyAlignment="1">
      <alignment horizontal="center"/>
    </xf>
    <xf numFmtId="2" fontId="0" fillId="2" borderId="7" xfId="1" applyNumberFormat="1" applyFont="1" applyFill="1" applyBorder="1" applyAlignment="1">
      <alignment horizontal="center"/>
    </xf>
    <xf numFmtId="2" fontId="0" fillId="2" borderId="8" xfId="1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9" xfId="0" applyFill="1" applyBorder="1"/>
    <xf numFmtId="10" fontId="0" fillId="2" borderId="7" xfId="3" applyNumberFormat="1" applyFont="1" applyFill="1" applyBorder="1" applyAlignment="1">
      <alignment horizontal="center"/>
    </xf>
    <xf numFmtId="10" fontId="0" fillId="2" borderId="8" xfId="3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164" fontId="0" fillId="2" borderId="10" xfId="2" applyNumberFormat="1" applyFont="1" applyFill="1" applyBorder="1" applyAlignment="1">
      <alignment horizontal="center"/>
    </xf>
    <xf numFmtId="164" fontId="0" fillId="2" borderId="1" xfId="2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2" fontId="0" fillId="2" borderId="0" xfId="0" applyNumberFormat="1" applyFill="1"/>
    <xf numFmtId="2" fontId="0" fillId="2" borderId="14" xfId="1" applyNumberFormat="1" applyFont="1" applyFill="1" applyBorder="1" applyAlignment="1">
      <alignment horizontal="center"/>
    </xf>
    <xf numFmtId="2" fontId="0" fillId="2" borderId="9" xfId="1" applyNumberFormat="1" applyFont="1" applyFill="1" applyBorder="1" applyAlignment="1">
      <alignment horizontal="center"/>
    </xf>
    <xf numFmtId="10" fontId="0" fillId="2" borderId="9" xfId="3" applyNumberFormat="1" applyFont="1" applyFill="1" applyBorder="1" applyAlignment="1">
      <alignment horizontal="center"/>
    </xf>
    <xf numFmtId="2" fontId="0" fillId="2" borderId="1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trrtdserver">
      <tp>
        <v>69088906976.440002</v>
        <stp/>
        <stp>{579195EB-EF74-496E-8B99-09A487A23CD5}_x0000_</stp>
        <tr r="I7" s="1"/>
      </tp>
      <tp>
        <v>0.75352488218508995</v>
        <stp/>
        <stp>{B76D3FC3-E1BD-4C33-9438-218D190DEF79}_x0000_</stp>
        <tr r="K5" s="1"/>
      </tp>
      <tp>
        <v>2566934570</v>
        <stp/>
        <stp>{1F3C5496-70A0-4107-BB22-E143E6926EF0}_x0000_</stp>
        <tr r="P20" s="1"/>
      </tp>
      <tp>
        <v>8.2798200000000008</v>
        <stp/>
        <stp>{0E43AA3B-06E1-425F-B832-26BC6CE723AF}_x0000_</stp>
        <tr r="F14" s="2"/>
      </tp>
      <tp>
        <v>3040.8737999999998</v>
        <stp/>
        <stp>{2DAA96E8-2280-4337-B5CF-FB10A0AEBC43}_x0000_</stp>
        <tr r="J18" s="1"/>
      </tp>
      <tp>
        <v>0.60313000000000005</v>
        <stp/>
        <stp>{31BACB4A-94A3-425F-9743-80D3ED9796F8}_x0000_</stp>
        <tr r="B4" s="2"/>
      </tp>
      <tp>
        <v>282743945697.94</v>
        <stp/>
        <stp>{A0B2DE0B-260B-403A-BCF0-56DCC92CBC5D}_x0000_</stp>
        <tr r="I10" s="1"/>
      </tp>
      <tp>
        <v>112200</v>
        <stp/>
        <stp>{7419D532-7E9A-4556-943D-0DCE7D1578B8}_x0000_</stp>
        <tr r="D6" s="1"/>
      </tp>
      <tp>
        <v>86392000000</v>
        <stp/>
        <stp>{D9366BAD-FD13-4DE8-B11D-36B843D8D042}_x0000_</stp>
        <tr r="C22" s="1"/>
      </tp>
      <tp>
        <v>2670000000</v>
        <stp/>
        <stp>{D42F5142-CCCE-4A70-BE74-35D16D4478EF}_x0000_</stp>
        <tr r="E5" s="1"/>
      </tp>
      <tp>
        <v>37.799999999999997</v>
        <stp/>
        <stp>{A376D1AF-313E-46AC-AC86-49AFE5E3F8D6}_x0000_</stp>
        <tr r="F9" s="2"/>
      </tp>
      <tp>
        <v>17737537800</v>
        <stp/>
        <stp>{8EF5BE80-5609-45B0-AEAB-5141E25DA94C}_x0000_</stp>
        <tr r="M17" s="1"/>
      </tp>
      <tp>
        <v>99875391640</v>
        <stp/>
        <stp>{5A2C4078-5D7F-423E-852F-8891893134E1}_x0000_</stp>
        <tr r="F22" s="1"/>
      </tp>
      <tp>
        <v>10.491709999999999</v>
        <stp/>
        <stp>{CC79E2BC-DFEA-4904-B2A9-9D755EAC9E2E}_x0000_</stp>
        <tr r="H8" s="2"/>
      </tp>
      <tp>
        <v>276.88049999999998</v>
        <stp/>
        <stp>{A88C17E8-8763-4DF5-82B5-4271DF2D72D3}_x0000_</stp>
        <tr r="D12" s="1"/>
      </tp>
      <tp>
        <v>1923000000</v>
        <stp/>
        <stp>{833CDAB6-1BD1-4F40-B253-5AD17FB648BE}_x0000_</stp>
        <tr r="H4" s="1"/>
      </tp>
      <tp>
        <v>63.284469999999999</v>
        <stp/>
        <stp>{656ED536-9CC5-42AF-B3E6-A7CDC87F2A85}_x0000_</stp>
        <tr r="H15" s="2"/>
      </tp>
      <tp>
        <v>2.84298908480269</v>
        <stp/>
        <stp>{98F56DA6-A9A7-46D4-A08A-59ABE8729C22}_x0000_</stp>
        <tr r="B13" s="2"/>
      </tp>
      <tp>
        <v>4.7657699999999998</v>
        <stp/>
        <stp>{415DADF1-CFCF-4570-90BC-8FCF5E081E03}_x0000_</stp>
        <tr r="J21" s="1"/>
      </tp>
      <tp>
        <v>24511058634.959999</v>
        <stp/>
        <stp>{7A9F2BFC-0557-4897-BCC8-89182FA577C3}_x0000_</stp>
        <tr r="F8" s="1"/>
      </tp>
      <tp>
        <v>31.330939999999998</v>
        <stp/>
        <stp>{538281E9-B280-44A7-9C03-41E7BBC98B4D}_x0000_</stp>
        <tr r="E6" s="2"/>
      </tp>
      <tp>
        <v>0.58814758715357496</v>
        <stp/>
        <stp>{C92C8674-10F5-4052-BA5E-ED45C0FDCB6F}_x0000_</stp>
        <tr r="D11" s="2"/>
      </tp>
      <tp>
        <v>13.939500000000001</v>
        <stp/>
        <stp>{61CA5B9B-9DD4-4FEB-9D42-EE648F4A37D9}_x0000_</stp>
        <tr r="C14" s="2"/>
      </tp>
      <tp>
        <v>24.109000000000002</v>
        <stp/>
        <stp>{F99DEF7A-5C6C-4E60-9A74-14DBB66AB6A8}_x0000_</stp>
        <tr r="G9" s="2"/>
      </tp>
      <tp>
        <v>5433289870</v>
        <stp/>
        <stp>{C62BA240-6D4A-4C6B-A885-C312912D290F}_x0000_</stp>
        <tr r="M19" s="1"/>
      </tp>
      <tp>
        <v>14.627509999999999</v>
        <stp/>
        <stp>{46A1E276-F999-4A29-992A-87DDB42D9172}_x0000_</stp>
        <tr r="H7" s="2"/>
      </tp>
      <tp>
        <v>3.1762199999999998</v>
        <stp/>
        <stp>{07AA9BF8-9102-45CB-8B6F-A721DD223603}_x0000_</stp>
        <tr r="H16" s="1"/>
      </tp>
      <tp>
        <v>2464446790</v>
        <stp/>
        <stp>{12863503-9EB7-4586-B645-C35D7A1EDEEE}_x0000_</stp>
        <tr r="O20" s="1"/>
      </tp>
      <tp>
        <v>0.87472000000000005</v>
        <stp/>
        <stp>{B69911B0-02B4-474F-9402-A018DA2848D0}_x0000_</stp>
        <tr r="E4" s="2"/>
      </tp>
      <tp>
        <v>14.47803</v>
        <stp/>
        <stp>{A8BED4CE-1B85-4E46-8F6B-E06A174AF800}_x0000_</stp>
        <tr r="B7" s="2"/>
      </tp>
      <tp>
        <v>0.41212358184508002</v>
        <stp/>
        <stp>{9E5055F6-7FD6-4990-965F-F541961B5DBD}_x0000_</stp>
        <tr r="K8" s="1"/>
      </tp>
      <tp>
        <v>2.3731981431712699</v>
        <stp/>
        <stp>{66B214B1-EEB9-45F4-AF3C-E984F64EFAE1}_x0000_</stp>
        <tr r="D12" s="2"/>
      </tp>
      <tp>
        <v>36437791000</v>
        <stp/>
        <stp>{E272CFBA-B74D-4B5E-8CF6-0A52E97CBCF9}_x0000_</stp>
        <tr r="E16" s="1"/>
      </tp>
      <tp>
        <v>0.44434000000000001</v>
        <stp/>
        <stp>{427586E1-F5E3-4F67-B2FA-8407A98BB5CE}_x0000_</stp>
        <tr r="I5" s="2"/>
      </tp>
      <tp>
        <v>2052986630</v>
        <stp/>
        <stp>{2ECAF523-1BD1-44CE-93BB-19BFFA18C840}_x0000_</stp>
        <tr r="M20" s="1"/>
      </tp>
      <tp>
        <v>4.5110000000000001</v>
        <stp/>
        <stp>{F1C910BC-601F-4C2A-9759-81BB55727994}_x0000_</stp>
        <tr r="J20" s="1"/>
      </tp>
      <tp>
        <v>343070000000</v>
        <stp/>
        <stp>{61A70E5E-AB58-49CD-8CCE-B9EAB61A3383}_x0000_</stp>
        <tr r="I5" s="1"/>
      </tp>
      <tp>
        <v>77.17</v>
        <stp/>
        <stp>{BE4FFFFE-7211-4BFD-A6BA-110EAE8CA5EE}_x0000_</stp>
        <tr r="D8" s="1"/>
      </tp>
      <tp>
        <v>16.48</v>
        <stp/>
        <stp>{A9987A08-F41F-40C4-BBB8-ECE335B039F2}_x0000_</stp>
        <tr r="I10" s="2"/>
      </tp>
      <tp>
        <v>105661036950</v>
        <stp/>
        <stp>{5C80203F-FF27-43C5-B341-68C0A1FCC194}_x0000_</stp>
        <tr r="F17" s="1"/>
      </tp>
      <tp>
        <v>8.3916814714181207</v>
        <stp/>
        <stp>{B4A038E7-FE15-436C-BAC1-E201FF77C063}_x0000_</stp>
        <tr r="H12" s="2"/>
      </tp>
      <tp>
        <v>16598552820</v>
        <stp/>
        <stp>{E87CFBB9-6E3C-44E9-A2FB-B988A384E82B}_x0000_</stp>
        <tr r="F20" s="1"/>
      </tp>
      <tp>
        <v>6.6519267214150304</v>
        <stp/>
        <stp>{97C9C228-EB92-45BA-87B5-5A10D6D11D3F}_x0000_</stp>
        <tr r="F12" s="2"/>
      </tp>
      <tp>
        <v>48.605910000000002</v>
        <stp/>
        <stp>{EDD25ACC-6478-4C6D-8F2C-695A3E17DBF9}_x0000_</stp>
        <tr r="F15" s="2"/>
      </tp>
      <tp>
        <v>51818428124.32</v>
        <stp/>
        <stp>{5818387D-3F1D-4175-8810-81C150E0F1B7}_x0000_</stp>
        <tr r="I12" s="1"/>
      </tp>
      <tp>
        <v>3441738560</v>
        <stp/>
        <stp>{7020A49C-07D3-4D3D-97DA-C1C06AF83E80}_x0000_</stp>
        <tr r="L21" s="1"/>
      </tp>
      <tp>
        <v>3235060560</v>
        <stp/>
        <stp>{4F565A6B-1DDC-4400-8A3D-FF22B638547D}_x0000_</stp>
        <tr r="P24" s="1"/>
      </tp>
      <tp>
        <v>6.6730169157497103</v>
        <stp/>
        <stp>{05FC9D54-F47B-4962-A842-D26F475970B5}_x0000_</stp>
        <tr r="B12" s="2"/>
      </tp>
      <tp>
        <v>1.2769900000000001</v>
        <stp/>
        <stp>{5F8E79F7-B4A7-4BFD-B8E9-EF0B4E874054}_x0000_</stp>
        <tr r="D5" s="2"/>
      </tp>
      <tp>
        <v>6798886130</v>
        <stp/>
        <stp>{4165D744-37E8-436D-B362-99558913E3AA}_x0000_</stp>
        <tr r="O16" s="1"/>
      </tp>
      <tp>
        <v>1531500000</v>
        <stp/>
        <stp>{532351B4-14A7-4D5A-9A26-BADACEB95A20}_x0000_</stp>
        <tr r="G6" s="1"/>
      </tp>
      <tp>
        <v>5029000000</v>
        <stp/>
        <stp>{20ADE670-4164-4CF6-A585-E02D565A4F36}_x0000_</stp>
        <tr r="K16" s="1"/>
      </tp>
      <tp>
        <v>9.5015199999999993</v>
        <stp/>
        <stp>{FE6572D5-0080-412E-BCCE-F3DD607E2BC9}_x0000_</stp>
        <tr r="H24" s="1"/>
      </tp>
      <tp>
        <v>0.50138000000000005</v>
        <stp/>
        <stp>{AB1C024C-263E-4DD4-B50F-5861C1A3B3DD}_x0000_</stp>
        <tr r="C5" s="2"/>
      </tp>
      <tp>
        <v>3.7973314100252402</v>
        <stp/>
        <stp>{4D16CA7A-F8DE-42B2-8C91-F6F7B04DF269}_x0000_</stp>
        <tr r="F13" s="2"/>
      </tp>
      <tp>
        <v>5511000000</v>
        <stp/>
        <stp>{17A68C54-9E63-4149-A047-D89837287EC7}_x0000_</stp>
        <tr r="H5" s="1"/>
      </tp>
      <tp>
        <v>27.309000000000001</v>
        <stp/>
        <stp>{23942DA0-EDD8-4EF6-B279-A906E7DFFF7D}_x0000_</stp>
        <tr r="C9" s="2"/>
      </tp>
      <tp>
        <v>60.913040000000002</v>
        <stp/>
        <stp>{0B0B1FD3-E0E9-4C0B-A01D-F7AC3B34BF52}_x0000_</stp>
        <tr r="D6" s="2"/>
      </tp>
      <tp>
        <v>7.04</v>
        <stp/>
        <stp>{68FCA155-BFF9-445B-8976-E280786ED179}_x0000_</stp>
        <tr r="Q21" s="1"/>
      </tp>
      <tp>
        <v>11.5301370104443</v>
        <stp/>
        <stp>{621A335F-D451-4038-86E5-194EBFE81C97}_x0000_</stp>
        <tr r="J8" s="1"/>
      </tp>
      <tp>
        <v>53.525790000000001</v>
        <stp/>
        <stp>{569D3FFD-0F81-4564-947F-2CFDCF708140}_x0000_</stp>
        <tr r="H6" s="2"/>
      </tp>
      <tp>
        <v>5.7811300000000001</v>
        <stp/>
        <stp>{9C20D640-D8AF-4F53-A308-F73647817BB1}_x0000_</stp>
        <tr r="J17" s="1"/>
      </tp>
      <tp>
        <v>342668232</v>
        <stp/>
        <stp>{3F4AFCBE-EAF0-4393-B90C-5A6DC8AD75AC}_x0000_</stp>
        <tr r="E8" s="1"/>
      </tp>
      <tp>
        <v>49386706771.5</v>
        <stp/>
        <stp>{8FC6507F-5570-42B2-91E0-6F7F1828FE3B}_x0000_</stp>
        <tr r="F7" s="1"/>
      </tp>
      <tp>
        <v>31011868769.799999</v>
        <stp/>
        <stp>{D530CE8F-835B-410A-ADA9-9FECD505DD75}_x0000_</stp>
        <tr r="I8" s="1"/>
      </tp>
      <tp>
        <v>6136000000</v>
        <stp/>
        <stp>{7875762E-49F5-4EBE-A857-4937054ABC34}_x0000_</stp>
        <tr r="N16" s="1"/>
      </tp>
      <tp>
        <v>7.9</v>
        <stp/>
        <stp>{AAA9125F-A6B4-4900-A55C-2DF2250766B1}_x0000_</stp>
        <tr r="F10" s="2"/>
      </tp>
      <tp>
        <v>14.839</v>
        <stp/>
        <stp>{B82846E7-FA2E-43A8-9E28-7828C9AF35A8}_x0000_</stp>
        <tr r="B9" s="2"/>
      </tp>
      <tp>
        <v>3623569440</v>
        <stp/>
        <stp>{CB8E6226-47D1-4360-AA43-91E518D6E057}_x0000_</stp>
        <tr r="M21" s="1"/>
      </tp>
      <tp>
        <v>587354488</v>
        <stp/>
        <stp>{8E09D2D2-3959-4F72-8EAD-D22266919D22}_x0000_</stp>
        <tr r="E9" s="1"/>
      </tp>
      <tp>
        <v>4.0568400000000002</v>
        <stp/>
        <stp>{C3883171-A0A8-4264-B25B-A7C6F01F2879}_x0000_</stp>
        <tr r="H20" s="1"/>
      </tp>
      <tp>
        <v>18.625640000000001</v>
        <stp/>
        <stp>{E07D83AE-B054-4BAE-B519-9E1BAEE1AF56}_x0000_</stp>
        <tr r="E7" s="2"/>
      </tp>
      <tp>
        <v>3.9045025770689499</v>
        <stp/>
        <stp>{4FF8220E-24BE-41F6-A2EF-C6E9B2033B84}_x0000_</stp>
        <tr r="H13" s="2"/>
      </tp>
      <tp>
        <v>1226998926</v>
        <stp/>
        <stp>{8BAC042A-295C-4710-B810-0E90EC4297F1}_x0000_</stp>
        <tr r="E7" s="1"/>
      </tp>
      <tp>
        <v>11.84</v>
        <stp/>
        <stp>{74F1281A-4A83-4C73-8DB4-99C0712CD5E1}_x0000_</stp>
        <tr r="D9" s="2"/>
      </tp>
      <tp>
        <v>125.58</v>
        <stp/>
        <stp>{375CC4EB-B572-4E92-BDD6-12BBC5C5B797}_x0000_</stp>
        <tr r="D5" s="1"/>
      </tp>
      <tp>
        <v>9.4700000000000006</v>
        <stp/>
        <stp>{F0B85D2F-FD0A-4B68-8FAD-A4737FF59EAC}_x0000_</stp>
        <tr r="C10" s="2"/>
      </tp>
      <tp>
        <v>11748374420</v>
        <stp/>
        <stp>{1EBB43E5-5F2E-4297-BD4F-3CF6D5FFC744}_x0000_</stp>
        <tr r="E24" s="1"/>
      </tp>
      <tp>
        <v>23202990050</v>
        <stp/>
        <stp>{299F3629-E619-41E0-BB58-C9FB30765827}_x0000_</stp>
        <tr r="I6" s="1"/>
      </tp>
      <tp>
        <v>2.8555799999999998</v>
        <stp/>
        <stp>{C89658F8-7C69-4F30-903F-7DC8F053F402}_x0000_</stp>
        <tr r="H19" s="1"/>
      </tp>
      <tp>
        <v>10.280379999999999</v>
        <stp/>
        <stp>{59A97E36-14A1-4483-B6AF-04FF796FA4DF}_x0000_</stp>
        <tr r="I24" s="1"/>
      </tp>
      <tp>
        <v>131.402059522462</v>
        <stp/>
        <stp>{D4BF592D-AA8D-4D09-B840-4DED5F52E924}_x0000_</stp>
        <tr r="C5" s="1"/>
      </tp>
      <tp>
        <v>4.8</v>
        <stp/>
        <stp>{2CE1CB0B-BC35-4417-83B9-F0BA2D105AAC}_x0000_</stp>
        <tr r="G17" s="1"/>
      </tp>
      <tp>
        <v>6238053790</v>
        <stp/>
        <stp>{B9876360-BE13-4C27-B66F-F4E51279757E}_x0000_</stp>
        <tr r="O19" s="1"/>
      </tp>
      <tp>
        <v>33.725940000000001</v>
        <stp/>
        <stp>{E03EF19A-DEF0-469E-911C-4FA4ABC2ADC5}_x0000_</stp>
        <tr r="G6" s="2"/>
      </tp>
      <tp>
        <v>6.2814199999999998</v>
        <stp/>
        <stp>{B1337EFD-19DD-4BE6-8CFB-D793E9F69F12}_x0000_</stp>
        <tr r="F8" s="2"/>
      </tp>
      <tp>
        <v>18992800000</v>
        <stp/>
        <stp>{845A534F-BA16-4335-8B2E-4F231C46B42F}_x0000_</stp>
        <tr r="C21" s="1"/>
      </tp>
      <tp>
        <v>7.9421400000000002</v>
        <stp/>
        <stp>{0865EC39-391F-49E6-8598-8FED6ADDF83B}_x0000_</stp>
        <tr r="I22" s="1"/>
      </tp>
      <tp>
        <v>39071000000</v>
        <stp/>
        <stp>{837B6B4D-4D87-4C7A-B94D-95D316337C0A}_x0000_</stp>
        <tr r="G10" s="1"/>
      </tp>
      <tp>
        <v>5.3561300000000003</v>
        <stp/>
        <stp>{969593AC-3ED2-4A2A-9CB1-38E7150A501C}_x0000_</stp>
        <tr r="E14" s="2"/>
      </tp>
      <tp>
        <v>0.255319256790007</v>
        <stp/>
        <stp>{55F51C31-64D7-4BA7-8A44-EAC178CB0E96}_x0000_</stp>
        <tr r="K9" s="1"/>
      </tp>
      <tp>
        <v>4.6500000000000004</v>
        <stp/>
        <stp>{5C13B648-ADCB-4DA9-AB9D-C2FC45EDC825}_x0000_</stp>
        <tr r="Q19" s="1"/>
      </tp>
      <tp>
        <v>0.28802601314795001</v>
        <stp/>
        <stp>{3F51569D-F3DA-40D4-ACF2-2C99E7A76511}_x0000_</stp>
        <tr r="E11" s="2"/>
      </tp>
      <tp>
        <v>5597769580</v>
        <stp/>
        <stp>{28AB6C08-227D-4562-AE92-6770981B26F4}_x0000_</stp>
        <tr r="E18" s="1"/>
      </tp>
      <tp>
        <v>11260784840</v>
        <stp/>
        <stp>{F4E64100-D1E2-46A8-913B-CD918511F1F3}_x0000_</stp>
        <tr r="D24" s="1"/>
      </tp>
      <tp>
        <v>21645515400</v>
        <stp/>
        <stp>{4EEC2428-FC9E-4CDF-989A-61EBF102E9E7}_x0000_</stp>
        <tr r="P17" s="1"/>
      </tp>
      <tp>
        <v>4954000000</v>
        <stp/>
        <stp>{1354E79F-B155-48BE-A4E3-5C6D21C48E91}_x0000_</stp>
        <tr r="H10" s="1"/>
      </tp>
      <tp>
        <v>100991252350</v>
        <stp/>
        <stp>{DA0B60A2-E9A9-4121-8019-90E6AFB4BC6F}_x0000_</stp>
        <tr r="E17" s="1"/>
      </tp>
      <tp>
        <v>1.83212</v>
        <stp/>
        <stp>{7E665F19-AE41-4E08-A5E6-1BB18150E75B}_x0000_</stp>
        <tr r="D4" s="2"/>
      </tp>
      <tp>
        <v>39.737142857142899</v>
        <stp/>
        <stp>{3DDEDC69-BF94-4D8F-B5E5-517D2A8C2118}_x0000_</stp>
        <tr r="J7" s="1"/>
      </tp>
      <tp>
        <v>7.3222500000000004</v>
        <stp/>
        <stp>{63F3860C-9897-4EA5-AC0F-08A1AD871F97}_x0000_</stp>
        <tr r="H22" s="1"/>
      </tp>
      <tp>
        <v>37846308290</v>
        <stp/>
        <stp>{D1B3EABA-7101-4134-BBA3-7C076FE9860C}_x0000_</stp>
        <tr r="F16" s="1"/>
      </tp>
      <tp>
        <v>11.785830000000001</v>
        <stp/>
        <stp>{A5C4EB26-4646-450D-B64D-D3B2C6067499}_x0000_</stp>
        <tr r="F7" s="2"/>
      </tp>
      <tp>
        <v>15.78626</v>
        <stp/>
        <stp>{1ED17902-FEF8-4503-8FCB-34A5B1468E17}_x0000_</stp>
        <tr r="I8" s="2"/>
      </tp>
      <tp>
        <v>9.36</v>
        <stp/>
        <stp>{E66A4616-2FBF-48F9-9B8C-5436230FA1E9}_x0000_</stp>
        <tr r="Q24" s="1"/>
      </tp>
      <tp>
        <v>16103000000</v>
        <stp/>
        <stp>{51FB5982-B309-4193-8010-1A824E20F616}_x0000_</stp>
        <tr r="K17" s="1"/>
      </tp>
      <tp>
        <v>1874000000</v>
        <stp/>
        <stp>{D54C84C3-3339-498B-AB06-6DD43687D2FE}_x0000_</stp>
        <tr r="K20" s="1"/>
      </tp>
      <tp>
        <v>569400000</v>
        <stp/>
        <stp>{3BD994E5-FC26-402A-A66A-FD8B17AD0A24}_x0000_</stp>
        <tr r="H9" s="1"/>
      </tp>
      <tp>
        <v>2816212240</v>
        <stp/>
        <stp>{C034D641-15F0-4E3C-AF99-EAB8F236B5D4}_x0000_</stp>
        <tr r="M24" s="1"/>
      </tp>
      <tp>
        <v>274.52632</v>
        <stp/>
        <stp>{9CD80BB7-E029-4B1F-AFD0-98A4DB76442A}_x0000_</stp>
        <tr r="L12" s="1"/>
      </tp>
      <tp>
        <v>13470307750</v>
        <stp/>
        <stp>{FC872CAA-C211-4CB2-BC3F-989A76E9F7BC}_x0000_</stp>
        <tr r="L22" s="1"/>
      </tp>
      <tp>
        <v>0.47031000000000001</v>
        <stp/>
        <stp>{9FB98940-B486-493A-9448-3A81CDC94FBC}_x0000_</stp>
        <tr r="E5" s="2"/>
      </tp>
      <tp>
        <v>28308895830</v>
        <stp/>
        <stp>{9A532BD6-FBA3-4055-8B21-8EC63AB31DA3}_x0000_</stp>
        <tr r="F19" s="1"/>
      </tp>
      <tp>
        <v>15088000000</v>
        <stp/>
        <stp>{1FF16D28-DAE3-466B-B99B-9FA82EDBCD18}_x0000_</stp>
        <tr r="N22" s="1"/>
      </tp>
      <tp>
        <v>15315000000</v>
        <stp/>
        <stp>{123F2D16-F468-4678-B4C4-0A65C108809E}_x0000_</stp>
        <tr r="C20" s="1"/>
      </tp>
      <tp>
        <v>864600000</v>
        <stp/>
        <stp>{1E2148BF-55F1-481B-A098-0A04B3617317}_x0000_</stp>
        <tr r="H6" s="1"/>
      </tp>
      <tp>
        <v>8.9409100000000006</v>
        <stp/>
        <stp>{8E59B4D3-7A49-4351-8EA6-E67821218C8F}_x0000_</stp>
        <tr r="E8" s="2"/>
      </tp>
      <tp>
        <v>801680420</v>
        <stp/>
        <stp>{15869714-64BD-452A-B3B5-E400292EF2F8}_x0000_</stp>
        <tr r="L18" s="1"/>
      </tp>
      <tp>
        <v>4228110290</v>
        <stp/>
        <stp>{8276A1E8-F547-432D-BC84-E7FFEFB6D66A}_x0000_</stp>
        <tr r="P21" s="1"/>
      </tp>
      <tp>
        <v>1184719</v>
        <stp/>
        <stp>{B7C6EC4C-98B6-4B6D-BDE4-B6D1C0FDE518}_x0000_</stp>
        <tr r="E6" s="1"/>
      </tp>
      <tp>
        <v>17.602938720988501</v>
        <stp/>
        <stp>{816E9BD5-1CCD-46A6-8B11-3190B5F528EB}_x0000_</stp>
        <tr r="J9" s="1"/>
      </tp>
      <tp>
        <v>88.83</v>
        <stp/>
        <stp>{40BBA82D-E486-467A-9AB6-8D08A6ADA4B7}_x0000_</stp>
        <tr r="C9" s="1"/>
      </tp>
      <tp>
        <v>0.40105000000000002</v>
        <stp/>
        <stp>{6AF56289-CD72-4925-AD01-949259C3C808}_x0000_</stp>
        <tr r="B5" s="2"/>
      </tp>
      <tp>
        <v>40.621429999999997</v>
        <stp/>
        <stp>{D39A7E5F-B92A-4561-8D4A-B9909C440A1F}_x0000_</stp>
        <tr r="B15" s="2"/>
      </tp>
      <tp>
        <v>7.3531415594246798</v>
        <stp/>
        <stp>{41B6FCA1-8422-4E6F-88E6-04B28E457B04}_x0000_</stp>
        <tr r="D13" s="2"/>
      </tp>
      <tp>
        <v>10.210000000000001</v>
        <stp/>
        <stp>{BFC0DB46-636C-49F9-984C-38C4D13F0809}_x0000_</stp>
        <tr r="H10" s="2"/>
      </tp>
      <tp>
        <v>25.343430000000001</v>
        <stp/>
        <stp>{71B5BE22-1D64-437E-B2EB-E3A8B9AA9ADB}_x0000_</stp>
        <tr r="D14" s="2"/>
      </tp>
      <tp>
        <v>2.9897200000000002</v>
        <stp/>
        <stp>{5501DB66-7360-4883-A7BA-C8C064E6C0B5}_x0000_</stp>
        <tr r="I19" s="1"/>
      </tp>
      <tp>
        <v>35025016620</v>
        <stp/>
        <stp>{D06F119C-0E7C-49EC-A7A6-3E0BFC3C6780}_x0000_</stp>
        <tr r="D16" s="1"/>
      </tp>
      <tp>
        <v>80.545460000000006</v>
        <stp/>
        <stp>{2684DAC0-5EFC-4BA2-81F9-1D15D56B5204}_x0000_</stp>
        <tr r="L4" s="1"/>
      </tp>
      <tp>
        <v>0.80450999999999995</v>
        <stp/>
        <stp>{F8EA1AD5-9399-4ECB-864D-9CAAFBB2F098}_x0000_</stp>
        <tr r="I4" s="2"/>
      </tp>
      <tp>
        <v>6.74</v>
        <stp/>
        <stp>{AE58B043-E23C-4673-BD09-419DDABAC382}_x0000_</stp>
        <tr r="D10" s="2"/>
      </tp>
      <tp>
        <v>5.9189999999999996</v>
        <stp/>
        <stp>{48ADC081-8C8E-47F3-A614-CE8B95038981}_x0000_</stp>
        <tr r="B10" s="2"/>
      </tp>
      <tp>
        <v>3.1901799999999998</v>
        <stp/>
        <stp>{F9635BB6-BEC8-4F06-87A7-13842194BDCC}_x0000_</stp>
        <tr r="J19" s="1"/>
      </tp>
      <tp>
        <v>3.7885636912821599</v>
        <stp/>
        <stp>{B109FB76-DBA9-4BDE-8FBD-3EF8A68ADE36}_x0000_</stp>
        <tr r="E13" s="2"/>
      </tp>
      <tp>
        <v>43.17747</v>
        <stp/>
        <stp>{9669EC81-645B-4B87-9BC9-4988D916ED70}_x0000_</stp>
        <tr r="I6" s="2"/>
      </tp>
      <tp>
        <v>0.97554132519041303</v>
        <stp/>
        <stp>{B9039775-FAAC-4C9E-B188-9FC9EA4D09EC}_x0000_</stp>
        <tr r="I11" s="2"/>
      </tp>
      <tp>
        <v>44.87</v>
        <stp/>
        <stp>{D2A2F8E2-9968-4333-A85A-AB3F4ADB9868}_x0000_</stp>
        <tr r="D7" s="1"/>
      </tp>
      <tp>
        <v>1361853497</v>
        <stp/>
        <stp>{5AE29414-06F4-4B84-B695-3EC94A9B70CC}_x0000_</stp>
        <tr r="E4" s="1"/>
      </tp>
      <tp>
        <v>12.4538852578068</v>
        <stp/>
        <stp>{672BCDA6-3FA9-428B-9524-451AE2854522}_x0000_</stp>
        <tr r="J10" s="1"/>
      </tp>
      <tp>
        <v>58.119</v>
        <stp/>
        <stp>{0F8A6195-AEAF-4680-8832-C9BD48CE4C3B}_x0000_</stp>
        <tr r="I9" s="2"/>
      </tp>
      <tp>
        <v>45.199309999999997</v>
        <stp/>
        <stp>{35738CA8-7591-445E-A4C2-7761068724C9}_x0000_</stp>
        <tr r="C6" s="2"/>
      </tp>
      <tp>
        <v>1173550250</v>
        <stp/>
        <stp>{BF4F1FB2-7997-4E4A-BE98-83E57CBE0ACB}_x0000_</stp>
        <tr r="P18" s="1"/>
      </tp>
      <tp>
        <v>31.243880000000001</v>
        <stp/>
        <stp>{9B267A0A-56F8-4559-9568-76679F431BFA}_x0000_</stp>
        <tr r="F6" s="2"/>
      </tp>
      <tp>
        <v>20827502750</v>
        <stp/>
        <stp>{AA38DEB5-CEB4-4E14-B1C3-A4A779AB33ED}_x0000_</stp>
        <tr r="E21" s="1"/>
      </tp>
      <tp>
        <v>10.16267</v>
        <stp/>
        <stp>{ED507E09-729E-4662-8FB9-6CA7DC01D2DA}_x0000_</stp>
        <tr r="C8" s="2"/>
      </tp>
      <tp>
        <v>0.38085000000000002</v>
        <stp/>
        <stp>{ECB891C4-7244-445E-8784-72D8AFD6A3AC}_x0000_</stp>
        <tr r="F5" s="2"/>
      </tp>
      <tp>
        <v>6.8264547968978802</v>
        <stp/>
        <stp>{2FA9F0ED-46CF-4E7A-8E2C-EE9957B11DF2}_x0000_</stp>
        <tr r="G12" s="2"/>
      </tp>
      <tp>
        <v>44.714939999999999</v>
        <stp/>
        <stp>{32172B45-DA67-40EF-9D01-26F08E8C3287}_x0000_</stp>
        <tr r="C15" s="2"/>
      </tp>
      <tp>
        <v>54312000000</v>
        <stp/>
        <stp>{E215BAFA-A393-4860-89E2-2D0C561B3945}_x0000_</stp>
        <tr r="G5" s="1"/>
      </tp>
      <tp>
        <v>21.740469999999998</v>
        <stp/>
        <stp>{38254798-CAC2-496D-A87F-979B28399DD4}_x0000_</stp>
        <tr r="I7" s="2"/>
      </tp>
      <tp>
        <v>26413768059.6483</v>
        <stp/>
        <stp>{9970BF10-DDA8-40D8-AC3A-B28F27F5C14E}_x0000_</stp>
        <tr r="F6" s="1"/>
      </tp>
      <tp>
        <v>2352000000</v>
        <stp/>
        <stp>{847B9ACB-C7FA-449B-98F1-7E68032F8423}_x0000_</stp>
        <tr r="N20" s="1"/>
      </tp>
      <tp>
        <v>204398761</v>
        <stp/>
        <stp>{15F906C6-8866-424A-813E-1ECE7151619A}_x0000_</stp>
        <tr r="E12" s="1"/>
      </tp>
      <tp>
        <v>27.89817</v>
        <stp/>
        <stp>{E19C4272-B7A5-4AE9-B5EC-E1E4B09028F1}_x0000_</stp>
        <tr r="E15" s="2"/>
      </tp>
      <tp>
        <v>17848884460</v>
        <stp/>
        <stp>{62F9CD0E-53E5-413A-8437-F4A34A329B07}_x0000_</stp>
        <tr r="P22" s="1"/>
      </tp>
      <tp>
        <v>10419294000</v>
        <stp/>
        <stp>{57EE011B-93D2-4C7E-910B-67A2C2F560E9}_x0000_</stp>
        <tr r="C24" s="1"/>
      </tp>
      <tp>
        <v>71.53</v>
        <stp/>
        <stp>{052930C4-EEF2-4CCB-A948-D54E09E2BF19}_x0000_</stp>
        <tr r="C8" s="1"/>
      </tp>
      <tp>
        <v>200.03</v>
        <stp/>
        <stp>{23CE95F3-6366-4D01-A61B-F7BC517B297C}_x0000_</stp>
        <tr r="L10" s="1"/>
      </tp>
      <tp>
        <v>1017700000</v>
        <stp/>
        <stp>{208990BC-7DDB-4BA2-9004-BCA5F506E4BA}_x0000_</stp>
        <tr r="N18" s="1"/>
      </tp>
      <tp>
        <v>4.2639399999999998</v>
        <stp/>
        <stp>{6AFFFFAA-F5A8-473A-BBB3-AC7F091B1970}_x0000_</stp>
        <tr r="I20" s="1"/>
      </tp>
      <tp>
        <v>4.9808000000000003</v>
        <stp/>
        <stp>{B8B9453F-4E1B-40C2-92C1-25CA4752FCA3}_x0000_</stp>
        <tr r="H17" s="1"/>
      </tp>
      <tp>
        <v>299000000</v>
        <stp/>
        <stp>{469C1BFB-2424-4F7B-91DE-95BCBCD0CB28}_x0000_</stp>
        <tr r="H8" s="1"/>
      </tp>
      <tp>
        <v>0.40181</v>
        <stp/>
        <stp>{D21C3CC4-4E10-49DE-A64C-CEC118A27B19}_x0000_</stp>
        <tr r="G5" s="2"/>
      </tp>
      <tp>
        <v>5201921000</v>
        <stp/>
        <stp>{6BBAF548-1417-4FBB-9AD1-3ED413837374}_x0000_</stp>
        <tr r="L19" s="1"/>
      </tp>
      <tp>
        <v>5245916920</v>
        <stp/>
        <stp>{B203EB62-6365-4366-B87D-7A5AF7D536E6}_x0000_</stp>
        <tr r="D18" s="1"/>
      </tp>
      <tp>
        <v>0.75745685005743202</v>
        <stp/>
        <stp>{9DA958F8-9166-4A6A-8587-80C88D1DD3F6}_x0000_</stp>
        <tr r="K6" s="1"/>
      </tp>
      <tp>
        <v>6.79</v>
        <stp/>
        <stp>{7F7071CD-9B39-4775-A89D-E0EDED430FEB}_x0000_</stp>
        <tr r="G22" s="1"/>
      </tp>
      <tp>
        <v>11620400000</v>
        <stp/>
        <stp>{8AD59060-F91F-470A-BB89-BFCB2310CDE7}_x0000_</stp>
        <tr r="G9" s="1"/>
      </tp>
      <tp>
        <v>27267206650</v>
        <stp/>
        <stp>{C96EC76F-6954-4259-946D-144C7A3C6F39}_x0000_</stp>
        <tr r="D19" s="1"/>
      </tp>
      <tp>
        <v>5.7012539184952997</v>
        <stp/>
        <stp>{185DD614-3844-4A45-A0A7-A0CBE8BCC48A}_x0000_</stp>
        <tr r="E12" s="2"/>
      </tp>
      <tp>
        <v>2803.2597099999998</v>
        <stp/>
        <stp>{DE99B588-D169-4896-924B-E537DC4A98CD}_x0000_</stp>
        <tr r="I18" s="1"/>
      </tp>
      <tp>
        <v>3.74139</v>
        <stp/>
        <stp>{33DECC98-E2EE-41C1-BFF0-3926ECAA6AE9}_x0000_</stp>
        <tr r="J16" s="1"/>
      </tp>
      <tp>
        <v>0.835196597044228</v>
        <stp/>
        <stp>{6F90542B-BEDB-46EB-8EF5-4D2965B424F0}_x0000_</stp>
        <tr r="F11" s="2"/>
      </tp>
      <tp>
        <v>4.6900000000000004</v>
        <stp/>
        <stp>{87A0CEBC-3F39-4FD7-B985-1EE7DE7A3797}_x0000_</stp>
        <tr r="E9" s="2"/>
      </tp>
      <tp>
        <v>16024414180</v>
        <stp/>
        <stp>{F69C2A59-8894-404D-AECE-8CF161CCF51E}_x0000_</stp>
        <tr r="D20" s="1"/>
      </tp>
      <tp>
        <v>20405415950</v>
        <stp/>
        <stp>{6175892A-481C-402F-A862-657A4941CC9A}_x0000_</stp>
        <tr r="O17" s="1"/>
      </tp>
      <tp>
        <v>91068210530</v>
        <stp/>
        <stp>{79E7EAEA-9D5D-491A-BEDB-BEB8EC44BC41}_x0000_</stp>
        <tr r="D22" s="1"/>
      </tp>
      <tp>
        <v>274.20999999999998</v>
        <stp/>
        <stp>{FA8C3BB4-8222-4BFC-9FFF-1078BA931500}_x0000_</stp>
        <tr r="C12" s="1"/>
      </tp>
      <tp>
        <v>15.7345484957254</v>
        <stp/>
        <stp>{799D5438-2DDB-4513-BD0C-2D737EF83CDA}_x0000_</stp>
        <tr r="J5" s="1"/>
      </tp>
      <tp>
        <v>53135398846.589996</v>
        <stp/>
        <stp>{47B77906-BAE6-4E5D-B69B-C3C79247A64F}_x0000_</stp>
        <tr r="I9" s="1"/>
      </tp>
      <tp>
        <v>89.775000000000006</v>
        <stp/>
        <stp>{8D498BD3-56A0-4B15-93A4-B472D59D9E5C}_x0000_</stp>
        <tr r="D9" s="1"/>
      </tp>
      <tp>
        <v>96839498850</v>
        <stp/>
        <stp>{ABF43F4D-20AB-468C-AB3A-39B41422BA8E}_x0000_</stp>
        <tr r="D17" s="1"/>
      </tp>
      <tp>
        <v>4970200000</v>
        <stp/>
        <stp>{863DF0AE-14A1-4FF6-A91D-AF6B3D2F518A}_x0000_</stp>
        <tr r="C18" s="1"/>
      </tp>
      <tp>
        <v>5.3793699999999998</v>
        <stp/>
        <stp>{5698587B-7127-4143-9D76-3B057E131E7D}_x0000_</stp>
        <tr r="I17" s="1"/>
      </tp>
      <tp>
        <v>125608.23808984899</v>
        <stp/>
        <stp>{3DF4D926-426E-4B59-A1C8-290BE3EE1C82}_x0000_</stp>
        <tr r="C6" s="1"/>
      </tp>
      <tp>
        <v>3783600000</v>
        <stp/>
        <stp>{2D54A035-53A6-4099-BFE8-D5DA36D44C7E}_x0000_</stp>
        <tr r="N21" s="1"/>
      </tp>
      <tp>
        <v>40.25</v>
        <stp/>
        <stp>{17472766-C766-4B5B-9B88-BBFEDFA3A2A8}_x0000_</stp>
        <tr r="C7" s="1"/>
      </tp>
      <tp>
        <v>16646643800</v>
        <stp/>
        <stp>{CA6DE29C-27CB-4E3C-BCA1-E8BDEAE37B36}_x0000_</stp>
        <tr r="L17" s="1"/>
      </tp>
      <tp>
        <v>6507772210</v>
        <stp/>
        <stp>{63E86CAD-8CDF-483C-8F98-79B84E5A080C}_x0000_</stp>
        <tr r="P19" s="1"/>
      </tp>
      <tp>
        <v>112065473558.2</v>
        <stp/>
        <stp>{3B5E6317-78A1-4E28-A046-8CFB334239EE}_x0000_</stp>
        <tr r="I4" s="1"/>
      </tp>
      <tp>
        <v>0.68841224245782395</v>
        <stp/>
        <stp>{49B39AB2-4FD8-4DF5-BE70-08E4DCAB40E6}_x0000_</stp>
        <tr r="C11" s="2"/>
      </tp>
      <tp>
        <v>16.593240000000002</v>
        <stp/>
        <stp>{08BE97BC-6FE1-4953-98E2-DC72FBCDCAC6}_x0000_</stp>
        <tr r="C7" s="2"/>
      </tp>
      <tp>
        <v>193.25</v>
        <stp/>
        <stp>{37877C20-A3CF-4CCD-A70F-1FCC15AEB96C}_x0000_</stp>
        <tr r="D10" s="1"/>
      </tp>
      <tp>
        <v>11.46232</v>
        <stp/>
        <stp>{129EF009-93E3-41DE-A656-D479DA2DC0C7}_x0000_</stp>
        <tr r="D8" s="2"/>
      </tp>
      <tp>
        <v>84.705879999999993</v>
        <stp/>
        <stp>{1297AB10-955E-40D7-B39E-EF76137EF3B0}_x0000_</stp>
        <tr r="L9" s="1"/>
      </tp>
      <tp>
        <v>874646330</v>
        <stp/>
        <stp>{C65031E1-E064-4B5C-AB87-F7CC6F7B2306}_x0000_</stp>
        <tr r="M18" s="1"/>
      </tp>
      <tp>
        <v>104889956338.94</v>
        <stp/>
        <stp>{6AAF28E5-BB1F-4178-BC74-E2AA18E037EC}_x0000_</stp>
        <tr r="F4" s="1"/>
      </tp>
      <tp>
        <v>45.111109999999996</v>
        <stp/>
        <stp>{C24C897D-F673-4B1A-8E5D-310383ABF158}_x0000_</stp>
        <tr r="L7" s="1"/>
      </tp>
      <tp>
        <v>78.59</v>
        <stp/>
        <stp>{892E333B-FD04-4DC0-9FD1-9E242188177E}_x0000_</stp>
        <tr r="D4" s="1"/>
      </tp>
      <tp>
        <v>41.330159999999999</v>
        <stp/>
        <stp>{8CB5B521-AD45-453A-A1FF-A994852D8447}_x0000_</stp>
        <tr r="I15" s="2"/>
      </tp>
      <tp>
        <v>0.66163581897184798</v>
        <stp/>
        <stp>{81E0C6BD-3C35-4135-AC0D-0EAC4B5EF061}_x0000_</stp>
        <tr r="K4" s="1"/>
      </tp>
      <tp>
        <v>23.291730000000001</v>
        <stp/>
        <stp>{E0004075-9C7C-4B83-B07B-FF3A3A266F1E}_x0000_</stp>
        <tr r="D15" s="2"/>
      </tp>
      <tp>
        <v>12325000000</v>
        <stp/>
        <stp>{D9D37CDF-EF30-41F2-BC5D-0D24AA3D019E}_x0000_</stp>
        <tr r="K22" s="1"/>
      </tp>
      <tp>
        <v>3.74</v>
        <stp/>
        <stp>{54CBDB42-56EA-4BF4-B92F-7735E1C791C7}_x0000_</stp>
        <tr r="E10" s="2"/>
      </tp>
      <tp>
        <v>744600000</v>
        <stp/>
        <stp>{CE3D922B-3F69-4D08-B7AF-472FC42E6E25}_x0000_</stp>
        <tr r="K18" s="1"/>
      </tp>
      <tp>
        <v>0.45562844929224</v>
        <stp/>
        <stp>{3847E4D7-740D-45BB-B589-A1CD7D9412A7}_x0000_</stp>
        <tr r="B11" s="2"/>
      </tp>
      <tp>
        <v>8.6550700000000003</v>
        <stp/>
        <stp>{9280DFD4-E9D4-415E-B43A-79152497C4C1}_x0000_</stp>
        <tr r="B8" s="2"/>
      </tp>
      <tp>
        <v>56048184253.809998</v>
        <stp/>
        <stp>{E0A4D734-7777-45D5-9DAE-23F284B944A0}_x0000_</stp>
        <tr r="F12" s="1"/>
      </tp>
      <tp>
        <v>2.78</v>
        <stp/>
        <stp>{D2D6CC93-673F-4636-BD21-53004F3EA216}_x0000_</stp>
        <tr r="G19" s="1"/>
      </tp>
      <tp>
        <v>15.144259999999999</v>
        <stp/>
        <stp>{674C3EF0-201B-4F49-ADCA-19F0FD4F6D52}_x0000_</stp>
        <tr r="D7" s="2"/>
      </tp>
      <tp>
        <v>7.6689999999999996</v>
        <stp/>
        <stp>{E138FCF6-C0CE-4791-896A-56AA671A55BC}_x0000_</stp>
        <tr r="G10" s="2"/>
      </tp>
      <tp>
        <v>0.60918000000000005</v>
        <stp/>
        <stp>{299CCD28-D21C-47E1-B12E-97E200450779}_x0000_</stp>
        <tr r="H5" s="2"/>
      </tp>
      <tp>
        <v>16.169060000000002</v>
        <stp/>
        <stp>{167CD6F2-350C-45B4-BDFA-8655BC3629F4}_x0000_</stp>
        <tr r="I14" s="2"/>
      </tp>
      <tp>
        <v>3055900810</v>
        <stp/>
        <stp>{745D5CDC-8953-4946-893A-85710A7312A0}_x0000_</stp>
        <tr r="O24" s="1"/>
      </tp>
      <tp>
        <v>94424000000</v>
        <stp/>
        <stp>{924AB1B6-F61D-40EA-8F92-BC79714EA8B3}_x0000_</stp>
        <tr r="C17" s="1"/>
      </tp>
      <tp>
        <v>35.496569999999998</v>
        <stp/>
        <stp>{234D6C15-E510-44E3-B464-CA1296FC64BF}_x0000_</stp>
        <tr r="B6" s="2"/>
      </tp>
      <tp>
        <v>8.52</v>
        <stp/>
        <stp>{EFB21DC7-EFE4-4CE1-8C50-6D87C2E2DB50}_x0000_</stp>
        <tr r="G24" s="1"/>
      </tp>
      <tp>
        <v>8.5833300000000001</v>
        <stp/>
        <stp>{A39923B1-05C5-4017-AE3C-53F5DE5117A0}_x0000_</stp>
        <tr r="Q16" s="1"/>
      </tp>
      <tp>
        <v>16373899540</v>
        <stp/>
        <stp>{03EC6321-318C-4BAD-96DE-F1FC313E7DF9}_x0000_</stp>
        <tr r="O22" s="1"/>
      </tp>
      <tp>
        <v>4.21</v>
        <stp/>
        <stp>{9588442C-135B-4170-A63A-7CB71D1F82CA}_x0000_</stp>
        <tr r="G20" s="1"/>
      </tp>
      <tp>
        <v>3213300000</v>
        <stp/>
        <stp>{8CA6B7D0-FD73-4334-9C77-149BF3C2130E}_x0000_</stp>
        <tr r="K21" s="1"/>
      </tp>
      <tp>
        <v>1377693115</v>
        <stp/>
        <stp>{A2FC6721-E6A0-4A31-B281-5BC94D1EEBDB}_x0000_</stp>
        <tr r="E10" s="1"/>
      </tp>
      <tp>
        <v>27814548530</v>
        <stp/>
        <stp>{692F970A-7B98-4EAC-A479-B5A066515AF5}_x0000_</stp>
        <tr r="E19" s="1"/>
      </tp>
      <tp>
        <v>21239800920</v>
        <stp/>
        <stp>{92BA62FA-956C-47ED-98C1-ECE22817F733}_x0000_</stp>
        <tr r="F21" s="1"/>
      </tp>
      <tp>
        <v>2.95</v>
        <stp/>
        <stp>{E058B880-F6DA-4A40-99E5-2F5F9F7EA579}_x0000_</stp>
        <tr r="G16" s="1"/>
      </tp>
      <tp>
        <v>19.681657034836</v>
        <stp/>
        <stp>{C110277F-E589-4FB3-B5F3-47979D1D99D7}_x0000_</stp>
        <tr r="J4" s="1"/>
      </tp>
      <tp>
        <v>7.12071711039055</v>
        <stp/>
        <stp>{83E67B56-4BCA-478E-A834-FAB2AE49B4A0}_x0000_</stp>
        <tr r="I13" s="2"/>
      </tp>
      <tp>
        <v>5582184000</v>
        <stp/>
        <stp>{D0792CD3-0EF6-43FD-ADBA-CB94464DB19A}_x0000_</stp>
        <tr r="L16" s="1"/>
      </tp>
      <tp>
        <v>20218412810</v>
        <stp/>
        <stp>{2E664C3C-F8B7-48F4-A90F-71A612B6617A}_x0000_</stp>
        <tr r="D21" s="1"/>
      </tp>
      <tp>
        <v>4989000000</v>
        <stp/>
        <stp>{83A5E181-4694-4443-9638-2F89C8D3E6E5}_x0000_</stp>
        <tr r="K19" s="1"/>
      </tp>
      <tp>
        <v>95516861120</v>
        <stp/>
        <stp>{DB4D0D6B-DBD2-460E-AF75-36C9580A209B}_x0000_</stp>
        <tr r="E22" s="1"/>
      </tp>
      <tp>
        <v>40.765070000000001</v>
        <stp/>
        <stp>{997692C7-8D83-4AEE-B4C2-FCA3C90BB5CD}_x0000_</stp>
        <tr r="G15" s="2"/>
      </tp>
      <tp>
        <v>264765062840.70001</v>
        <stp/>
        <stp>{8D0C5AE3-942D-4CD6-8745-A95A1AECE6D4}_x0000_</stp>
        <tr r="F10" s="1"/>
      </tp>
      <tp>
        <v>5961794320</v>
        <stp/>
        <stp>{D7D20195-F118-401B-B43F-8B4F9395EC38}_x0000_</stp>
        <tr r="M16" s="1"/>
      </tp>
      <tp>
        <v>7.8049999999999997</v>
        <stp/>
        <stp>{FDCCA405-ECA6-4933-9E3E-86A20479E113}_x0000_</stp>
        <tr r="Q22" s="1"/>
      </tp>
      <tp>
        <v>3.2969171534089399</v>
        <stp/>
        <stp>{45855A40-8BFC-4EF2-86B3-D5368331E436}_x0000_</stp>
        <tr r="G13" s="2"/>
      </tp>
      <tp>
        <v>122.66667</v>
        <stp/>
        <stp>{1697FAC4-1441-4C95-8349-E4574C65404A}_x0000_</stp>
        <tr r="L5" s="1"/>
      </tp>
      <tp>
        <v>10.45872</v>
        <stp/>
        <stp>{71987D5F-CD91-438B-910F-8C9D56A1CD64}_x0000_</stp>
        <tr r="B14" s="2"/>
      </tp>
      <tp>
        <v>2660112470</v>
        <stp/>
        <stp>{4C880D75-6C50-4BB7-80CF-73E9ED85B43B}_x0000_</stp>
        <tr r="L24" s="1"/>
      </tp>
      <tp>
        <v>52174699169.040001</v>
        <stp/>
        <stp>{C84B1A45-24D1-495A-BBC6-7C7BC2AB2E2D}_x0000_</stp>
        <tr r="F9" s="1"/>
      </tp>
      <tp>
        <v>4791345000</v>
        <stp/>
        <stp>{BCF8F983-AEDA-4B24-AA13-7ADEEED66513}_x0000_</stp>
        <tr r="G12" s="1"/>
      </tp>
      <tp>
        <v>0.87707999999999997</v>
        <stp/>
        <stp>{07A4D135-4092-4EEE-ADA1-13EC606E0666}_x0000_</stp>
        <tr r="C4" s="2"/>
      </tp>
      <tp>
        <v>19644000000</v>
        <stp/>
        <stp>{C2204AD1-E9B9-405C-B03A-3C293C545190}_x0000_</stp>
        <tr r="N17" s="1"/>
      </tp>
      <tp>
        <v>13.457929999999999</v>
        <stp/>
        <stp>{AECC8BD4-E999-4200-8F9C-16A997C3D18B}_x0000_</stp>
        <tr r="H14" s="2"/>
      </tp>
      <tp>
        <v>14463673630</v>
        <stp/>
        <stp>{2318E816-91E5-4BDC-874A-6543B118C0C6}_x0000_</stp>
        <tr r="M22" s="1"/>
      </tp>
      <tp>
        <v>0.65932000000000002</v>
        <stp/>
        <stp>{248981E5-1B90-4382-88FB-49DF827A3375}_x0000_</stp>
        <tr r="F4" s="2"/>
      </tp>
      <tp>
        <v>3.8328210066293802</v>
        <stp/>
        <stp>{96CFABBD-0F60-4480-8EF3-1527D253AF40}_x0000_</stp>
        <tr r="C12" s="2"/>
      </tp>
      <tp>
        <v>3.4685700000000002</v>
        <stp/>
        <stp>{007AB35C-732B-43F5-8D38-8AE31AA65F12}_x0000_</stp>
        <tr r="I16" s="1"/>
      </tp>
      <tp>
        <v>4.48895</v>
        <stp/>
        <stp>{C905E0C2-F5FF-4FC6-A94D-F537A6E9196D}_x0000_</stp>
        <tr r="I21" s="1"/>
      </tp>
      <tp>
        <v>0.31612650374925</v>
        <stp/>
        <stp>{73C36343-D3A6-4C1E-B115-93AB0DB93A97}_x0000_</stp>
        <tr r="K12" s="1"/>
      </tp>
      <tp>
        <v>1040000000</v>
        <stp/>
        <stp>{C0D58B43-3DD7-4D16-8F80-EF458FA501B3}_x0000_</stp>
        <tr r="H7" s="1"/>
      </tp>
      <tp>
        <v>4015436920</v>
        <stp/>
        <stp>{DD905151-1D22-4ACD-873A-F5E31A5677EB}_x0000_</stp>
        <tr r="O21" s="1"/>
      </tp>
      <tp>
        <v>2405436000</v>
        <stp/>
        <stp>{B01F28C5-3466-459D-88DF-EEA56D7EAE45}_x0000_</stp>
        <tr r="K24" s="1"/>
      </tp>
      <tp>
        <v>17.65774</v>
        <stp/>
        <stp>{9C50FC02-3F73-48B3-BC7D-7BEA859B787A}_x0000_</stp>
        <tr r="G7" s="2"/>
      </tp>
      <tp>
        <v>6564000000</v>
        <stp/>
        <stp>{25F18537-4389-4C5B-AA87-5FC905487340}_x0000_</stp>
        <tr r="G8" s="1"/>
      </tp>
      <tp>
        <v>0.80413999999999997</v>
        <stp/>
        <stp>{2A80F341-CE15-406B-9990-435768472524}_x0000_</stp>
        <tr r="H4" s="2"/>
      </tp>
      <tp>
        <v>14.40019</v>
        <stp/>
        <stp>{62119A2B-E791-49AC-BD48-2E08440ECE4A}_x0000_</stp>
        <tr r="G8" s="2"/>
      </tp>
      <tp>
        <v>56.77</v>
        <stp/>
        <stp>{6041F41B-D054-4F92-AB64-8A2857D71DBC}_x0000_</stp>
        <tr r="H9" s="2"/>
      </tp>
      <tp>
        <v>3.13</v>
        <stp/>
        <stp>{93E5A284-7480-4443-BCCE-F3C8796CDE79}_x0000_</stp>
        <tr r="Q20" s="1"/>
      </tp>
      <tp>
        <v>8.7472600000000007</v>
        <stp/>
        <stp>{CC772B50-5932-47A2-8309-6B66B3C57642}_x0000_</stp>
        <tr r="G14" s="2"/>
      </tp>
      <tp>
        <v>77.02</v>
        <stp/>
        <stp>{D90DC116-AE8F-4273-935A-A5974048B87D}_x0000_</stp>
        <tr r="C4" s="1"/>
      </tp>
      <tp>
        <v>7214798060</v>
        <stp/>
        <stp>{2FB7D501-C31D-45C1-A50F-2D10D348C94A}_x0000_</stp>
        <tr r="P16" s="1"/>
      </tp>
      <tp>
        <v>2784395000</v>
        <stp/>
        <stp>{7D8DAE8B-5F21-4667-9830-AFCEBDE6269B}_x0000_</stp>
        <tr r="N24" s="1"/>
      </tp>
      <tp>
        <v>16.098107265944702</v>
        <stp/>
        <stp>{1579ADF9-5F15-48DF-A62F-691BED14CC64}_x0000_</stp>
        <tr r="J12" s="1"/>
      </tp>
      <tp>
        <v>463889000</v>
        <stp/>
        <stp>{E959BBFB-41F5-4347-A61A-A6023A33FF2D}_x0000_</stp>
        <tr r="H12" s="1"/>
      </tp>
      <tp>
        <v>18817.305455590398</v>
        <stp/>
        <stp>{63A09584-2A76-415C-8D57-8437D17E0C9B}_x0000_</stp>
        <tr r="J6" s="1"/>
      </tp>
      <tp>
        <v>8.74</v>
        <stp/>
        <stp>{7DA76585-03ED-496F-A842-5B6F615FFAD5}_x0000_</stp>
        <tr r="Q18" s="1"/>
      </tp>
      <tp>
        <v>26485000000</v>
        <stp/>
        <stp>{18A245AA-60E7-429B-8837-F71B3C810B9D}_x0000_</stp>
        <tr r="C19" s="1"/>
      </tp>
      <tp t="s">
        <v>Mondelez International Inc</v>
        <stp/>
        <stp>{E6F6EE94-5BB3-49D7-8088-2B72FE09AD1A}_x0000_</stp>
        <tr r="A4" s="1"/>
      </tp>
      <tp>
        <v>3.94</v>
        <stp/>
        <stp>{AC4F7BEE-8C60-4CE8-9666-69EDD49F478F}_x0000_</stp>
        <tr r="G21" s="1"/>
      </tp>
      <tp>
        <v>0.67986610752846399</v>
        <stp/>
        <stp>{CA8CB48E-A078-480C-BA72-2E33F120DC5C}_x0000_</stp>
        <tr r="K7" s="1"/>
      </tp>
      <tp>
        <v>306845897054.54102</v>
        <stp/>
        <stp>{E3579635-44F0-48AD-B33F-B49EAE9AE301}_x0000_</stp>
        <tr r="F5" s="1"/>
      </tp>
      <tp>
        <v>22933000000</v>
        <stp/>
        <stp>{B096C6B2-1A1E-44CC-AF9B-8AA9F2E6FF9D}_x0000_</stp>
        <tr r="G4" s="1"/>
      </tp>
      <tp>
        <v>20070000000</v>
        <stp/>
        <stp>{CE91A5BE-7722-4B3E-B203-31BA0BA947D5}_x0000_</stp>
        <tr r="G7" s="1"/>
      </tp>
      <tp>
        <v>5.4778162775313097</v>
        <stp/>
        <stp>{F2C1D7B2-ABEA-40ED-8D37-BB4FBA52D1B1}_x0000_</stp>
        <tr r="I12" s="2"/>
      </tp>
      <tp>
        <v>6003000000</v>
        <stp/>
        <stp>{4C217336-5002-4BB5-B0A7-2E09E3843041}_x0000_</stp>
        <tr r="N19" s="1"/>
      </tp>
      <tp>
        <v>0.63465000000000005</v>
        <stp/>
        <stp>{D2FCC6EC-2F6E-4FA1-9F98-E05E3A1640B1}_x0000_</stp>
        <tr r="G4" s="2"/>
      </tp>
      <tp>
        <v>4.2430000000000003</v>
        <stp/>
        <stp>{9B1C14EA-7392-481B-BD07-BCD69CC9180E}_x0000_</stp>
        <tr r="H21" s="1"/>
      </tp>
      <tp>
        <v>2565.7588000000001</v>
        <stp/>
        <stp>{D07DBAC4-86A4-4F8A-AAEB-3283B3599EB7}_x0000_</stp>
        <tr r="H18" s="1"/>
      </tp>
      <tp>
        <v>12142928460</v>
        <stp/>
        <stp>{501046E5-A773-4C28-9BF4-98D1939AB1F3}_x0000_</stp>
        <tr r="F24" s="1"/>
      </tp>
      <tp>
        <v>3.2934474747796201</v>
        <stp/>
        <stp>{57E1DEF6-B135-4414-99D0-D0339A4E00FD}_x0000_</stp>
        <tr r="C13" s="2"/>
      </tp>
      <tp>
        <v>5974014900</v>
        <stp/>
        <stp>{5B9E9566-118E-45E5-9AE4-C6EFE8B9DAC3}_x0000_</stp>
        <tr r="F18" s="1"/>
      </tp>
      <tp>
        <v>0.93617390173598303</v>
        <stp/>
        <stp>{9759B028-64EA-4757-8A8C-B511A15FED37}_x0000_</stp>
        <tr r="H11" s="2"/>
      </tp>
      <tp>
        <v>0.60359753384605597</v>
        <stp/>
        <stp>{CB01143C-A83A-44CA-B491-BDCBDDBDE5E9}_x0000_</stp>
        <tr r="G11" s="2"/>
      </tp>
      <tp>
        <v>192.18</v>
        <stp/>
        <stp>{887D89AD-1B2C-4309-8C3E-AE476D13D1D5}_x0000_</stp>
        <tr r="C10" s="1"/>
      </tp>
      <tp>
        <v>11.036250000000001</v>
        <stp/>
        <stp>{84D00FCD-A81D-4FFD-96CF-B113AC5D617E}_x0000_</stp>
        <tr r="J24" s="1"/>
      </tp>
      <tp>
        <v>2387.1</v>
        <stp/>
        <stp>{743E9F0F-FAEB-4D1C-862B-F969BC49F732}_x0000_</stp>
        <tr r="G18" s="1"/>
      </tp>
      <tp>
        <v>16341859710</v>
        <stp/>
        <stp>{239DAB0F-1364-4D57-9E45-37C45DC7FE2C}_x0000_</stp>
        <tr r="E20" s="1"/>
      </tp>
      <tp>
        <v>104055.55555999999</v>
        <stp/>
        <stp>{987E3D7D-1E39-4987-BAD0-E2C29ED1F2FC}_x0000_</stp>
        <tr r="L6" s="1"/>
      </tp>
      <tp>
        <v>1087120580</v>
        <stp/>
        <stp>{1FF9856F-3485-4FAB-8822-5761D153D652}_x0000_</stp>
        <tr r="O18" s="1"/>
      </tp>
      <tp>
        <v>8.5865500000000008</v>
        <stp/>
        <stp>{847F2D1E-091E-4478-A642-E5F2AB6943EE}_x0000_</stp>
        <tr r="J22" s="1"/>
      </tp>
      <tp>
        <v>1969599400</v>
        <stp/>
        <stp>{8EC47AA6-7F55-421B-924B-6804FAD43AC5}_x0000_</stp>
        <tr r="L20" s="1"/>
      </tp>
      <tp>
        <v>31474000000</v>
        <stp/>
        <stp>{9E306075-E5BA-4805-93C3-527DADC3B168}_x0000_</stp>
        <tr r="C16" s="1"/>
      </tp>
      <tp>
        <v>0.54544418638419101</v>
        <stp/>
        <stp>{36E9DBB7-CB57-4C0A-BF30-3DE0ADFFC0AE}_x0000_</stp>
        <tr r="K10" s="1"/>
      </tp>
      <tp>
        <v>7.4020000000000001</v>
        <stp/>
        <stp>{B9A64866-894D-478B-8F12-7FA0A5CA638C}_x0000_</stp>
        <tr r="Q17" s="1"/>
      </tp>
      <tp>
        <v>72.294120000000007</v>
        <stp/>
        <stp>{650EE65B-86B8-4B9A-B9F7-2BF72F9CB4A8}_x0000_</stp>
        <tr r="L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</xdr:row>
      <xdr:rowOff>0</xdr:rowOff>
    </xdr:from>
    <xdr:to>
      <xdr:col>38</xdr:col>
      <xdr:colOff>206799</xdr:colOff>
      <xdr:row>18</xdr:row>
      <xdr:rowOff>9691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89BC2F-C696-B919-5537-2BFA0DCD2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0" y="190500"/>
          <a:ext cx="8255424" cy="3232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155227</xdr:colOff>
      <xdr:row>1</xdr:row>
      <xdr:rowOff>0</xdr:rowOff>
    </xdr:from>
    <xdr:to>
      <xdr:col>30</xdr:col>
      <xdr:colOff>34281</xdr:colOff>
      <xdr:row>13</xdr:row>
      <xdr:rowOff>125021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C85574-5FA9-F2B3-4449-24BC1600B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005" y="183444"/>
          <a:ext cx="7950609" cy="2686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0BB0-A5B9-4732-91B3-3F931D69F9C8}">
  <dimension ref="B2:B3"/>
  <sheetViews>
    <sheetView workbookViewId="0">
      <selection activeCell="B4" sqref="B4"/>
    </sheetView>
  </sheetViews>
  <sheetFormatPr defaultRowHeight="14.5" x14ac:dyDescent="0.35"/>
  <sheetData>
    <row r="2" spans="2:2" x14ac:dyDescent="0.35">
      <c r="B2" t="s">
        <v>59</v>
      </c>
    </row>
    <row r="3" spans="2:2" x14ac:dyDescent="0.35">
      <c r="B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B269-7FAA-4E09-9F2A-A8DCD1618C75}">
  <sheetPr>
    <pageSetUpPr fitToPage="1"/>
  </sheetPr>
  <dimension ref="A1:W42"/>
  <sheetViews>
    <sheetView tabSelected="1" topLeftCell="H30" zoomScaleNormal="100" workbookViewId="0">
      <selection activeCell="P28" sqref="P28"/>
    </sheetView>
  </sheetViews>
  <sheetFormatPr defaultColWidth="8.90625" defaultRowHeight="14.5" x14ac:dyDescent="0.35"/>
  <cols>
    <col min="1" max="1" width="32.54296875" style="1" bestFit="1" customWidth="1"/>
    <col min="2" max="2" width="8.90625" style="2"/>
    <col min="3" max="4" width="16.453125" style="1" bestFit="1" customWidth="1"/>
    <col min="5" max="5" width="16.90625" style="1" bestFit="1" customWidth="1"/>
    <col min="6" max="6" width="17.81640625" style="1" customWidth="1"/>
    <col min="7" max="7" width="16.453125" style="1" bestFit="1" customWidth="1"/>
    <col min="8" max="8" width="15.36328125" style="1" bestFit="1" customWidth="1"/>
    <col min="9" max="9" width="17.90625" style="1" bestFit="1" customWidth="1"/>
    <col min="10" max="10" width="10.6328125" style="1" customWidth="1"/>
    <col min="11" max="11" width="16.08984375" style="1" bestFit="1" customWidth="1"/>
    <col min="12" max="12" width="16.7265625" style="1" bestFit="1" customWidth="1"/>
    <col min="13" max="13" width="16.08984375" style="1" bestFit="1" customWidth="1"/>
    <col min="14" max="14" width="16.7265625" style="1" bestFit="1" customWidth="1"/>
    <col min="15" max="15" width="16.08984375" style="1" bestFit="1" customWidth="1"/>
    <col min="16" max="16" width="16.90625" style="1" bestFit="1" customWidth="1"/>
    <col min="17" max="16384" width="8.90625" style="1"/>
  </cols>
  <sheetData>
    <row r="1" spans="1:23" x14ac:dyDescent="0.35">
      <c r="C1" s="1" t="s">
        <v>12</v>
      </c>
    </row>
    <row r="2" spans="1:23" ht="14.4" customHeight="1" x14ac:dyDescent="0.35">
      <c r="A2" s="29"/>
      <c r="B2" s="30"/>
      <c r="C2" s="82" t="s">
        <v>3</v>
      </c>
      <c r="D2" s="82" t="s">
        <v>4</v>
      </c>
      <c r="E2" s="82" t="s">
        <v>5</v>
      </c>
      <c r="F2" s="82" t="s">
        <v>6</v>
      </c>
      <c r="G2" s="82" t="s">
        <v>8</v>
      </c>
      <c r="H2" s="82" t="s">
        <v>7</v>
      </c>
      <c r="I2" s="82" t="s">
        <v>9</v>
      </c>
      <c r="J2" s="82" t="s">
        <v>39</v>
      </c>
      <c r="K2" s="29"/>
      <c r="L2" s="82" t="s">
        <v>41</v>
      </c>
      <c r="W2" s="1" t="s">
        <v>57</v>
      </c>
    </row>
    <row r="3" spans="1:23" s="2" customFormat="1" x14ac:dyDescent="0.35">
      <c r="A3" s="30" t="s">
        <v>0</v>
      </c>
      <c r="B3" s="30" t="s">
        <v>1</v>
      </c>
      <c r="C3" s="82"/>
      <c r="D3" s="82"/>
      <c r="E3" s="82"/>
      <c r="F3" s="82"/>
      <c r="G3" s="82"/>
      <c r="H3" s="82"/>
      <c r="I3" s="82"/>
      <c r="J3" s="82"/>
      <c r="K3" s="30" t="s">
        <v>10</v>
      </c>
      <c r="L3" s="82"/>
      <c r="W3" s="2" t="s">
        <v>58</v>
      </c>
    </row>
    <row r="4" spans="1:23" x14ac:dyDescent="0.35">
      <c r="A4" s="3" t="str">
        <f>+_xll.TR($B$4:$B$12,"TR.CommonName")</f>
        <v>Mondelez International Inc</v>
      </c>
      <c r="B4" s="2" t="s">
        <v>11</v>
      </c>
      <c r="C4" s="4">
        <f>IF(B4="","",_xll.TR($B4,"TR.PriceClose","Curn=#1",,$C$1))</f>
        <v>77.02</v>
      </c>
      <c r="D4" s="26">
        <f>IF(B4="","",_xll.TR(B4,"MAX(TR.PriceHigh(SDate=0D,EDate=0D-364C))/*52 Week High*//*52 Week High*/"))</f>
        <v>78.59</v>
      </c>
      <c r="E4" s="27">
        <f>IF(B4="","",_xll.TR(B4,"TR.CompanySharesOutstanding(SDate=0)/*# Shares Outstanding*//*# Shares Outstanding*/"))</f>
        <v>1361853497</v>
      </c>
      <c r="F4" s="10">
        <f>IF(B4="","",_xll.TR(B4,"TR.CompanyMarketCap(Sdate=0D)/*Market Cap*//*Market Cap*/"))</f>
        <v>104889956338.94</v>
      </c>
      <c r="G4" s="8">
        <f>IF(B4="","",_xll.TR(B4,"TR.TotalDebtActValue"))</f>
        <v>22933000000</v>
      </c>
      <c r="H4" s="8">
        <f>IF(B4="","",_xll.TR(B4,"TR.F.CashCashEquivTot"))</f>
        <v>1923000000</v>
      </c>
      <c r="I4" s="8">
        <f>IF(B4="","",_xll.TR(B4,"TR.F.EV"))</f>
        <v>112065473558.2</v>
      </c>
      <c r="J4" s="17">
        <f>IF(B4="","",_xll.TR(B4,"TR.F.BookValuePerShr"))</f>
        <v>19.681657034836</v>
      </c>
      <c r="K4" s="14">
        <f>IF(B4="","",_xll.TR(B4,"TR.BetaFiveYear/*Beta 5 Year Monthly*//*Beta 5 Year Monthly*/"))</f>
        <v>0.66163581897184798</v>
      </c>
      <c r="L4" s="69">
        <f>IF(B4="","",_xll.TR(B4,"TR.PriceTargetMean"))</f>
        <v>80.545460000000006</v>
      </c>
    </row>
    <row r="5" spans="1:23" x14ac:dyDescent="0.35">
      <c r="A5" s="3" t="s">
        <v>14</v>
      </c>
      <c r="B5" s="2" t="s">
        <v>13</v>
      </c>
      <c r="C5" s="4">
        <f>IF(B5="","",_xll.TR($B5,"TR.PriceClose","Curn=#1",,$C$1))</f>
        <v>131.402059522462</v>
      </c>
      <c r="D5" s="11">
        <f>IF(B5="","",_xll.TR(B5,"MAX(TR.PriceHigh(SDate=0D,EDate=0D-364C))/*52 Week High*//*52 Week High*/"))</f>
        <v>125.58</v>
      </c>
      <c r="E5" s="8">
        <f>IF(B5="","",_xll.TR(B5,"TR.CompanySharesOutstanding(SDate=0)/*# Shares Outstanding*//*# Shares Outstanding*/"))</f>
        <v>2670000000</v>
      </c>
      <c r="F5" s="10">
        <f>IF(B5="","",_xll.TR(B5,"TR.CompanyMarketCap(Sdate=0D)/*Market Cap*//*Market Cap*/"))</f>
        <v>306845897054.54102</v>
      </c>
      <c r="G5" s="8">
        <f>IF(B5="","",_xll.TR(B5,"TR.TotalDebtActValue"))</f>
        <v>54312000000</v>
      </c>
      <c r="H5" s="8">
        <f>IF(B5="","",_xll.TR(B5,"TR.F.CashCashEquivTot"))</f>
        <v>5511000000</v>
      </c>
      <c r="I5" s="8">
        <f>IF(B5="","",_xll.TR(B5,"TR.F.EV"))</f>
        <v>343070000000</v>
      </c>
      <c r="J5" s="17">
        <f>IF(B5="","",_xll.TR(B5,"TR.F.BookValuePerShr"))</f>
        <v>15.7345484957254</v>
      </c>
      <c r="K5" s="14">
        <f>IF(B5="","",_xll.TR(B5,"TR.BetaFiveYear/*Beta 5 Year Monthly*//*Beta 5 Year Monthly*/"))</f>
        <v>0.75352488218508995</v>
      </c>
      <c r="L5" s="69">
        <f>IF(B5="","",_xll.TR(B5,"TR.PriceTargetMean"))</f>
        <v>122.66667</v>
      </c>
    </row>
    <row r="6" spans="1:23" x14ac:dyDescent="0.35">
      <c r="A6" s="3" t="s">
        <v>16</v>
      </c>
      <c r="B6" s="2" t="s">
        <v>15</v>
      </c>
      <c r="C6" s="4">
        <f>IF(B6="","",_xll.TR($B6,"TR.PriceClose","Curn=#1",,$C$1))</f>
        <v>125608.23808984899</v>
      </c>
      <c r="D6" s="11">
        <f>IF(B6="","",_xll.TR(B6,"MAX(TR.PriceHigh(SDate=0D,EDate=0D-364C))/*52 Week High*//*52 Week High*/"))</f>
        <v>112200</v>
      </c>
      <c r="E6" s="8">
        <f>IF(B6="","",_xll.TR(B6,"TR.CompanySharesOutstanding(SDate=0)/*# Shares Outstanding*//*# Shares Outstanding*/"))</f>
        <v>1184719</v>
      </c>
      <c r="F6" s="10">
        <f>IF(B6="","",_xll.TR(B6,"TR.CompanyMarketCap(Sdate=0D)/*Market Cap*//*Market Cap*/"))</f>
        <v>26413768059.6483</v>
      </c>
      <c r="G6" s="8">
        <f>IF(B6="","",_xll.TR(B6,"TR.TotalDebtActValue"))</f>
        <v>1531500000</v>
      </c>
      <c r="H6" s="8">
        <f>IF(B6="","",_xll.TR(B6,"TR.F.CashCashEquivTot"))</f>
        <v>864600000</v>
      </c>
      <c r="I6" s="8">
        <f>IF(B6="","",_xll.TR(B6,"TR.F.EV"))</f>
        <v>23202990050</v>
      </c>
      <c r="J6" s="17">
        <f>IF(B6="","",_xll.TR(B6,"TR.F.BookValuePerShr"))</f>
        <v>18817.305455590398</v>
      </c>
      <c r="K6" s="14">
        <f>IF(B6="","",_xll.TR(B6,"TR.BetaFiveYear/*Beta 5 Year Monthly*//*Beta 5 Year Monthly*/"))</f>
        <v>0.75745685005743202</v>
      </c>
      <c r="L6" s="69">
        <f>IF(B6="","",_xll.TR(B6,"TR.PriceTargetMean"))</f>
        <v>104055.55555999999</v>
      </c>
    </row>
    <row r="7" spans="1:23" x14ac:dyDescent="0.35">
      <c r="A7" s="3" t="s">
        <v>18</v>
      </c>
      <c r="B7" s="2" t="s">
        <v>17</v>
      </c>
      <c r="C7" s="4">
        <f>IF(B7="","",_xll.TR($B7,"TR.PriceClose","Curn=#1",,$C$1))</f>
        <v>40.25</v>
      </c>
      <c r="D7" s="11">
        <f>IF(B7="","",_xll.TR(B7,"MAX(TR.PriceHigh(SDate=0D,EDate=0D-364C))/*52 Week High*//*52 Week High*/"))</f>
        <v>44.87</v>
      </c>
      <c r="E7" s="8">
        <f>IF(B7="","",_xll.TR(B7,"TR.CompanySharesOutstanding(SDate=0)/*# Shares Outstanding*//*# Shares Outstanding*/"))</f>
        <v>1226998926</v>
      </c>
      <c r="F7" s="10">
        <f>IF(B7="","",_xll.TR(B7,"TR.CompanyMarketCap(Sdate=0D)/*Market Cap*//*Market Cap*/"))</f>
        <v>49386706771.5</v>
      </c>
      <c r="G7" s="8">
        <f>IF(B7="","",_xll.TR(B7,"TR.TotalDebtActValue"))</f>
        <v>20070000000</v>
      </c>
      <c r="H7" s="8">
        <f>IF(B7="","",_xll.TR(B7,"TR.F.CashCashEquivTot"))</f>
        <v>1040000000</v>
      </c>
      <c r="I7" s="8">
        <f>IF(B7="","",_xll.TR(B7,"TR.F.EV"))</f>
        <v>69088906976.440002</v>
      </c>
      <c r="J7" s="17">
        <f>IF(B7="","",_xll.TR(B7,"TR.F.BookValuePerShr"))</f>
        <v>39.737142857142899</v>
      </c>
      <c r="K7" s="14">
        <f>IF(B7="","",_xll.TR(B7,"TR.BetaFiveYear/*Beta 5 Year Monthly*//*Beta 5 Year Monthly*/"))</f>
        <v>0.67986610752846399</v>
      </c>
      <c r="L7" s="69">
        <f>IF(B7="","",_xll.TR(B7,"TR.PriceTargetMean"))</f>
        <v>45.111109999999996</v>
      </c>
    </row>
    <row r="8" spans="1:23" x14ac:dyDescent="0.35">
      <c r="A8" s="3" t="s">
        <v>20</v>
      </c>
      <c r="B8" s="2" t="s">
        <v>19</v>
      </c>
      <c r="C8" s="4">
        <f>IF(B8="","",_xll.TR($B8,"TR.PriceClose","Curn=#1",,$C$1))</f>
        <v>71.53</v>
      </c>
      <c r="D8" s="11">
        <f>IF(B8="","",_xll.TR(B8,"MAX(TR.PriceHigh(SDate=0D,EDate=0D-364C))/*52 Week High*//*52 Week High*/"))</f>
        <v>77.17</v>
      </c>
      <c r="E8" s="8">
        <f>IF(B8="","",_xll.TR(B8,"TR.CompanySharesOutstanding(SDate=0)/*# Shares Outstanding*//*# Shares Outstanding*/"))</f>
        <v>342668232</v>
      </c>
      <c r="F8" s="10">
        <f>IF(B8="","",_xll.TR(B8,"TR.CompanyMarketCap(Sdate=0D)/*Market Cap*//*Market Cap*/"))</f>
        <v>24511058634.959999</v>
      </c>
      <c r="G8" s="8">
        <f>IF(B8="","",_xll.TR(B8,"TR.TotalDebtActValue"))</f>
        <v>6564000000</v>
      </c>
      <c r="H8" s="8">
        <f>IF(B8="","",_xll.TR(B8,"TR.F.CashCashEquivTot"))</f>
        <v>299000000</v>
      </c>
      <c r="I8" s="8">
        <f>IF(B8="","",_xll.TR(B8,"TR.F.EV"))</f>
        <v>31011868769.799999</v>
      </c>
      <c r="J8" s="17">
        <f>IF(B8="","",_xll.TR(B8,"TR.F.BookValuePerShr"))</f>
        <v>11.5301370104443</v>
      </c>
      <c r="K8" s="14">
        <f>IF(B8="","",_xll.TR(B8,"TR.BetaFiveYear/*Beta 5 Year Monthly*//*Beta 5 Year Monthly*/"))</f>
        <v>0.41212358184508002</v>
      </c>
      <c r="L8" s="69">
        <f>IF(B8="","",_xll.TR(B8,"TR.PriceTargetMean"))</f>
        <v>72.294120000000007</v>
      </c>
    </row>
    <row r="9" spans="1:23" x14ac:dyDescent="0.35">
      <c r="A9" s="3" t="s">
        <v>55</v>
      </c>
      <c r="B9" s="2" t="s">
        <v>56</v>
      </c>
      <c r="C9" s="4">
        <f>IF(B9="","",_xll.TR($B9,"TR.PriceClose","Curn=#1",,$C$1))</f>
        <v>88.83</v>
      </c>
      <c r="D9" s="11">
        <f>IF(B9="","",_xll.TR(B9,"MAX(TR.PriceHigh(SDate=0D,EDate=0D-364C))/*52 Week High*//*52 Week High*/"))</f>
        <v>89.775000000000006</v>
      </c>
      <c r="E9" s="8">
        <f>IF(B9="","",_xll.TR(B9,"TR.CompanySharesOutstanding(SDate=0)/*# Shares Outstanding*//*# Shares Outstanding*/"))</f>
        <v>587354488</v>
      </c>
      <c r="F9" s="10">
        <f>IF(B9="","",_xll.TR(B9,"TR.CompanyMarketCap(Sdate=0D)/*Market Cap*//*Market Cap*/"))</f>
        <v>52174699169.040001</v>
      </c>
      <c r="G9" s="8">
        <f>IF(B9="","",_xll.TR(B9,"TR.TotalDebtActValue"))</f>
        <v>11620400000</v>
      </c>
      <c r="H9" s="8">
        <f>IF(B9="","",_xll.TR(B9,"TR.F.CashCashEquivTot"))</f>
        <v>569400000</v>
      </c>
      <c r="I9" s="8">
        <f>IF(B9="","",_xll.TR(B9,"TR.F.EV"))</f>
        <v>53135398846.589996</v>
      </c>
      <c r="J9" s="17">
        <f>IF(B9="","",_xll.TR(B9,"TR.F.BookValuePerShr"))</f>
        <v>17.602938720988501</v>
      </c>
      <c r="K9" s="14">
        <f>IF(B9="","",_xll.TR(B9,"TR.BetaFiveYear/*Beta 5 Year Monthly*//*Beta 5 Year Monthly*/"))</f>
        <v>0.255319256790007</v>
      </c>
      <c r="L9" s="69">
        <f>IF(B9="","",_xll.TR(B9,"TR.PriceTargetMean"))</f>
        <v>84.705879999999993</v>
      </c>
    </row>
    <row r="10" spans="1:23" x14ac:dyDescent="0.35">
      <c r="A10" s="3" t="s">
        <v>22</v>
      </c>
      <c r="B10" s="2" t="s">
        <v>21</v>
      </c>
      <c r="C10" s="4">
        <f>IF(B10="","",_xll.TR($B10,"TR.PriceClose","Curn=#1",,$C$1))</f>
        <v>192.18</v>
      </c>
      <c r="D10" s="11">
        <f>IF(B10="","",_xll.TR(B10,"MAX(TR.PriceHigh(SDate=0D,EDate=0D-364C))/*52 Week High*//*52 Week High*/"))</f>
        <v>193.25</v>
      </c>
      <c r="E10" s="8">
        <f>IF(B10="","",_xll.TR(B10,"TR.CompanySharesOutstanding(SDate=0)/*# Shares Outstanding*//*# Shares Outstanding*/"))</f>
        <v>1377693115</v>
      </c>
      <c r="F10" s="10">
        <f>IF(B10="","",_xll.TR(B10,"TR.CompanyMarketCap(Sdate=0D)/*Market Cap*//*Market Cap*/"))</f>
        <v>264765062840.70001</v>
      </c>
      <c r="G10" s="8">
        <f>IF(B10="","",_xll.TR(B10,"TR.TotalDebtActValue"))</f>
        <v>39071000000</v>
      </c>
      <c r="H10" s="8">
        <f>IF(B10="","",_xll.TR(B10,"TR.F.CashCashEquivTot"))</f>
        <v>4954000000</v>
      </c>
      <c r="I10" s="8">
        <f>IF(B10="","",_xll.TR(B10,"TR.F.EV"))</f>
        <v>282743945697.94</v>
      </c>
      <c r="J10" s="17">
        <f>IF(B10="","",_xll.TR(B10,"TR.F.BookValuePerShr"))</f>
        <v>12.4538852578068</v>
      </c>
      <c r="K10" s="14">
        <f>IF(B10="","",_xll.TR(B10,"TR.BetaFiveYear/*Beta 5 Year Monthly*//*Beta 5 Year Monthly*/"))</f>
        <v>0.54544418638419101</v>
      </c>
      <c r="L10" s="69">
        <f>IF(B10="","",_xll.TR(B10,"TR.PriceTargetMean"))</f>
        <v>200.03</v>
      </c>
    </row>
    <row r="11" spans="1:23" x14ac:dyDescent="0.35">
      <c r="A11" s="3"/>
      <c r="C11" s="4" t="str">
        <f>IF(B11="","",_xll.TR($B11,"TR.PriceClose","Curn=#1",,$C$1))</f>
        <v/>
      </c>
      <c r="D11" s="11" t="str">
        <f>IF(B11="","",_xll.TR(B11,"MAX(TR.PriceHigh(SDate=0D,EDate=0D-364C))/*52 Week High*//*52 Week High*/"))</f>
        <v/>
      </c>
      <c r="E11" s="8" t="str">
        <f>IF(B11="","",_xll.TR(B11,"TR.CompanySharesOutstanding(SDate=0)/*# Shares Outstanding*//*# Shares Outstanding*/"))</f>
        <v/>
      </c>
      <c r="F11" s="10" t="str">
        <f>IF(B11="","",_xll.TR(B11,"TR.CompanyMarketCap(Sdate=0D)/*Market Cap*//*Market Cap*/"))</f>
        <v/>
      </c>
      <c r="G11" s="13" t="str">
        <f>IF(B11="","",_xll.TR(B11,"TR.TotalDebtActValue"))</f>
        <v/>
      </c>
      <c r="H11" s="13" t="str">
        <f>IF(B11="","",_xll.TR(B11,"TR.F.CashCashEquivTot"))</f>
        <v/>
      </c>
      <c r="I11" s="13" t="str">
        <f>IF(B11="","",_xll.TR(B11,"TR.F.EV"))</f>
        <v/>
      </c>
      <c r="J11" s="17" t="str">
        <f>IF(B11="","",_xll.TR(B11,"TR.F.BookValuePerShr"))</f>
        <v/>
      </c>
      <c r="K11" s="15"/>
      <c r="L11" s="69" t="str">
        <f>IF(B11="","",_xll.TR(B11,"TR.PriceTargetMean"))</f>
        <v/>
      </c>
    </row>
    <row r="12" spans="1:23" x14ac:dyDescent="0.35">
      <c r="A12" s="5" t="s">
        <v>40</v>
      </c>
      <c r="B12" s="7" t="s">
        <v>2</v>
      </c>
      <c r="C12" s="6">
        <f>IF(B12="","",_xll.TR($B12,"TR.PriceClose","Curn=#1",,$C$1))</f>
        <v>274.20999999999998</v>
      </c>
      <c r="D12" s="12">
        <f>IF(B12="","",_xll.TR(B12,"MAX(TR.PriceHigh(SDate=0D,EDate=0D-364C))/*52 Week High*//*52 Week High*/"))</f>
        <v>276.88049999999998</v>
      </c>
      <c r="E12" s="9">
        <f>IF(B12="","",_xll.TR(B12,"TR.CompanySharesOutstanding(SDate=0)/*# Shares Outstanding*//*# Shares Outstanding*/"))</f>
        <v>204398761</v>
      </c>
      <c r="F12" s="9">
        <f>IF(B12="","",_xll.TR(B12,"TR.CompanyMarketCap(Sdate=0D)/*Market Cap*//*Market Cap*/"))</f>
        <v>56048184253.809998</v>
      </c>
      <c r="G12" s="9">
        <f>IF(B12="","",_xll.TR(B12,"TR.TotalDebtActValue"))</f>
        <v>4791345000</v>
      </c>
      <c r="H12" s="9">
        <f>IF(B12="","",_xll.TR(B12,"TR.F.CashCashEquivTot"))</f>
        <v>463889000</v>
      </c>
      <c r="I12" s="9">
        <f>IF(B12="","",_xll.TR(B12,"TR.F.EV"))</f>
        <v>51818428124.32</v>
      </c>
      <c r="J12" s="18">
        <f>IF(B12="","",_xll.TR(B12,"TR.F.BookValuePerShr"))</f>
        <v>16.098107265944702</v>
      </c>
      <c r="K12" s="16">
        <f>IF(B12="","",_xll.TR(B12,"TR.BetaFiveYear/*Beta 5 Year Monthly*//*Beta 5 Year Monthly*/"))</f>
        <v>0.31612650374925</v>
      </c>
      <c r="L12" s="70">
        <f>IF(B12="","",_xll.TR(B12,"TR.PriceTargetMean"))</f>
        <v>274.52632</v>
      </c>
    </row>
    <row r="14" spans="1:23" x14ac:dyDescent="0.35">
      <c r="A14" s="29"/>
      <c r="B14" s="30"/>
      <c r="C14" s="83" t="s">
        <v>23</v>
      </c>
      <c r="D14" s="83"/>
      <c r="E14" s="83"/>
      <c r="F14" s="83"/>
      <c r="G14" s="83" t="s">
        <v>28</v>
      </c>
      <c r="H14" s="83"/>
      <c r="I14" s="83"/>
      <c r="J14" s="83"/>
      <c r="K14" s="83" t="s">
        <v>29</v>
      </c>
      <c r="L14" s="83"/>
      <c r="M14" s="83"/>
      <c r="N14" s="83" t="s">
        <v>30</v>
      </c>
      <c r="O14" s="83"/>
      <c r="P14" s="83"/>
      <c r="Q14" s="82" t="s">
        <v>31</v>
      </c>
    </row>
    <row r="15" spans="1:23" s="2" customFormat="1" x14ac:dyDescent="0.35">
      <c r="A15" s="30" t="s">
        <v>0</v>
      </c>
      <c r="B15" s="30" t="s">
        <v>1</v>
      </c>
      <c r="C15" s="30" t="s">
        <v>24</v>
      </c>
      <c r="D15" s="30" t="s">
        <v>25</v>
      </c>
      <c r="E15" s="30" t="s">
        <v>26</v>
      </c>
      <c r="F15" s="30" t="s">
        <v>27</v>
      </c>
      <c r="G15" s="30" t="s">
        <v>24</v>
      </c>
      <c r="H15" s="30" t="s">
        <v>25</v>
      </c>
      <c r="I15" s="30" t="s">
        <v>26</v>
      </c>
      <c r="J15" s="30" t="s">
        <v>27</v>
      </c>
      <c r="K15" s="30" t="s">
        <v>24</v>
      </c>
      <c r="L15" s="30" t="s">
        <v>25</v>
      </c>
      <c r="M15" s="30" t="s">
        <v>26</v>
      </c>
      <c r="N15" s="30" t="s">
        <v>24</v>
      </c>
      <c r="O15" s="30" t="s">
        <v>25</v>
      </c>
      <c r="P15" s="30" t="s">
        <v>26</v>
      </c>
      <c r="Q15" s="82"/>
    </row>
    <row r="16" spans="1:23" x14ac:dyDescent="0.35">
      <c r="A16" s="3" t="str">
        <f t="shared" ref="A16:B22" si="0">A4</f>
        <v>Mondelez International Inc</v>
      </c>
      <c r="B16" s="2" t="str">
        <f t="shared" si="0"/>
        <v>MDLZ.O</v>
      </c>
      <c r="C16" s="21">
        <f>IF(B16="","",_xll.TR(B16,"TR.RevenueActValue"))</f>
        <v>31474000000</v>
      </c>
      <c r="D16" s="10">
        <f>IF(B16="","",_xll.TR(B16,"TR.RevenueMean","Period=FY1"))</f>
        <v>35025016620</v>
      </c>
      <c r="E16" s="35">
        <f>IF(B16="","",_xll.TR(B16,"TR.RevenueMean","Period=FY2"))</f>
        <v>36437791000</v>
      </c>
      <c r="F16" s="36">
        <f>IF(B16="","",_xll.TR(B16,"TR.RevenueMean","Period=FY3"))</f>
        <v>37846308290</v>
      </c>
      <c r="G16" s="22">
        <f>IF(B16="","",_xll.TR(B16,"TR.EPSActValue"))</f>
        <v>2.95</v>
      </c>
      <c r="H16" s="33">
        <f>IF(B16="","",_xll.TR(B16,"TR.EPSMean","Period=FY1"))</f>
        <v>3.1762199999999998</v>
      </c>
      <c r="I16" s="33">
        <f>IF(B16="","",_xll.TR(B16,"TR.EPSMean","Period=FY2"))</f>
        <v>3.4685700000000002</v>
      </c>
      <c r="J16" s="33">
        <f>IF(B16="","",_xll.TR(B16,"TR.EPSMean","Period=FY3"))</f>
        <v>3.74139</v>
      </c>
      <c r="K16" s="21">
        <f>IF(B16="","",_xll.TR(B16,"TR.EBITActValue"))</f>
        <v>5029000000</v>
      </c>
      <c r="L16" s="35">
        <f>IF(B16="","",_xll.TR(B16,"TR.EBITMean","Period=FY1"))</f>
        <v>5582184000</v>
      </c>
      <c r="M16" s="36">
        <f>IF(B16="","",_xll.TR(B16,"TR.EBITMean","Period=FY2"))</f>
        <v>5961794320</v>
      </c>
      <c r="N16" s="21">
        <f>IF(B16="","",_xll.TR(B16,"TR.EBITDAActValue"))</f>
        <v>6136000000</v>
      </c>
      <c r="O16" s="35">
        <f>IF(B16="","",_xll.TR(B16,"TR.EBITDAMean","Period=FY1"))</f>
        <v>6798886130</v>
      </c>
      <c r="P16" s="35">
        <f>IF(B16="","",_xll.TR(B16,"TR.EBITDAMean","Period=FY2"))</f>
        <v>7214798060</v>
      </c>
      <c r="Q16" s="31">
        <f>IF(B16="","",_xll.TR(B16,"TR.LTGMean",,)/100)</f>
        <v>8.5833300000000001E-2</v>
      </c>
    </row>
    <row r="17" spans="1:19" x14ac:dyDescent="0.35">
      <c r="A17" s="3" t="str">
        <f t="shared" si="0"/>
        <v>Nestle SA</v>
      </c>
      <c r="B17" s="2" t="str">
        <f t="shared" si="0"/>
        <v>NESN.S</v>
      </c>
      <c r="C17" s="21">
        <f>IF(B17="","",_xll.TR(B17,"TR.RevenueActValue"))</f>
        <v>94424000000</v>
      </c>
      <c r="D17" s="10">
        <f>IF(B17="","",_xll.TR(B17,"TR.RevenueMean","Period=FY1"))</f>
        <v>96839498850</v>
      </c>
      <c r="E17" s="35">
        <f>IF(B17="","",_xll.TR(B17,"TR.RevenueMean","Period=FY2"))</f>
        <v>100991252350</v>
      </c>
      <c r="F17" s="36">
        <f>IF(B17="","",_xll.TR(B17,"TR.RevenueMean","Period=FY3"))</f>
        <v>105661036950</v>
      </c>
      <c r="G17" s="22">
        <f>IF(B17="","",_xll.TR(B17,"TR.EPSActValue"))</f>
        <v>4.8</v>
      </c>
      <c r="H17" s="33">
        <f>IF(B17="","",_xll.TR(B17,"TR.EPSMean","Period=FY1"))</f>
        <v>4.9808000000000003</v>
      </c>
      <c r="I17" s="33">
        <f>IF(B17="","",_xll.TR(B17,"TR.EPSMean","Period=FY2"))</f>
        <v>5.3793699999999998</v>
      </c>
      <c r="J17" s="33">
        <f>IF(B17="","",_xll.TR(B17,"TR.EPSMean","Period=FY3"))</f>
        <v>5.7811300000000001</v>
      </c>
      <c r="K17" s="21">
        <f>IF(B17="","",_xll.TR(B17,"TR.EBITActValue"))</f>
        <v>16103000000</v>
      </c>
      <c r="L17" s="35">
        <f>IF(B17="","",_xll.TR(B17,"TR.EBITMean","Period=FY1"))</f>
        <v>16646643800</v>
      </c>
      <c r="M17" s="36">
        <f>IF(B17="","",_xll.TR(B17,"TR.EBITMean","Period=FY2"))</f>
        <v>17737537800</v>
      </c>
      <c r="N17" s="21">
        <f>IF(B17="","",_xll.TR(B17,"TR.EBITDAActValue"))</f>
        <v>19644000000</v>
      </c>
      <c r="O17" s="35">
        <f>IF(B17="","",_xll.TR(B17,"TR.EBITDAMean","Period=FY1"))</f>
        <v>20405415950</v>
      </c>
      <c r="P17" s="35">
        <f>IF(B17="","",_xll.TR(B17,"TR.EBITDAMean","Period=FY2"))</f>
        <v>21645515400</v>
      </c>
      <c r="Q17" s="31">
        <f>IF(B17="","",_xll.TR(B17,"TR.LTGMean",,)/100)</f>
        <v>7.4020000000000002E-2</v>
      </c>
    </row>
    <row r="18" spans="1:19" x14ac:dyDescent="0.35">
      <c r="A18" s="3" t="str">
        <f t="shared" si="0"/>
        <v>Chocoladefabriken Lindt &amp; Spruengli AG</v>
      </c>
      <c r="B18" s="2" t="str">
        <f t="shared" si="0"/>
        <v>LISN.S</v>
      </c>
      <c r="C18" s="21">
        <f>IF(B18="","",_xll.TR(B18,"TR.RevenueActValue"))</f>
        <v>4970200000</v>
      </c>
      <c r="D18" s="10">
        <f>IF(B18="","",_xll.TR(B18,"TR.RevenueMean","Period=FY1"))</f>
        <v>5245916920</v>
      </c>
      <c r="E18" s="35">
        <f>IF(B18="","",_xll.TR(B18,"TR.RevenueMean","Period=FY2"))</f>
        <v>5597769580</v>
      </c>
      <c r="F18" s="36">
        <f>IF(B18="","",_xll.TR(B18,"TR.RevenueMean","Period=FY3"))</f>
        <v>5974014900</v>
      </c>
      <c r="G18" s="22">
        <f>IF(B18="","",_xll.TR(B18,"TR.EPSActValue"))</f>
        <v>2387.1</v>
      </c>
      <c r="H18" s="33">
        <f>IF(B18="","",_xll.TR(B18,"TR.EPSMean","Period=FY1"))</f>
        <v>2565.7588000000001</v>
      </c>
      <c r="I18" s="33">
        <f>IF(B18="","",_xll.TR(B18,"TR.EPSMean","Period=FY2"))</f>
        <v>2803.2597099999998</v>
      </c>
      <c r="J18" s="33">
        <f>IF(B18="","",_xll.TR(B18,"TR.EPSMean","Period=FY3"))</f>
        <v>3040.8737999999998</v>
      </c>
      <c r="K18" s="21">
        <f>IF(B18="","",_xll.TR(B18,"TR.EBITActValue"))</f>
        <v>744600000</v>
      </c>
      <c r="L18" s="35">
        <f>IF(B18="","",_xll.TR(B18,"TR.EBITMean","Period=FY1"))</f>
        <v>801680420</v>
      </c>
      <c r="M18" s="36">
        <f>IF(B18="","",_xll.TR(B18,"TR.EBITMean","Period=FY2"))</f>
        <v>874646330</v>
      </c>
      <c r="N18" s="21">
        <f>IF(B18="","",_xll.TR(B18,"TR.EBITDAActValue"))</f>
        <v>1017700000</v>
      </c>
      <c r="O18" s="35">
        <f>IF(B18="","",_xll.TR(B18,"TR.EBITDAMean","Period=FY1"))</f>
        <v>1087120580</v>
      </c>
      <c r="P18" s="35">
        <f>IF(B18="","",_xll.TR(B18,"TR.EBITDAMean","Period=FY2"))</f>
        <v>1173550250</v>
      </c>
      <c r="Q18" s="31">
        <f>IF(B18="","",_xll.TR(B18,"TR.LTGMean",,)/100)</f>
        <v>8.7400000000000005E-2</v>
      </c>
    </row>
    <row r="19" spans="1:19" x14ac:dyDescent="0.35">
      <c r="A19" s="3" t="str">
        <f t="shared" si="0"/>
        <v>Kraft Heinz Co</v>
      </c>
      <c r="B19" s="2" t="str">
        <f t="shared" si="0"/>
        <v>KHC.O</v>
      </c>
      <c r="C19" s="21">
        <f>IF(B19="","",_xll.TR(B19,"TR.RevenueActValue"))</f>
        <v>26485000000</v>
      </c>
      <c r="D19" s="10">
        <f>IF(B19="","",_xll.TR(B19,"TR.RevenueMean","Period=FY1"))</f>
        <v>27267206650</v>
      </c>
      <c r="E19" s="35">
        <f>IF(B19="","",_xll.TR(B19,"TR.RevenueMean","Period=FY2"))</f>
        <v>27814548530</v>
      </c>
      <c r="F19" s="36">
        <f>IF(B19="","",_xll.TR(B19,"TR.RevenueMean","Period=FY3"))</f>
        <v>28308895830</v>
      </c>
      <c r="G19" s="22">
        <f>IF(B19="","",_xll.TR(B19,"TR.EPSActValue"))</f>
        <v>2.78</v>
      </c>
      <c r="H19" s="33">
        <f>IF(B19="","",_xll.TR(B19,"TR.EPSMean","Period=FY1"))</f>
        <v>2.8555799999999998</v>
      </c>
      <c r="I19" s="33">
        <f>IF(B19="","",_xll.TR(B19,"TR.EPSMean","Period=FY2"))</f>
        <v>2.9897200000000002</v>
      </c>
      <c r="J19" s="33">
        <f>IF(B19="","",_xll.TR(B19,"TR.EPSMean","Period=FY3"))</f>
        <v>3.1901799999999998</v>
      </c>
      <c r="K19" s="21">
        <f>IF(B19="","",_xll.TR(B19,"TR.EBITActValue"))</f>
        <v>4989000000</v>
      </c>
      <c r="L19" s="35">
        <f>IF(B19="","",_xll.TR(B19,"TR.EBITMean","Period=FY1"))</f>
        <v>5201921000</v>
      </c>
      <c r="M19" s="36">
        <f>IF(B19="","",_xll.TR(B19,"TR.EBITMean","Period=FY2"))</f>
        <v>5433289870</v>
      </c>
      <c r="N19" s="21">
        <f>IF(B19="","",_xll.TR(B19,"TR.EBITDAActValue"))</f>
        <v>6003000000</v>
      </c>
      <c r="O19" s="35">
        <f>IF(B19="","",_xll.TR(B19,"TR.EBITDAMean","Period=FY1"))</f>
        <v>6238053790</v>
      </c>
      <c r="P19" s="35">
        <f>IF(B19="","",_xll.TR(B19,"TR.EBITDAMean","Period=FY2"))</f>
        <v>6507772210</v>
      </c>
      <c r="Q19" s="31">
        <f>IF(B19="","",_xll.TR(B19,"TR.LTGMean",,)/100)</f>
        <v>4.6500000000000007E-2</v>
      </c>
    </row>
    <row r="20" spans="1:19" x14ac:dyDescent="0.35">
      <c r="A20" s="3" t="str">
        <f t="shared" si="0"/>
        <v>Kellogg Co</v>
      </c>
      <c r="B20" s="2" t="str">
        <f t="shared" si="0"/>
        <v>K</v>
      </c>
      <c r="C20" s="21">
        <f>IF(B20="","",_xll.TR(B20,"TR.RevenueActValue"))</f>
        <v>15315000000</v>
      </c>
      <c r="D20" s="10">
        <f>IF(B20="","",_xll.TR(B20,"TR.RevenueMean","Period=FY1"))</f>
        <v>16024414180</v>
      </c>
      <c r="E20" s="35">
        <f>IF(B20="","",_xll.TR(B20,"TR.RevenueMean","Period=FY2"))</f>
        <v>16341859710</v>
      </c>
      <c r="F20" s="36">
        <f>IF(B20="","",_xll.TR(B20,"TR.RevenueMean","Period=FY3"))</f>
        <v>16598552820</v>
      </c>
      <c r="G20" s="22">
        <f>IF(B20="","",_xll.TR(B20,"TR.EPSActValue"))</f>
        <v>4.21</v>
      </c>
      <c r="H20" s="33">
        <f>IF(B20="","",_xll.TR(B20,"TR.EPSMean","Period=FY1"))</f>
        <v>4.0568400000000002</v>
      </c>
      <c r="I20" s="33">
        <f>IF(B20="","",_xll.TR(B20,"TR.EPSMean","Period=FY2"))</f>
        <v>4.2639399999999998</v>
      </c>
      <c r="J20" s="33">
        <f>IF(B20="","",_xll.TR(B20,"TR.EPSMean","Period=FY3"))</f>
        <v>4.5110000000000001</v>
      </c>
      <c r="K20" s="21">
        <f>IF(B20="","",_xll.TR(B20,"TR.EBITActValue"))</f>
        <v>1874000000</v>
      </c>
      <c r="L20" s="35">
        <f>IF(B20="","",_xll.TR(B20,"TR.EBITMean","Period=FY1"))</f>
        <v>1969599400</v>
      </c>
      <c r="M20" s="36">
        <f>IF(B20="","",_xll.TR(B20,"TR.EBITMean","Period=FY2"))</f>
        <v>2052986630</v>
      </c>
      <c r="N20" s="21">
        <f>IF(B20="","",_xll.TR(B20,"TR.EBITDAActValue"))</f>
        <v>2352000000</v>
      </c>
      <c r="O20" s="35">
        <f>IF(B20="","",_xll.TR(B20,"TR.EBITDAMean","Period=FY1"))</f>
        <v>2464446790</v>
      </c>
      <c r="P20" s="35">
        <f>IF(B20="","",_xll.TR(B20,"TR.EBITDAMean","Period=FY2"))</f>
        <v>2566934570</v>
      </c>
      <c r="Q20" s="31">
        <f>IF(B20="","",_xll.TR(B20,"TR.LTGMean",,)/100)</f>
        <v>3.1300000000000001E-2</v>
      </c>
    </row>
    <row r="21" spans="1:19" x14ac:dyDescent="0.35">
      <c r="A21" s="3" t="str">
        <f t="shared" si="0"/>
        <v>General Mills Inc</v>
      </c>
      <c r="B21" s="2" t="str">
        <f t="shared" si="0"/>
        <v>GIS.N</v>
      </c>
      <c r="C21" s="21">
        <f>IF(B21="","",_xll.TR(B21,"TR.RevenueActValue"))</f>
        <v>18992800000</v>
      </c>
      <c r="D21" s="10">
        <f>IF(B21="","",_xll.TR(B21,"TR.RevenueMean","Period=FY1"))</f>
        <v>20218412810</v>
      </c>
      <c r="E21" s="35">
        <f>IF(B21="","",_xll.TR(B21,"TR.RevenueMean","Period=FY2"))</f>
        <v>20827502750</v>
      </c>
      <c r="F21" s="36">
        <f>IF(B21="","",_xll.TR(B21,"TR.RevenueMean","Period=FY3"))</f>
        <v>21239800920</v>
      </c>
      <c r="G21" s="22">
        <f>IF(B21="","",_xll.TR(B21,"TR.EPSActValue"))</f>
        <v>3.94</v>
      </c>
      <c r="H21" s="33">
        <f>IF(B21="","",_xll.TR(B21,"TR.EPSMean","Period=FY1"))</f>
        <v>4.2430000000000003</v>
      </c>
      <c r="I21" s="33">
        <f>IF(B21="","",_xll.TR(B21,"TR.EPSMean","Period=FY2"))</f>
        <v>4.48895</v>
      </c>
      <c r="J21" s="33">
        <f>IF(B21="","",_xll.TR(B21,"TR.EPSMean","Period=FY3"))</f>
        <v>4.7657699999999998</v>
      </c>
      <c r="K21" s="21">
        <f>IF(B21="","",_xll.TR(B21,"TR.EBITActValue"))</f>
        <v>3213300000</v>
      </c>
      <c r="L21" s="35">
        <f>IF(B21="","",_xll.TR(B21,"TR.EBITMean","Period=FY1"))</f>
        <v>3441738560</v>
      </c>
      <c r="M21" s="36">
        <f>IF(B21="","",_xll.TR(B21,"TR.EBITMean","Period=FY2"))</f>
        <v>3623569440</v>
      </c>
      <c r="N21" s="21">
        <f>IF(B21="","",_xll.TR(B21,"TR.EBITDAActValue"))</f>
        <v>3783600000</v>
      </c>
      <c r="O21" s="35">
        <f>IF(B21="","",_xll.TR(B21,"TR.EBITDAMean","Period=FY1"))</f>
        <v>4015436920</v>
      </c>
      <c r="P21" s="35">
        <f>IF(B21="","",_xll.TR(B21,"TR.EBITDAMean","Period=FY2"))</f>
        <v>4228110290</v>
      </c>
      <c r="Q21" s="31">
        <f>IF(B21="","",_xll.TR(B21,"TR.LTGMean",,)/100)</f>
        <v>7.0400000000000004E-2</v>
      </c>
    </row>
    <row r="22" spans="1:19" x14ac:dyDescent="0.35">
      <c r="A22" s="3" t="str">
        <f t="shared" si="0"/>
        <v>PepsiCo Inc</v>
      </c>
      <c r="B22" s="2" t="str">
        <f t="shared" si="0"/>
        <v>PEP.O</v>
      </c>
      <c r="C22" s="21">
        <f>IF(B22="","",_xll.TR(B22,"TR.RevenueActValue"))</f>
        <v>86392000000</v>
      </c>
      <c r="D22" s="10">
        <f>IF(B22="","",_xll.TR(B22,"TR.RevenueMean","Period=FY1"))</f>
        <v>91068210530</v>
      </c>
      <c r="E22" s="35">
        <f>IF(B22="","",_xll.TR(B22,"TR.RevenueMean","Period=FY2"))</f>
        <v>95516861120</v>
      </c>
      <c r="F22" s="36">
        <f>IF(B22="","",_xll.TR(B22,"TR.RevenueMean","Period=FY3"))</f>
        <v>99875391640</v>
      </c>
      <c r="G22" s="22">
        <f>IF(B22="","",_xll.TR(B22,"TR.EPSActValue"))</f>
        <v>6.79</v>
      </c>
      <c r="H22" s="33">
        <f>IF(B22="","",_xll.TR(B22,"TR.EPSMean","Period=FY1"))</f>
        <v>7.3222500000000004</v>
      </c>
      <c r="I22" s="33">
        <f>IF(B22="","",_xll.TR(B22,"TR.EPSMean","Period=FY2"))</f>
        <v>7.9421400000000002</v>
      </c>
      <c r="J22" s="33">
        <f>IF(B22="","",_xll.TR(B22,"TR.EPSMean","Period=FY3"))</f>
        <v>8.5865500000000008</v>
      </c>
      <c r="K22" s="21">
        <f>IF(B22="","",_xll.TR(B22,"TR.EBITActValue"))</f>
        <v>12325000000</v>
      </c>
      <c r="L22" s="35">
        <f>IF(B22="","",_xll.TR(B22,"TR.EBITMean","Period=FY1"))</f>
        <v>13470307750</v>
      </c>
      <c r="M22" s="36">
        <f>IF(B22="","",_xll.TR(B22,"TR.EBITMean","Period=FY2"))</f>
        <v>14463673630</v>
      </c>
      <c r="N22" s="21">
        <f>IF(B22="","",_xll.TR(B22,"TR.EBITDAActValue"))</f>
        <v>15088000000</v>
      </c>
      <c r="O22" s="35">
        <f>IF(B22="","",_xll.TR(B22,"TR.EBITDAMean","Period=FY1"))</f>
        <v>16373899540</v>
      </c>
      <c r="P22" s="35">
        <f>IF(B22="","",_xll.TR(B22,"TR.EBITDAMean","Period=FY2"))</f>
        <v>17848884460</v>
      </c>
      <c r="Q22" s="31">
        <f>IF(B22="","",_xll.TR(B22,"TR.LTGMean",,)/100)</f>
        <v>7.8049999999999994E-2</v>
      </c>
    </row>
    <row r="23" spans="1:19" x14ac:dyDescent="0.35">
      <c r="A23" s="3"/>
      <c r="C23" s="21" t="str">
        <f>IF(B23="","",_xll.TR(B23,"TR.RevenueActValue"))</f>
        <v/>
      </c>
      <c r="D23" s="10" t="str">
        <f>IF(B23="","",_xll.TR(B23,"TR.RevenueMean","Period=FY1"))</f>
        <v/>
      </c>
      <c r="E23" s="35" t="str">
        <f>IF(B23="","",_xll.TR(B23,"TR.RevenueMean","Period=FY2"))</f>
        <v/>
      </c>
      <c r="F23" s="36" t="str">
        <f>IF(B23="","",_xll.TR(B23,"TR.RevenueMean","Period=FY3"))</f>
        <v/>
      </c>
      <c r="G23" s="22" t="str">
        <f>IF(B23="","",_xll.TR(B23,"TR.EPSActValue"))</f>
        <v/>
      </c>
      <c r="H23" s="33" t="str">
        <f>IF(B23="","",_xll.TR(B23,"TR.EPSMean","Period=FY1"))</f>
        <v/>
      </c>
      <c r="I23" s="33" t="str">
        <f>IF(B23="","",_xll.TR(B23,"TR.EPSMean","Period=FY2"))</f>
        <v/>
      </c>
      <c r="J23" s="33" t="str">
        <f>IF(B23="","",_xll.TR(B23,"TR.EPSMean","Period=FY3"))</f>
        <v/>
      </c>
      <c r="K23" s="21" t="str">
        <f>IF(B23="","",_xll.TR(B23,"TR.EBITActValue"))</f>
        <v/>
      </c>
      <c r="L23" s="35" t="str">
        <f>IF(B23="","",_xll.TR(B23,"TR.EBITMean","Period=FY1"))</f>
        <v/>
      </c>
      <c r="M23" s="36" t="str">
        <f>IF(B23="","",_xll.TR(B23,"TR.EBITMean","Period=FY2"))</f>
        <v/>
      </c>
      <c r="N23" s="21" t="str">
        <f>IF(B23="","",_xll.TR(B23,"TR.EBITDAActValue"))</f>
        <v/>
      </c>
      <c r="O23" s="35" t="str">
        <f>IF(B23="","",_xll.TR(B23,"TR.EBITDAMean","Period=FY1"))</f>
        <v/>
      </c>
      <c r="P23" s="35" t="str">
        <f>IF(B23="","",_xll.TR(B23,"TR.EBITDAMean","Period=FY2"))</f>
        <v/>
      </c>
      <c r="Q23" s="31" t="str">
        <f>IF(B23="","",_xll.TR(B23,"TR.LTGMean",,)/100)</f>
        <v/>
      </c>
    </row>
    <row r="24" spans="1:19" x14ac:dyDescent="0.35">
      <c r="A24" s="5" t="str">
        <f>A12</f>
        <v>Hershey Co</v>
      </c>
      <c r="B24" s="7" t="str">
        <f>B12</f>
        <v>HSY</v>
      </c>
      <c r="C24" s="28">
        <f>IF(B24="","",_xll.TR(B24,"TR.RevenueActValue"))</f>
        <v>10419294000</v>
      </c>
      <c r="D24" s="37">
        <f>IF(B24="","",_xll.TR(B24,"TR.RevenueMean","Period=FY1"))</f>
        <v>11260784840</v>
      </c>
      <c r="E24" s="37">
        <f>IF(B24="","",_xll.TR(B24,"TR.RevenueMean","Period=FY2"))</f>
        <v>11748374420</v>
      </c>
      <c r="F24" s="38">
        <f>IF(B24="","",_xll.TR(B24,"TR.RevenueMean","Period=FY3"))</f>
        <v>12142928460</v>
      </c>
      <c r="G24" s="23">
        <f>IF(B24="","",_xll.TR(B24,"TR.EPSActValue"))</f>
        <v>8.52</v>
      </c>
      <c r="H24" s="34">
        <f>IF(B24="","",_xll.TR(B24,"TR.EPSMean","Period=FY1"))</f>
        <v>9.5015199999999993</v>
      </c>
      <c r="I24" s="34">
        <f>IF(B24="","",_xll.TR(B24,"TR.EPSMean","Period=FY2"))</f>
        <v>10.280379999999999</v>
      </c>
      <c r="J24" s="34">
        <f>IF(B24="","",_xll.TR(B24,"TR.EPSMean","Period=FY3"))</f>
        <v>11.036250000000001</v>
      </c>
      <c r="K24" s="28">
        <f>IF(B24="","",_xll.TR(B24,"TR.EBITActValue"))</f>
        <v>2405436000</v>
      </c>
      <c r="L24" s="37">
        <f>IF(B24="","",_xll.TR(B24,"TR.EBITMean","Period=FY1"))</f>
        <v>2660112470</v>
      </c>
      <c r="M24" s="38">
        <f>IF(B24="","",_xll.TR(B24,"TR.EBITMean","Period=FY2"))</f>
        <v>2816212240</v>
      </c>
      <c r="N24" s="28">
        <f>IF(B24="","",_xll.TR(B24,"TR.EBITDAActValue"))</f>
        <v>2784395000</v>
      </c>
      <c r="O24" s="37">
        <f>IF(B24="","",_xll.TR(B24,"TR.EBITDAMean","Period=FY1"))</f>
        <v>3055900810</v>
      </c>
      <c r="P24" s="38">
        <f>IF(B24="","",_xll.TR(B24,"TR.EBITDAMean","Period=FY2"))</f>
        <v>3235060560</v>
      </c>
      <c r="Q24" s="32">
        <f>IF(B24="","",_xll.TR(B24,"TR.LTGMean",,)/100)</f>
        <v>9.3599999999999989E-2</v>
      </c>
    </row>
    <row r="26" spans="1:19" x14ac:dyDescent="0.35">
      <c r="A26" s="29"/>
      <c r="B26" s="30"/>
      <c r="C26" s="82" t="s">
        <v>3</v>
      </c>
      <c r="D26" s="82" t="s">
        <v>32</v>
      </c>
      <c r="E26" s="83" t="s">
        <v>33</v>
      </c>
      <c r="F26" s="83"/>
      <c r="G26" s="83"/>
      <c r="H26" s="83" t="s">
        <v>34</v>
      </c>
      <c r="I26" s="83"/>
      <c r="J26" s="83"/>
      <c r="K26" s="83" t="s">
        <v>35</v>
      </c>
      <c r="L26" s="83"/>
      <c r="M26" s="83"/>
      <c r="N26" s="83" t="s">
        <v>36</v>
      </c>
      <c r="O26" s="83"/>
      <c r="P26" s="83"/>
      <c r="Q26" s="83" t="s">
        <v>54</v>
      </c>
      <c r="R26" s="83"/>
      <c r="S26" s="83"/>
    </row>
    <row r="27" spans="1:19" x14ac:dyDescent="0.35">
      <c r="A27" s="30" t="s">
        <v>0</v>
      </c>
      <c r="B27" s="30" t="s">
        <v>1</v>
      </c>
      <c r="C27" s="82"/>
      <c r="D27" s="82"/>
      <c r="E27" s="30" t="s">
        <v>25</v>
      </c>
      <c r="F27" s="30" t="s">
        <v>26</v>
      </c>
      <c r="G27" s="30" t="s">
        <v>27</v>
      </c>
      <c r="H27" s="30" t="s">
        <v>25</v>
      </c>
      <c r="I27" s="30" t="s">
        <v>26</v>
      </c>
      <c r="J27" s="30" t="s">
        <v>27</v>
      </c>
      <c r="K27" s="30" t="s">
        <v>25</v>
      </c>
      <c r="L27" s="30" t="s">
        <v>26</v>
      </c>
      <c r="M27" s="30" t="s">
        <v>27</v>
      </c>
      <c r="N27" s="30" t="s">
        <v>24</v>
      </c>
      <c r="O27" s="30" t="s">
        <v>25</v>
      </c>
      <c r="P27" s="30" t="s">
        <v>26</v>
      </c>
      <c r="Q27" s="30" t="s">
        <v>25</v>
      </c>
      <c r="R27" s="30" t="s">
        <v>26</v>
      </c>
      <c r="S27" s="30" t="s">
        <v>27</v>
      </c>
    </row>
    <row r="28" spans="1:19" x14ac:dyDescent="0.35">
      <c r="A28" s="3" t="str">
        <f t="shared" ref="A28:C34" si="1">A4</f>
        <v>Mondelez International Inc</v>
      </c>
      <c r="B28" s="2" t="str">
        <f t="shared" si="1"/>
        <v>MDLZ.O</v>
      </c>
      <c r="C28" s="19">
        <f t="shared" si="1"/>
        <v>77.02</v>
      </c>
      <c r="D28" s="24">
        <f t="shared" ref="D28:D34" si="2">C28/J4</f>
        <v>3.9132883915046728</v>
      </c>
      <c r="E28" s="39">
        <f t="shared" ref="E28:G34" si="3">$C28/(D16/$E4)</f>
        <v>2.9947153909142097</v>
      </c>
      <c r="F28" s="24">
        <f t="shared" si="3"/>
        <v>2.8786035997335842</v>
      </c>
      <c r="G28" s="40">
        <f t="shared" si="3"/>
        <v>2.7714712762791374</v>
      </c>
      <c r="H28" s="24">
        <f t="shared" ref="H28:J34" si="4">$C28/H16</f>
        <v>24.24895000976003</v>
      </c>
      <c r="I28" s="24">
        <f t="shared" si="4"/>
        <v>22.205116229454788</v>
      </c>
      <c r="J28" s="40">
        <f t="shared" si="4"/>
        <v>20.585931966461661</v>
      </c>
      <c r="K28" s="24">
        <f t="shared" ref="K28:M34" si="5">H28/$Q16</f>
        <v>282.51214866211632</v>
      </c>
      <c r="L28" s="24">
        <f t="shared" si="5"/>
        <v>258.70048372199119</v>
      </c>
      <c r="M28" s="40">
        <f t="shared" si="5"/>
        <v>239.83619372040528</v>
      </c>
      <c r="N28" s="24">
        <f t="shared" ref="N28:P34" si="6">$I4/N16</f>
        <v>18.263603904530637</v>
      </c>
      <c r="O28" s="24">
        <f t="shared" si="6"/>
        <v>16.482916674205278</v>
      </c>
      <c r="P28" s="40">
        <f t="shared" si="6"/>
        <v>15.532724911527184</v>
      </c>
      <c r="Q28" s="24">
        <f t="shared" ref="Q28:S34" si="7">$I4/D16</f>
        <v>3.1995837367913857</v>
      </c>
      <c r="R28" s="24">
        <f t="shared" si="7"/>
        <v>3.0755287431721641</v>
      </c>
      <c r="S28" s="40">
        <f t="shared" si="7"/>
        <v>2.9610675022644326</v>
      </c>
    </row>
    <row r="29" spans="1:19" x14ac:dyDescent="0.35">
      <c r="A29" s="3" t="str">
        <f t="shared" si="1"/>
        <v>Nestle SA</v>
      </c>
      <c r="B29" s="2" t="str">
        <f t="shared" si="1"/>
        <v>NESN.S</v>
      </c>
      <c r="C29" s="19">
        <f t="shared" si="1"/>
        <v>131.402059522462</v>
      </c>
      <c r="D29" s="24">
        <f t="shared" si="2"/>
        <v>8.3511808145089095</v>
      </c>
      <c r="E29" s="39">
        <f t="shared" si="3"/>
        <v>3.6229379859597808</v>
      </c>
      <c r="F29" s="24">
        <f t="shared" si="3"/>
        <v>3.4739988935781674</v>
      </c>
      <c r="G29" s="40">
        <f t="shared" si="3"/>
        <v>3.3204623866316645</v>
      </c>
      <c r="H29" s="24">
        <f t="shared" si="4"/>
        <v>26.381717700462172</v>
      </c>
      <c r="I29" s="24">
        <f t="shared" si="4"/>
        <v>24.427035047312604</v>
      </c>
      <c r="J29" s="40">
        <f t="shared" si="4"/>
        <v>22.729476680590473</v>
      </c>
      <c r="K29" s="24">
        <f t="shared" si="5"/>
        <v>356.41337071686263</v>
      </c>
      <c r="L29" s="24">
        <f t="shared" si="5"/>
        <v>330.00587742924347</v>
      </c>
      <c r="M29" s="40">
        <f t="shared" si="5"/>
        <v>307.07209781937951</v>
      </c>
      <c r="N29" s="24">
        <f t="shared" si="6"/>
        <v>17.464365709631441</v>
      </c>
      <c r="O29" s="24">
        <f t="shared" si="6"/>
        <v>16.812693298712198</v>
      </c>
      <c r="P29" s="40">
        <f t="shared" si="6"/>
        <v>15.849472450076194</v>
      </c>
      <c r="Q29" s="24">
        <f t="shared" si="7"/>
        <v>3.5426659996599104</v>
      </c>
      <c r="R29" s="24">
        <f t="shared" si="7"/>
        <v>3.397026891111723</v>
      </c>
      <c r="S29" s="40">
        <f t="shared" si="7"/>
        <v>3.2468922310723167</v>
      </c>
    </row>
    <row r="30" spans="1:19" x14ac:dyDescent="0.35">
      <c r="A30" s="3" t="str">
        <f t="shared" si="1"/>
        <v>Chocoladefabriken Lindt &amp; Spruengli AG</v>
      </c>
      <c r="B30" s="2" t="str">
        <f t="shared" si="1"/>
        <v>LISN.S</v>
      </c>
      <c r="C30" s="19">
        <f t="shared" si="1"/>
        <v>125608.23808984899</v>
      </c>
      <c r="D30" s="24">
        <f t="shared" si="2"/>
        <v>6.6751447695999575</v>
      </c>
      <c r="E30" s="39">
        <f t="shared" si="3"/>
        <v>28.366912494216134</v>
      </c>
      <c r="F30" s="24">
        <f t="shared" si="3"/>
        <v>26.583885616379337</v>
      </c>
      <c r="G30" s="40">
        <f t="shared" si="3"/>
        <v>24.909624216298457</v>
      </c>
      <c r="H30" s="24">
        <f t="shared" si="4"/>
        <v>48.955590872317771</v>
      </c>
      <c r="I30" s="24">
        <f t="shared" si="4"/>
        <v>44.807920451241031</v>
      </c>
      <c r="J30" s="40">
        <f t="shared" si="4"/>
        <v>41.306626434102263</v>
      </c>
      <c r="K30" s="24">
        <f t="shared" si="5"/>
        <v>560.13261867640472</v>
      </c>
      <c r="L30" s="24">
        <f t="shared" si="5"/>
        <v>512.67643536889045</v>
      </c>
      <c r="M30" s="40">
        <f t="shared" si="5"/>
        <v>472.6158630904149</v>
      </c>
      <c r="N30" s="24">
        <f t="shared" si="6"/>
        <v>22.799439962660902</v>
      </c>
      <c r="O30" s="24">
        <f t="shared" si="6"/>
        <v>21.343529390272419</v>
      </c>
      <c r="P30" s="40">
        <f t="shared" si="6"/>
        <v>19.771620388645481</v>
      </c>
      <c r="Q30" s="24">
        <f t="shared" si="7"/>
        <v>4.4230570944688159</v>
      </c>
      <c r="R30" s="24">
        <f t="shared" si="7"/>
        <v>4.1450420061770386</v>
      </c>
      <c r="S30" s="40">
        <f t="shared" si="7"/>
        <v>3.8839859689670342</v>
      </c>
    </row>
    <row r="31" spans="1:19" x14ac:dyDescent="0.35">
      <c r="A31" s="3" t="str">
        <f t="shared" si="1"/>
        <v>Kraft Heinz Co</v>
      </c>
      <c r="B31" s="2" t="str">
        <f t="shared" si="1"/>
        <v>KHC.O</v>
      </c>
      <c r="C31" s="19">
        <f t="shared" si="1"/>
        <v>40.25</v>
      </c>
      <c r="D31" s="24">
        <f t="shared" si="2"/>
        <v>1.0129062410123659</v>
      </c>
      <c r="E31" s="39">
        <f t="shared" si="3"/>
        <v>1.8112125457302757</v>
      </c>
      <c r="F31" s="24">
        <f t="shared" si="3"/>
        <v>1.7755710367987052</v>
      </c>
      <c r="G31" s="40">
        <f t="shared" si="3"/>
        <v>1.7445649264484224</v>
      </c>
      <c r="H31" s="24">
        <f t="shared" si="4"/>
        <v>14.095210079913715</v>
      </c>
      <c r="I31" s="24">
        <f t="shared" si="4"/>
        <v>13.462799191897568</v>
      </c>
      <c r="J31" s="40">
        <f t="shared" si="4"/>
        <v>12.61684293676219</v>
      </c>
      <c r="K31" s="24">
        <f t="shared" si="5"/>
        <v>303.12279741749921</v>
      </c>
      <c r="L31" s="24">
        <f t="shared" si="5"/>
        <v>289.52256326661433</v>
      </c>
      <c r="M31" s="40">
        <f t="shared" si="5"/>
        <v>271.32995562929437</v>
      </c>
      <c r="N31" s="24">
        <f t="shared" si="6"/>
        <v>11.509063297757788</v>
      </c>
      <c r="O31" s="24">
        <f t="shared" si="6"/>
        <v>11.075394554499345</v>
      </c>
      <c r="P31" s="40">
        <f t="shared" si="6"/>
        <v>10.616368358787408</v>
      </c>
      <c r="Q31" s="24">
        <f t="shared" si="7"/>
        <v>2.5337728159418926</v>
      </c>
      <c r="R31" s="24">
        <f t="shared" si="7"/>
        <v>2.4839125791282437</v>
      </c>
      <c r="S31" s="40">
        <f t="shared" si="7"/>
        <v>2.4405369743606848</v>
      </c>
    </row>
    <row r="32" spans="1:19" x14ac:dyDescent="0.35">
      <c r="A32" s="3" t="str">
        <f t="shared" si="1"/>
        <v>Kellogg Co</v>
      </c>
      <c r="B32" s="2" t="str">
        <f t="shared" si="1"/>
        <v>K</v>
      </c>
      <c r="C32" s="19">
        <f t="shared" si="1"/>
        <v>71.53</v>
      </c>
      <c r="D32" s="24">
        <f t="shared" si="2"/>
        <v>6.20374241305253</v>
      </c>
      <c r="E32" s="39">
        <f t="shared" si="3"/>
        <v>1.5296071581544703</v>
      </c>
      <c r="F32" s="24">
        <f t="shared" si="3"/>
        <v>1.4998940799841196</v>
      </c>
      <c r="G32" s="40">
        <f t="shared" si="3"/>
        <v>1.4766985351533799</v>
      </c>
      <c r="H32" s="24">
        <f t="shared" si="4"/>
        <v>17.631949990633103</v>
      </c>
      <c r="I32" s="24">
        <f t="shared" si="4"/>
        <v>16.775564384114222</v>
      </c>
      <c r="J32" s="40">
        <f t="shared" si="4"/>
        <v>15.856794502327643</v>
      </c>
      <c r="K32" s="24">
        <f t="shared" si="5"/>
        <v>563.32108596271894</v>
      </c>
      <c r="L32" s="24">
        <f t="shared" si="5"/>
        <v>535.96052345412852</v>
      </c>
      <c r="M32" s="40">
        <f t="shared" si="5"/>
        <v>506.60685310950936</v>
      </c>
      <c r="N32" s="24">
        <f t="shared" si="6"/>
        <v>13.185318354506803</v>
      </c>
      <c r="O32" s="24">
        <f t="shared" si="6"/>
        <v>12.583703935356624</v>
      </c>
      <c r="P32" s="40">
        <f t="shared" si="6"/>
        <v>12.081285254497157</v>
      </c>
      <c r="Q32" s="24">
        <f t="shared" si="7"/>
        <v>1.9352887675922514</v>
      </c>
      <c r="R32" s="24">
        <f t="shared" si="7"/>
        <v>1.8976952023901568</v>
      </c>
      <c r="S32" s="40">
        <f t="shared" si="7"/>
        <v>1.868347747306804</v>
      </c>
    </row>
    <row r="33" spans="1:19" x14ac:dyDescent="0.35">
      <c r="A33" s="3" t="str">
        <f t="shared" si="1"/>
        <v>General Mills Inc</v>
      </c>
      <c r="B33" s="2" t="str">
        <f t="shared" si="1"/>
        <v>GIS.N</v>
      </c>
      <c r="C33" s="19">
        <f t="shared" si="1"/>
        <v>88.83</v>
      </c>
      <c r="D33" s="24">
        <f t="shared" si="2"/>
        <v>5.0463164933980815</v>
      </c>
      <c r="E33" s="39">
        <f t="shared" si="3"/>
        <v>2.5805536596440679</v>
      </c>
      <c r="F33" s="24">
        <f t="shared" si="3"/>
        <v>2.5050866537055194</v>
      </c>
      <c r="G33" s="40">
        <f t="shared" si="3"/>
        <v>2.4564589548441025</v>
      </c>
      <c r="H33" s="24">
        <f t="shared" si="4"/>
        <v>20.935658732029221</v>
      </c>
      <c r="I33" s="24">
        <f t="shared" si="4"/>
        <v>19.788591986990276</v>
      </c>
      <c r="J33" s="40">
        <f t="shared" si="4"/>
        <v>18.639170585235963</v>
      </c>
      <c r="K33" s="24">
        <f t="shared" si="5"/>
        <v>297.38151607996053</v>
      </c>
      <c r="L33" s="24">
        <f t="shared" si="5"/>
        <v>281.08795436065731</v>
      </c>
      <c r="M33" s="40">
        <f t="shared" si="5"/>
        <v>264.76094581301084</v>
      </c>
      <c r="N33" s="24">
        <f t="shared" si="6"/>
        <v>14.043608956176657</v>
      </c>
      <c r="O33" s="24">
        <f t="shared" si="6"/>
        <v>13.232781364820941</v>
      </c>
      <c r="P33" s="40">
        <f t="shared" si="6"/>
        <v>12.567174269853306</v>
      </c>
      <c r="Q33" s="24">
        <f t="shared" si="7"/>
        <v>2.6280697375171456</v>
      </c>
      <c r="R33" s="24">
        <f t="shared" si="7"/>
        <v>2.5512131475575006</v>
      </c>
      <c r="S33" s="40">
        <f t="shared" si="7"/>
        <v>2.5016900604071197</v>
      </c>
    </row>
    <row r="34" spans="1:19" x14ac:dyDescent="0.35">
      <c r="A34" s="3" t="str">
        <f t="shared" si="1"/>
        <v>PepsiCo Inc</v>
      </c>
      <c r="B34" s="2" t="str">
        <f t="shared" si="1"/>
        <v>PEP.O</v>
      </c>
      <c r="C34" s="19">
        <f t="shared" si="1"/>
        <v>192.18</v>
      </c>
      <c r="D34" s="24">
        <f t="shared" si="2"/>
        <v>15.431328940463034</v>
      </c>
      <c r="E34" s="39">
        <f t="shared" si="3"/>
        <v>2.9073269508626192</v>
      </c>
      <c r="F34" s="24">
        <f t="shared" si="3"/>
        <v>2.7719196352994646</v>
      </c>
      <c r="G34" s="40">
        <f t="shared" si="3"/>
        <v>2.6509539386342875</v>
      </c>
      <c r="H34" s="24">
        <f t="shared" si="4"/>
        <v>26.24603093311482</v>
      </c>
      <c r="I34" s="24">
        <f t="shared" si="4"/>
        <v>24.197508480082195</v>
      </c>
      <c r="J34" s="40">
        <f t="shared" si="4"/>
        <v>22.381515276799178</v>
      </c>
      <c r="K34" s="24">
        <f t="shared" si="5"/>
        <v>336.27201708026678</v>
      </c>
      <c r="L34" s="24">
        <f t="shared" si="5"/>
        <v>310.02573324897111</v>
      </c>
      <c r="M34" s="40">
        <f t="shared" si="5"/>
        <v>286.75868387955387</v>
      </c>
      <c r="N34" s="24">
        <f t="shared" si="6"/>
        <v>18.739657058453076</v>
      </c>
      <c r="O34" s="24">
        <f t="shared" si="6"/>
        <v>17.267966314757299</v>
      </c>
      <c r="P34" s="40">
        <f t="shared" si="6"/>
        <v>15.840986944118523</v>
      </c>
      <c r="Q34" s="24">
        <f t="shared" si="7"/>
        <v>3.1047491111598986</v>
      </c>
      <c r="R34" s="24">
        <f t="shared" si="7"/>
        <v>2.9601469560722098</v>
      </c>
      <c r="S34" s="40">
        <f t="shared" si="7"/>
        <v>2.8309670786282184</v>
      </c>
    </row>
    <row r="35" spans="1:19" x14ac:dyDescent="0.35">
      <c r="A35" s="3"/>
      <c r="C35" s="19" t="str">
        <f>C11</f>
        <v/>
      </c>
      <c r="D35" s="24"/>
      <c r="E35" s="41"/>
      <c r="F35" s="24"/>
      <c r="G35" s="40"/>
      <c r="H35" s="24"/>
      <c r="I35" s="24"/>
      <c r="J35" s="40"/>
      <c r="K35" s="24"/>
      <c r="L35" s="24"/>
      <c r="M35" s="40"/>
      <c r="N35" s="24"/>
      <c r="O35" s="24"/>
      <c r="P35" s="40"/>
      <c r="Q35" s="24"/>
      <c r="R35" s="24"/>
      <c r="S35" s="40"/>
    </row>
    <row r="36" spans="1:19" x14ac:dyDescent="0.35">
      <c r="A36" s="5" t="str">
        <f>A12</f>
        <v>Hershey Co</v>
      </c>
      <c r="B36" s="7" t="str">
        <f>B12</f>
        <v>HSY</v>
      </c>
      <c r="C36" s="20">
        <f>C12</f>
        <v>274.20999999999998</v>
      </c>
      <c r="D36" s="25">
        <f>C36/J12</f>
        <v>17.033679517099941</v>
      </c>
      <c r="E36" s="42">
        <f>$C36/(D24/$E12)</f>
        <v>4.9772893319760829</v>
      </c>
      <c r="F36" s="43">
        <f>$C36/(E24/$E12)</f>
        <v>4.7707182500410976</v>
      </c>
      <c r="G36" s="44">
        <f>$C36/(F24/$E12)</f>
        <v>4.6157057120478164</v>
      </c>
      <c r="H36" s="43">
        <f>$C36/H24</f>
        <v>28.859592991437161</v>
      </c>
      <c r="I36" s="43">
        <f>$C36/I24</f>
        <v>26.673138541571422</v>
      </c>
      <c r="J36" s="44">
        <f>$C36/J24</f>
        <v>24.846301959451804</v>
      </c>
      <c r="K36" s="42">
        <f>H36/$Q24</f>
        <v>308.32898495125175</v>
      </c>
      <c r="L36" s="43">
        <f>I36/$Q24</f>
        <v>284.96942886294261</v>
      </c>
      <c r="M36" s="44">
        <f>J36/$Q24</f>
        <v>265.45194401123723</v>
      </c>
      <c r="N36" s="43">
        <f>$I12/N24</f>
        <v>18.610300666507445</v>
      </c>
      <c r="O36" s="43">
        <f>$I12/O24</f>
        <v>16.95684230154054</v>
      </c>
      <c r="P36" s="44">
        <f>$I12/P24</f>
        <v>16.017761387539526</v>
      </c>
      <c r="Q36" s="43">
        <f>$I12/D24</f>
        <v>4.6016710966941803</v>
      </c>
      <c r="R36" s="43">
        <f>$I12/E24</f>
        <v>4.4106891959543111</v>
      </c>
      <c r="S36" s="44">
        <f>$I12/F24</f>
        <v>4.2673749001334391</v>
      </c>
    </row>
    <row r="38" spans="1:19" x14ac:dyDescent="0.35">
      <c r="C38" s="29" t="s">
        <v>37</v>
      </c>
      <c r="D38" s="46">
        <f t="shared" ref="D38:S38" si="8">AVERAGE(D28:D34)</f>
        <v>6.6619868662199355</v>
      </c>
      <c r="E38" s="45">
        <f t="shared" si="8"/>
        <v>6.2590380264973655</v>
      </c>
      <c r="F38" s="45">
        <f t="shared" si="8"/>
        <v>5.9269942164969844</v>
      </c>
      <c r="G38" s="46">
        <f t="shared" si="8"/>
        <v>5.6186048906127786</v>
      </c>
      <c r="H38" s="45">
        <f t="shared" si="8"/>
        <v>25.49930118831869</v>
      </c>
      <c r="I38" s="45">
        <f t="shared" si="8"/>
        <v>23.66636225301324</v>
      </c>
      <c r="J38" s="46">
        <f t="shared" si="8"/>
        <v>22.016622626039911</v>
      </c>
      <c r="K38" s="45">
        <f t="shared" si="8"/>
        <v>385.59365065654703</v>
      </c>
      <c r="L38" s="45">
        <f t="shared" si="8"/>
        <v>359.71136726435662</v>
      </c>
      <c r="M38" s="46">
        <f t="shared" si="8"/>
        <v>335.56865615165259</v>
      </c>
      <c r="N38" s="45">
        <f t="shared" si="8"/>
        <v>16.572151034816759</v>
      </c>
      <c r="O38" s="45">
        <f t="shared" si="8"/>
        <v>15.542712218946301</v>
      </c>
      <c r="P38" s="46">
        <f t="shared" si="8"/>
        <v>14.608518939643611</v>
      </c>
      <c r="Q38" s="45">
        <f t="shared" si="8"/>
        <v>3.0524553233044713</v>
      </c>
      <c r="R38" s="45">
        <f t="shared" si="8"/>
        <v>2.9300807893727199</v>
      </c>
      <c r="S38" s="46">
        <f t="shared" si="8"/>
        <v>2.8190696518580873</v>
      </c>
    </row>
    <row r="39" spans="1:19" x14ac:dyDescent="0.35">
      <c r="C39" s="29" t="s">
        <v>38</v>
      </c>
      <c r="D39" s="48">
        <f t="shared" ref="D39:S39" si="9">MEDIAN(D28:D34)</f>
        <v>6.20374241305253</v>
      </c>
      <c r="E39" s="47">
        <f t="shared" si="9"/>
        <v>2.9073269508626192</v>
      </c>
      <c r="F39" s="47">
        <f t="shared" si="9"/>
        <v>2.7719196352994646</v>
      </c>
      <c r="G39" s="48">
        <f t="shared" si="9"/>
        <v>2.6509539386342875</v>
      </c>
      <c r="H39" s="47">
        <f t="shared" si="9"/>
        <v>24.24895000976003</v>
      </c>
      <c r="I39" s="47">
        <f t="shared" si="9"/>
        <v>22.205116229454788</v>
      </c>
      <c r="J39" s="48">
        <f t="shared" si="9"/>
        <v>20.585931966461661</v>
      </c>
      <c r="K39" s="47">
        <f t="shared" si="9"/>
        <v>336.27201708026678</v>
      </c>
      <c r="L39" s="47">
        <f t="shared" si="9"/>
        <v>310.02573324897111</v>
      </c>
      <c r="M39" s="48">
        <f t="shared" si="9"/>
        <v>286.75868387955387</v>
      </c>
      <c r="N39" s="47">
        <f t="shared" si="9"/>
        <v>17.464365709631441</v>
      </c>
      <c r="O39" s="47">
        <f t="shared" si="9"/>
        <v>16.482916674205278</v>
      </c>
      <c r="P39" s="48">
        <f t="shared" si="9"/>
        <v>15.532724911527184</v>
      </c>
      <c r="Q39" s="47">
        <f t="shared" si="9"/>
        <v>3.1047491111598986</v>
      </c>
      <c r="R39" s="47">
        <f t="shared" si="9"/>
        <v>2.9601469560722098</v>
      </c>
      <c r="S39" s="48">
        <f t="shared" si="9"/>
        <v>2.8309670786282184</v>
      </c>
    </row>
    <row r="41" spans="1:19" x14ac:dyDescent="0.35">
      <c r="C41" s="29" t="str">
        <f>C38</f>
        <v>Average</v>
      </c>
      <c r="D41" s="75">
        <f>D38*$J$12</f>
        <v>107.24537917672332</v>
      </c>
      <c r="E41" s="71">
        <f t="shared" ref="E41:G42" si="10">E38*D$24/$E$12</f>
        <v>344.82440195302871</v>
      </c>
      <c r="F41" s="71">
        <f t="shared" si="10"/>
        <v>340.67010435831907</v>
      </c>
      <c r="G41" s="72">
        <f t="shared" si="10"/>
        <v>333.79026809128794</v>
      </c>
      <c r="H41" s="71">
        <f>H38*H$24</f>
        <v>242.28212022683377</v>
      </c>
      <c r="I41" s="71">
        <f t="shared" ref="I41:J41" si="11">I38*I$24</f>
        <v>243.29919717863223</v>
      </c>
      <c r="J41" s="72">
        <f t="shared" si="11"/>
        <v>242.98095145663299</v>
      </c>
      <c r="K41" s="71">
        <f>K38*H$24*$Q$24</f>
        <v>342.92473334366775</v>
      </c>
      <c r="L41" s="71">
        <f t="shared" ref="L41:M41" si="12">L38*I$24*$Q$24</f>
        <v>346.12994948661282</v>
      </c>
      <c r="M41" s="72">
        <f t="shared" si="12"/>
        <v>346.64007282406402</v>
      </c>
      <c r="N41" s="71">
        <f t="shared" ref="N41:P42" si="13">((N38*N$24)-$G$12+$H$12)/$E$12</f>
        <v>204.58029332471642</v>
      </c>
      <c r="O41" s="71">
        <f t="shared" si="13"/>
        <v>211.20250753122178</v>
      </c>
      <c r="P41" s="72">
        <f t="shared" si="13"/>
        <v>210.04035079084491</v>
      </c>
      <c r="Q41" s="71">
        <f t="shared" ref="Q41:S42" si="14">((Q38*D$24)-$G$12+$H$12)/$E$12</f>
        <v>146.99495477589656</v>
      </c>
      <c r="R41" s="71">
        <f t="shared" si="14"/>
        <v>147.24272322961818</v>
      </c>
      <c r="S41" s="72">
        <f t="shared" si="14"/>
        <v>146.30374939635695</v>
      </c>
    </row>
    <row r="42" spans="1:19" x14ac:dyDescent="0.35">
      <c r="C42" s="29" t="str">
        <f>C39</f>
        <v xml:space="preserve">Median </v>
      </c>
      <c r="D42" s="76">
        <f>D39*$J$12</f>
        <v>99.86851081561025</v>
      </c>
      <c r="E42" s="73">
        <f t="shared" si="10"/>
        <v>160.17114337203446</v>
      </c>
      <c r="F42" s="73">
        <f t="shared" si="10"/>
        <v>159.32361614289806</v>
      </c>
      <c r="G42" s="74">
        <f t="shared" si="10"/>
        <v>157.48796064175451</v>
      </c>
      <c r="H42" s="73">
        <f>H39*H$24</f>
        <v>230.40188349673511</v>
      </c>
      <c r="I42" s="73">
        <f t="shared" ref="I42:J42" si="15">I39*I$24</f>
        <v>228.27703278296241</v>
      </c>
      <c r="J42" s="74">
        <f t="shared" si="15"/>
        <v>227.19149166486253</v>
      </c>
      <c r="K42" s="73">
        <f>K39*H$24*$Q$24</f>
        <v>299.06091968018723</v>
      </c>
      <c r="L42" s="73">
        <f t="shared" ref="L42:M42" si="16">L39*I$24*$Q$24</f>
        <v>298.32026773330614</v>
      </c>
      <c r="M42" s="74">
        <f t="shared" si="16"/>
        <v>296.219713136792</v>
      </c>
      <c r="N42" s="73">
        <f t="shared" si="13"/>
        <v>216.73436934419203</v>
      </c>
      <c r="O42" s="73">
        <f t="shared" si="13"/>
        <v>225.25920504902874</v>
      </c>
      <c r="P42" s="74">
        <f t="shared" si="13"/>
        <v>224.66794576416774</v>
      </c>
      <c r="Q42" s="73">
        <f t="shared" si="14"/>
        <v>149.87593649333743</v>
      </c>
      <c r="R42" s="73">
        <f t="shared" si="14"/>
        <v>148.97085789164649</v>
      </c>
      <c r="S42" s="74">
        <f t="shared" si="14"/>
        <v>147.01055212559558</v>
      </c>
    </row>
  </sheetData>
  <mergeCells count="21">
    <mergeCell ref="Q14:Q15"/>
    <mergeCell ref="C26:C27"/>
    <mergeCell ref="D26:D27"/>
    <mergeCell ref="E26:G26"/>
    <mergeCell ref="H26:J26"/>
    <mergeCell ref="K26:M26"/>
    <mergeCell ref="N26:P26"/>
    <mergeCell ref="N14:P14"/>
    <mergeCell ref="Q26:S26"/>
    <mergeCell ref="I2:I3"/>
    <mergeCell ref="J2:J3"/>
    <mergeCell ref="C14:F14"/>
    <mergeCell ref="G14:J14"/>
    <mergeCell ref="K14:M14"/>
    <mergeCell ref="L2:L3"/>
    <mergeCell ref="C2:C3"/>
    <mergeCell ref="D2:D3"/>
    <mergeCell ref="E2:E3"/>
    <mergeCell ref="F2:F3"/>
    <mergeCell ref="G2:G3"/>
    <mergeCell ref="H2:H3"/>
  </mergeCells>
  <conditionalFormatting sqref="D41:S42">
    <cfRule type="cellIs" dxfId="0" priority="3" operator="greaterThan">
      <formula>$C$36</formula>
    </cfRule>
    <cfRule type="cellIs" dxfId="1" priority="2" operator="greaterThan">
      <formula>$C$36</formula>
    </cfRule>
    <cfRule type="cellIs" dxfId="2" priority="1" operator="lessThan">
      <formula>$C$36</formula>
    </cfRule>
  </conditionalFormatting>
  <pageMargins left="0.25" right="0.25" top="0.75" bottom="0.75" header="0.3" footer="0.3"/>
  <pageSetup scale="4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5B209-0DF9-4D80-BF96-DA22F46E6ACF}">
  <sheetPr>
    <pageSetUpPr fitToPage="1"/>
  </sheetPr>
  <dimension ref="A2:O15"/>
  <sheetViews>
    <sheetView zoomScale="90" zoomScaleNormal="90" workbookViewId="0">
      <selection activeCell="O6" sqref="O6"/>
    </sheetView>
  </sheetViews>
  <sheetFormatPr defaultColWidth="8.90625" defaultRowHeight="14.5" x14ac:dyDescent="0.35"/>
  <cols>
    <col min="1" max="1" width="18.81640625" style="1" bestFit="1" customWidth="1"/>
    <col min="2" max="9" width="11.1796875" style="1" customWidth="1"/>
    <col min="10" max="16384" width="8.90625" style="1"/>
  </cols>
  <sheetData>
    <row r="2" spans="1:15" ht="43" customHeight="1" x14ac:dyDescent="0.35">
      <c r="A2" s="62" t="s">
        <v>0</v>
      </c>
      <c r="B2" s="63" t="str" cm="1">
        <f t="array" ref="B2:H2">TRANSPOSE(Comps!A4:A10)</f>
        <v>Mondelez International Inc</v>
      </c>
      <c r="C2" s="64" t="str">
        <v>Nestle SA</v>
      </c>
      <c r="D2" s="64" t="str">
        <v>Chocoladefabriken Lindt &amp; Spruengli AG</v>
      </c>
      <c r="E2" s="64" t="str">
        <v>Kraft Heinz Co</v>
      </c>
      <c r="F2" s="64" t="str">
        <v>Kellogg Co</v>
      </c>
      <c r="G2" s="64" t="str">
        <v>General Mills Inc</v>
      </c>
      <c r="H2" s="64" t="str">
        <v>PepsiCo Inc</v>
      </c>
      <c r="I2" s="65" t="str">
        <f>Comps!A12</f>
        <v>Hershey Co</v>
      </c>
      <c r="J2" s="49"/>
      <c r="K2" s="65" t="s">
        <v>37</v>
      </c>
    </row>
    <row r="3" spans="1:15" x14ac:dyDescent="0.35">
      <c r="A3" s="62" t="s">
        <v>1</v>
      </c>
      <c r="B3" s="66" t="str" cm="1">
        <f t="array" ref="B3:H3">TRANSPOSE(Comps!B4:B10)</f>
        <v>MDLZ.O</v>
      </c>
      <c r="C3" s="67" t="str">
        <v>NESN.S</v>
      </c>
      <c r="D3" s="67" t="str">
        <v>LISN.S</v>
      </c>
      <c r="E3" s="67" t="str">
        <v>KHC.O</v>
      </c>
      <c r="F3" s="67" t="str">
        <v>K</v>
      </c>
      <c r="G3" s="67" t="str">
        <v>GIS.N</v>
      </c>
      <c r="H3" s="67" t="str">
        <v>PEP.O</v>
      </c>
      <c r="I3" s="68" t="str">
        <f>Comps!B12</f>
        <v>HSY</v>
      </c>
      <c r="K3" s="65"/>
    </row>
    <row r="4" spans="1:15" x14ac:dyDescent="0.35">
      <c r="A4" s="58" t="s">
        <v>51</v>
      </c>
      <c r="B4" s="50" cm="1">
        <f t="array" ref="B4">IF(B3="","",_xll.TR(B3,"TR.F.CurrRatio"))</f>
        <v>0.60313000000000005</v>
      </c>
      <c r="C4" s="50" cm="1">
        <f t="array" ref="C4">IF(C3="","",_xll.TR(C3,"TR.F.CurrRatio"))</f>
        <v>0.87707999999999997</v>
      </c>
      <c r="D4" s="50" cm="1">
        <f t="array" ref="D4">IF(D3="","",_xll.TR(D3,"TR.F.CurrRatio"))</f>
        <v>1.83212</v>
      </c>
      <c r="E4" s="50" cm="1">
        <f t="array" ref="E4">IF(E3="","",_xll.TR(E3,"TR.F.CurrRatio"))</f>
        <v>0.87472000000000005</v>
      </c>
      <c r="F4" s="50" cm="1">
        <f t="array" ref="F4">IF(F3="","",_xll.TR(F3,"TR.F.CurrRatio"))</f>
        <v>0.65932000000000002</v>
      </c>
      <c r="G4" s="50" cm="1">
        <f t="array" ref="G4">IF(G3="","",_xll.TR(G3,"TR.F.CurrRatio"))</f>
        <v>0.63465000000000005</v>
      </c>
      <c r="H4" s="51" cm="1">
        <f t="array" ref="H4">IF(H3="","",_xll.TR(H3,"TR.F.CurrRatio"))</f>
        <v>0.80413999999999997</v>
      </c>
      <c r="I4" s="51" cm="1">
        <f t="array" ref="I4">IF(I3="","",_xll.TR(I3,"TR.F.CurrRatio"))</f>
        <v>0.80450999999999995</v>
      </c>
      <c r="K4" s="78">
        <f>AVERAGE(B4:H4)</f>
        <v>0.89788000000000001</v>
      </c>
      <c r="O4" s="1" t="s">
        <v>57</v>
      </c>
    </row>
    <row r="5" spans="1:15" x14ac:dyDescent="0.35">
      <c r="A5" s="59" t="s">
        <v>50</v>
      </c>
      <c r="B5" s="56" cm="1">
        <f t="array" ref="B5">IF(B3="","",_xll.TR(B3,"TR.F.QuickRatio"))</f>
        <v>0.40105000000000002</v>
      </c>
      <c r="C5" s="56" cm="1">
        <f t="array" ref="C5">IF(C3="","",_xll.TR(C3,"TR.F.QuickRatio"))</f>
        <v>0.50138000000000005</v>
      </c>
      <c r="D5" s="56" cm="1">
        <f t="array" ref="D5">IF(D3="","",_xll.TR(D3,"TR.F.QuickRatio"))</f>
        <v>1.2769900000000001</v>
      </c>
      <c r="E5" s="56" cm="1">
        <f t="array" ref="E5">IF(E3="","",_xll.TR(E3,"TR.F.QuickRatio"))</f>
        <v>0.47031000000000001</v>
      </c>
      <c r="F5" s="56" cm="1">
        <f t="array" ref="F5">IF(F3="","",_xll.TR(F3,"TR.F.QuickRatio"))</f>
        <v>0.38085000000000002</v>
      </c>
      <c r="G5" s="56" cm="1">
        <f t="array" ref="G5">IF(G3="","",_xll.TR(G3,"TR.F.QuickRatio"))</f>
        <v>0.40181</v>
      </c>
      <c r="H5" s="57" cm="1">
        <f t="array" ref="H5">IF(H3="","",_xll.TR(H3,"TR.F.QuickRatio"))</f>
        <v>0.60918000000000005</v>
      </c>
      <c r="I5" s="57" cm="1">
        <f t="array" ref="I5">IF(I3="","",_xll.TR(I3,"TR.F.QuickRatio"))</f>
        <v>0.44434000000000001</v>
      </c>
      <c r="K5" s="79">
        <f>AVERAGE(B5:H5)</f>
        <v>0.57736714285714297</v>
      </c>
      <c r="O5" s="1" t="s">
        <v>58</v>
      </c>
    </row>
    <row r="6" spans="1:15" x14ac:dyDescent="0.35">
      <c r="A6" s="3" t="s">
        <v>42</v>
      </c>
      <c r="B6" s="54" cm="1">
        <f t="array" ref="B6">IF($B$3="","",_xll.TR($B$3,"TR.F.GrossProfMarg"))/100</f>
        <v>0.3549657</v>
      </c>
      <c r="C6" s="54" cm="1">
        <f t="array" ref="C6">IF(C3="","",_xll.TR(C3,"TR.F.GrossProfMarg"))/100</f>
        <v>0.45199309999999998</v>
      </c>
      <c r="D6" s="54" cm="1">
        <f t="array" ref="D6">IF(D3="","",_xll.TR(D3,"TR.F.GrossProfMarg"))/100</f>
        <v>0.60913040000000007</v>
      </c>
      <c r="E6" s="54" cm="1">
        <f t="array" ref="E6">IF(E3="","",_xll.TR(E3,"TR.F.GrossProfMarg"))/100</f>
        <v>0.31330939999999996</v>
      </c>
      <c r="F6" s="54" cm="1">
        <f t="array" ref="F6">IF(F3="","",_xll.TR(F3,"TR.F.GrossProfMarg"))/100</f>
        <v>0.31243880000000002</v>
      </c>
      <c r="G6" s="54" cm="1">
        <f t="array" ref="G6">IF(G3="","",_xll.TR(G3,"TR.F.GrossProfMarg"))/100</f>
        <v>0.33725939999999999</v>
      </c>
      <c r="H6" s="55" cm="1">
        <f t="array" ref="H6">IF(H3="","",_xll.TR(H3,"TR.F.GrossProfMarg"))/100</f>
        <v>0.53525789999999995</v>
      </c>
      <c r="I6" s="55" cm="1">
        <f t="array" ref="I6">IF(I3="","",_xll.TR(I3,"TR.F.GrossProfMarg"))/100</f>
        <v>0.43177470000000001</v>
      </c>
      <c r="K6" s="31">
        <f t="shared" ref="K6:K15" si="0">AVERAGE(B6:H6)</f>
        <v>0.41633638571428572</v>
      </c>
    </row>
    <row r="7" spans="1:15" x14ac:dyDescent="0.35">
      <c r="A7" s="3" t="s">
        <v>43</v>
      </c>
      <c r="B7" s="54" cm="1">
        <f t="array" ref="B7">IF(B3="","",_xll.TR(B3,"TR.F.OpMargPct"))/100</f>
        <v>0.1447803</v>
      </c>
      <c r="C7" s="54" cm="1">
        <f t="array" ref="C7">IF(C3="","",_xll.TR(C3,"TR.F.OpMargPct"))/100</f>
        <v>0.16593240000000001</v>
      </c>
      <c r="D7" s="54" cm="1">
        <f t="array" ref="D7">IF(D3="","",_xll.TR(D3,"TR.F.OpMargPct"))/100</f>
        <v>0.15144259999999998</v>
      </c>
      <c r="E7" s="54" cm="1">
        <f t="array" ref="E7">IF(E3="","",_xll.TR(E3,"TR.F.OpMargPct"))/100</f>
        <v>0.18625640000000002</v>
      </c>
      <c r="F7" s="54" cm="1">
        <f t="array" ref="F7">IF(F3="","",_xll.TR(F3,"TR.F.OpMargPct"))/100</f>
        <v>0.11785830000000001</v>
      </c>
      <c r="G7" s="54" cm="1">
        <f t="array" ref="G7">IF(G3="","",_xll.TR(G3,"TR.F.OpMargPct"))/100</f>
        <v>0.1765774</v>
      </c>
      <c r="H7" s="55" cm="1">
        <f t="array" ref="H7">IF(H3="","",_xll.TR(H3,"TR.F.OpMargPct"))/100</f>
        <v>0.14627509999999999</v>
      </c>
      <c r="I7" s="55" cm="1">
        <f t="array" ref="I7">IF(I3="","",_xll.TR(I3,"TR.F.OpMargPct"))/100</f>
        <v>0.21740469999999998</v>
      </c>
      <c r="K7" s="31">
        <f t="shared" si="0"/>
        <v>0.15558892857142856</v>
      </c>
    </row>
    <row r="8" spans="1:15" x14ac:dyDescent="0.35">
      <c r="A8" s="3" t="s">
        <v>44</v>
      </c>
      <c r="B8" s="54" cm="1">
        <f t="array" ref="B8">IF(B3="","",_xll.TR(B3,"TR.F.NetMargPct"))/100</f>
        <v>8.6550700000000008E-2</v>
      </c>
      <c r="C8" s="54" cm="1">
        <f t="array" ref="C8">IF(C3="","",_xll.TR(C3,"TR.F.NetMargPct"))/100</f>
        <v>0.1016267</v>
      </c>
      <c r="D8" s="54" cm="1">
        <f t="array" ref="D8">IF(D3="","",_xll.TR(D3,"TR.F.NetMargPct"))/100</f>
        <v>0.11462319999999999</v>
      </c>
      <c r="E8" s="54" cm="1">
        <f t="array" ref="E8">IF(E3="","",_xll.TR(E3,"TR.F.NetMargPct"))/100</f>
        <v>8.9409100000000005E-2</v>
      </c>
      <c r="F8" s="54" cm="1">
        <f t="array" ref="F8">IF(F3="","",_xll.TR(F3,"TR.F.NetMargPct"))/100</f>
        <v>6.2814200000000001E-2</v>
      </c>
      <c r="G8" s="54" cm="1">
        <f t="array" ref="G8">IF(G3="","",_xll.TR(G3,"TR.F.NetMargPct"))/100</f>
        <v>0.14400190000000002</v>
      </c>
      <c r="H8" s="55" cm="1">
        <f t="array" ref="H8">IF(H3="","",_xll.TR(H3,"TR.F.NetMargPct"))/100</f>
        <v>0.1049171</v>
      </c>
      <c r="I8" s="55" cm="1">
        <f t="array" ref="I8">IF(I3="","",_xll.TR(I3,"TR.F.NetMargPct"))/100</f>
        <v>0.15786259999999999</v>
      </c>
      <c r="K8" s="31">
        <f t="shared" si="0"/>
        <v>0.10056327142857142</v>
      </c>
    </row>
    <row r="9" spans="1:15" x14ac:dyDescent="0.35">
      <c r="A9" s="3" t="s">
        <v>45</v>
      </c>
      <c r="B9" s="54" cm="1">
        <f t="array" ref="B9">IF(B3="","",_xll.TR(B3,"TR.ROEActValue"))/100</f>
        <v>0.14838999999999999</v>
      </c>
      <c r="C9" s="54" cm="1">
        <f t="array" ref="C9">IF(C3="","",_xll.TR(C3,"TR.ROEActValue"))/100</f>
        <v>0.27309</v>
      </c>
      <c r="D9" s="54" cm="1">
        <f t="array" ref="D9">IF(D3="","",_xll.TR(D3,"TR.ROEActValue"))/100</f>
        <v>0.11840000000000001</v>
      </c>
      <c r="E9" s="54" cm="1">
        <f t="array" ref="E9">IF(E3="","",_xll.TR(E3,"TR.ROEActValue"))/100</f>
        <v>4.6900000000000004E-2</v>
      </c>
      <c r="F9" s="54" cm="1">
        <f t="array" ref="F9">IF(F3="","",_xll.TR(F3,"TR.ROEActValue"))/100</f>
        <v>0.37799999999999995</v>
      </c>
      <c r="G9" s="54" cm="1">
        <f t="array" ref="G9">IF(G3="","",_xll.TR(G3,"TR.ROEActValue"))/100</f>
        <v>0.24109000000000003</v>
      </c>
      <c r="H9" s="55" cm="1">
        <f t="array" ref="H9">IF(H3="","",_xll.TR(H3,"TR.ROEActValue"))/100</f>
        <v>0.56769999999999998</v>
      </c>
      <c r="I9" s="55" cm="1">
        <f t="array" ref="I9">IF(I3="","",_xll.TR(I3,"TR.ROEActValue"))/100</f>
        <v>0.58118999999999998</v>
      </c>
      <c r="K9" s="31">
        <f t="shared" si="0"/>
        <v>0.25336714285714285</v>
      </c>
    </row>
    <row r="10" spans="1:15" x14ac:dyDescent="0.35">
      <c r="A10" s="59" t="s">
        <v>46</v>
      </c>
      <c r="B10" s="60" cm="1">
        <f t="array" ref="B10">IF(B3="","",_xll.TR(B3,"TR.ROAActValue"))/100</f>
        <v>5.9189999999999993E-2</v>
      </c>
      <c r="C10" s="60" cm="1">
        <f t="array" ref="C10">IF(C3="","",_xll.TR(C3,"TR.ROAActValue"))/100</f>
        <v>9.4700000000000006E-2</v>
      </c>
      <c r="D10" s="60" cm="1">
        <f t="array" ref="D10">IF(D3="","",_xll.TR(D3,"TR.ROAActValue"))/100</f>
        <v>6.7400000000000002E-2</v>
      </c>
      <c r="E10" s="60" cm="1">
        <f t="array" ref="E10">IF(E3="","",_xll.TR(E3,"TR.ROAActValue"))/100</f>
        <v>3.7400000000000003E-2</v>
      </c>
      <c r="F10" s="60" cm="1">
        <f t="array" ref="F10">IF(F3="","",_xll.TR(F3,"TR.ROAActValue"))/100</f>
        <v>7.9000000000000001E-2</v>
      </c>
      <c r="G10" s="60" cm="1">
        <f t="array" ref="G10">IF(G3="","",_xll.TR(G3,"TR.ROAActValue"))/100</f>
        <v>7.6689999999999994E-2</v>
      </c>
      <c r="H10" s="61" cm="1">
        <f t="array" ref="H10">IF(H3="","",_xll.TR(H3,"TR.ROAActValue"))/100</f>
        <v>0.10210000000000001</v>
      </c>
      <c r="I10" s="61" cm="1">
        <f t="array" ref="I10">IF(I3="","",_xll.TR(I3,"TR.ROAActValue"))/100</f>
        <v>0.1648</v>
      </c>
      <c r="K10" s="80">
        <f t="shared" si="0"/>
        <v>7.3782857142857136E-2</v>
      </c>
    </row>
    <row r="11" spans="1:15" x14ac:dyDescent="0.35">
      <c r="A11" s="3" t="s">
        <v>47</v>
      </c>
      <c r="B11" s="52" cm="1">
        <f t="array" ref="B11">IF(B3="","",_xll.TR(B3,"TR.F.AssetTurnover"))</f>
        <v>0.45562844929224</v>
      </c>
      <c r="C11" s="52" cm="1">
        <f t="array" ref="C11">IF(C3="","",_xll.TR(C3,"TR.F.AssetTurnover"))</f>
        <v>0.68841224245782395</v>
      </c>
      <c r="D11" s="52" cm="1">
        <f t="array" ref="D11">IF(D3="","",_xll.TR(D3,"TR.F.AssetTurnover"))</f>
        <v>0.58814758715357496</v>
      </c>
      <c r="E11" s="52" cm="1">
        <f t="array" ref="E11">IF(E3="","",_xll.TR(E3,"TR.F.AssetTurnover"))</f>
        <v>0.28802601314795001</v>
      </c>
      <c r="F11" s="52" cm="1">
        <f t="array" ref="F11">IF(F3="","",_xll.TR(F3,"TR.F.AssetTurnover"))</f>
        <v>0.835196597044228</v>
      </c>
      <c r="G11" s="52" cm="1">
        <f t="array" ref="G11">IF(G3="","",_xll.TR(G3,"TR.F.AssetTurnover"))</f>
        <v>0.60359753384605597</v>
      </c>
      <c r="H11" s="53" cm="1">
        <f t="array" ref="H11">IF(H3="","",_xll.TR(H3,"TR.F.AssetTurnover"))</f>
        <v>0.93617390173598303</v>
      </c>
      <c r="I11" s="53" cm="1">
        <f t="array" ref="I11">IF(I3="","",_xll.TR(I3,"TR.F.AssetTurnover"))</f>
        <v>0.97554132519041303</v>
      </c>
      <c r="K11" s="81">
        <f t="shared" si="0"/>
        <v>0.62788318923969377</v>
      </c>
    </row>
    <row r="12" spans="1:15" x14ac:dyDescent="0.35">
      <c r="A12" s="3" t="s">
        <v>48</v>
      </c>
      <c r="B12" s="52" cm="1">
        <f t="array" ref="B12">IF(B3="","",_xll.TR(B3,"TR.F.InvntTurnover"))</f>
        <v>6.6730169157497103</v>
      </c>
      <c r="C12" s="52" cm="1">
        <f t="array" ref="C12">IF(C3="","",_xll.TR(C3,"TR.F.InvntTurnover"))</f>
        <v>3.8328210066293802</v>
      </c>
      <c r="D12" s="52" cm="1">
        <f t="array" ref="D12">IF(D3="","",_xll.TR(D3,"TR.F.InvntTurnover"))</f>
        <v>2.3731981431712699</v>
      </c>
      <c r="E12" s="52" cm="1">
        <f t="array" ref="E12">IF(E3="","",_xll.TR(E3,"TR.F.InvntTurnover"))</f>
        <v>5.7012539184952997</v>
      </c>
      <c r="F12" s="52" cm="1">
        <f t="array" ref="F12">IF(F3="","",_xll.TR(F3,"TR.F.InvntTurnover"))</f>
        <v>6.6519267214150304</v>
      </c>
      <c r="G12" s="52" cm="1">
        <f t="array" ref="G12">IF(G3="","",_xll.TR(G3,"TR.F.InvntTurnover"))</f>
        <v>6.8264547968978802</v>
      </c>
      <c r="H12" s="53" cm="1">
        <f t="array" ref="H12">IF(H3="","",_xll.TR(H3,"TR.F.InvntTurnover"))</f>
        <v>8.3916814714181207</v>
      </c>
      <c r="I12" s="53" cm="1">
        <f t="array" ref="I12">IF(I3="","",_xll.TR(I3,"TR.F.InvntTurnover"))</f>
        <v>5.4778162775313097</v>
      </c>
      <c r="K12" s="81">
        <f t="shared" si="0"/>
        <v>5.77862185339667</v>
      </c>
    </row>
    <row r="13" spans="1:15" x14ac:dyDescent="0.35">
      <c r="A13" s="59" t="s">
        <v>49</v>
      </c>
      <c r="B13" s="56" cm="1">
        <f t="array" ref="B13">IF(B3="","",_xll.TR(B3,"TR.F.PbleTurnover"))</f>
        <v>2.84298908480269</v>
      </c>
      <c r="C13" s="56" cm="1">
        <f t="array" ref="C13">IF(C3="","",_xll.TR(C3,"TR.F.PbleTurnover"))</f>
        <v>3.2934474747796201</v>
      </c>
      <c r="D13" s="56" cm="1">
        <f t="array" ref="D13">IF(D3="","",_xll.TR(D3,"TR.F.PbleTurnover"))</f>
        <v>7.3531415594246798</v>
      </c>
      <c r="E13" s="56" cm="1">
        <f t="array" ref="E13">IF(E3="","",_xll.TR(E3,"TR.F.PbleTurnover"))</f>
        <v>3.7885636912821599</v>
      </c>
      <c r="F13" s="56" cm="1">
        <f t="array" ref="F13">IF(F3="","",_xll.TR(F3,"TR.F.PbleTurnover"))</f>
        <v>3.7973314100252402</v>
      </c>
      <c r="G13" s="56" cm="1">
        <f t="array" ref="G13">IF(G3="","",_xll.TR(G3,"TR.F.PbleTurnover"))</f>
        <v>3.2969171534089399</v>
      </c>
      <c r="H13" s="57" cm="1">
        <f t="array" ref="H13">IF(H3="","",_xll.TR(H3,"TR.F.PbleTurnover"))</f>
        <v>3.9045025770689499</v>
      </c>
      <c r="I13" s="57" cm="1">
        <f t="array" ref="I13">IF(I3="","",_xll.TR(I3,"TR.F.PbleTurnover"))</f>
        <v>7.12071711039055</v>
      </c>
      <c r="K13" s="79">
        <f t="shared" si="0"/>
        <v>4.0395561358274685</v>
      </c>
    </row>
    <row r="14" spans="1:15" x14ac:dyDescent="0.35">
      <c r="A14" s="3" t="s">
        <v>52</v>
      </c>
      <c r="B14" s="52" cm="1">
        <f t="array" ref="B14">IF(B3="","",_xll.TR(B3,"TR.F.IntrCovRatio"))</f>
        <v>10.45872</v>
      </c>
      <c r="C14" s="52" cm="1">
        <f t="array" ref="C14">IF(C3="","",_xll.TR(C3,"TR.F.IntrCovRatio"))</f>
        <v>13.939500000000001</v>
      </c>
      <c r="D14" s="52" cm="1">
        <f t="array" ref="D14">IF(D3="","",_xll.TR(D3,"TR.F.IntrCovRatio"))</f>
        <v>25.343430000000001</v>
      </c>
      <c r="E14" s="52" cm="1">
        <f t="array" ref="E14">IF(E3="","",_xll.TR(E3,"TR.F.IntrCovRatio"))</f>
        <v>5.3561300000000003</v>
      </c>
      <c r="F14" s="52" cm="1">
        <f t="array" ref="F14">IF(F3="","",_xll.TR(F3,"TR.F.IntrCovRatio"))</f>
        <v>8.2798200000000008</v>
      </c>
      <c r="G14" s="52" cm="1">
        <f t="array" ref="G14">IF(G3="","",_xll.TR(G3,"TR.F.IntrCovRatio"))</f>
        <v>8.7472600000000007</v>
      </c>
      <c r="H14" s="53" cm="1">
        <f t="array" ref="H14">IF(H3="","",_xll.TR(H3,"TR.F.IntrCovRatio"))</f>
        <v>13.457929999999999</v>
      </c>
      <c r="I14" s="53" cm="1">
        <f t="array" ref="I14">IF(I3="","",_xll.TR(I3,"TR.F.IntrCovRatio"))</f>
        <v>16.169060000000002</v>
      </c>
      <c r="K14" s="81">
        <f t="shared" si="0"/>
        <v>12.22611285714286</v>
      </c>
      <c r="L14" s="77"/>
    </row>
    <row r="15" spans="1:15" x14ac:dyDescent="0.35">
      <c r="A15" s="59" t="s">
        <v>53</v>
      </c>
      <c r="B15" s="56" cm="1">
        <f t="array" ref="B15">IF(B3="","",_xll.TR(B3,"TR.F.LTDebtPctofTotCap"))/100</f>
        <v>0.40621429999999997</v>
      </c>
      <c r="C15" s="56" cm="1">
        <f t="array" ref="C15">IF(C3="","",_xll.TR(C3,"TR.F.LTDebtPctofTotCap"))/100</f>
        <v>0.44714939999999997</v>
      </c>
      <c r="D15" s="56" cm="1">
        <f t="array" ref="D15">IF(D3="","",_xll.TR(D3,"TR.F.LTDebtPctofTotCap"))/100</f>
        <v>0.23291730000000002</v>
      </c>
      <c r="E15" s="56" cm="1">
        <f t="array" ref="E15">IF(E3="","",_xll.TR(E3,"TR.F.LTDebtPctofTotCap"))/100</f>
        <v>0.2789817</v>
      </c>
      <c r="F15" s="56" cm="1">
        <f t="array" ref="F15">IF(F3="","",_xll.TR(F3,"TR.F.LTDebtPctofTotCap"))/100</f>
        <v>0.48605910000000002</v>
      </c>
      <c r="G15" s="56" cm="1">
        <f t="array" ref="G15">IF(G3="","",_xll.TR(G3,"TR.F.LTDebtPctofTotCap"))/100</f>
        <v>0.40765070000000003</v>
      </c>
      <c r="H15" s="57" cm="1">
        <f t="array" ref="H15">IF(H3="","",_xll.TR(H3,"TR.F.LTDebtPctofTotCap"))/100</f>
        <v>0.63284470000000004</v>
      </c>
      <c r="I15" s="57" cm="1">
        <f t="array" ref="I15">IF(I3="","",_xll.TR(I3,"TR.F.LTDebtPctofTotCap"))/100</f>
        <v>0.41330159999999999</v>
      </c>
      <c r="K15" s="79">
        <f t="shared" si="0"/>
        <v>0.41311674285714295</v>
      </c>
    </row>
  </sheetData>
  <pageMargins left="0.25" right="0.25" top="0.75" bottom="0.75" header="0.3" footer="0.3"/>
  <pageSetup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</vt:lpstr>
      <vt:lpstr>Comps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Siddhesh Gore</cp:lastModifiedBy>
  <cp:lastPrinted>2023-05-04T03:02:35Z</cp:lastPrinted>
  <dcterms:created xsi:type="dcterms:W3CDTF">2023-05-03T01:33:10Z</dcterms:created>
  <dcterms:modified xsi:type="dcterms:W3CDTF">2023-05-04T15:22:12Z</dcterms:modified>
</cp:coreProperties>
</file>