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ACQ\ACQ.Excel\"/>
    </mc:Choice>
  </mc:AlternateContent>
  <xr:revisionPtr revIDLastSave="0" documentId="13_ncr:1_{276C920C-9404-46B8-8BC2-3A9B48BD19E6}" xr6:coauthVersionLast="47" xr6:coauthVersionMax="47" xr10:uidLastSave="{00000000-0000-0000-0000-000000000000}"/>
  <bookViews>
    <workbookView xWindow="-120" yWindow="-120" windowWidth="29040" windowHeight="15840" tabRatio="900" activeTab="4" xr2:uid="{00000000-000D-0000-FFFF-FFFF00000000}"/>
  </bookViews>
  <sheets>
    <sheet name="Utils" sheetId="3" r:id="rId1"/>
    <sheet name="Black" sheetId="13" r:id="rId2"/>
    <sheet name="Bachelier" sheetId="15" r:id="rId3"/>
    <sheet name="BlackScholes" sheetId="14" r:id="rId4"/>
    <sheet name="BjerksundStensland2002" sheetId="16" r:id="rId5"/>
    <sheet name="Description" sheetId="7" r:id="rId6"/>
    <sheet name="Special" sheetId="9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4" i="16" l="1"/>
  <c r="V6" i="16"/>
  <c r="W6" i="16"/>
  <c r="X6" i="16"/>
  <c r="Y6" i="16"/>
  <c r="Z6" i="16"/>
  <c r="AA6" i="16"/>
  <c r="AB6" i="16"/>
  <c r="V7" i="16"/>
  <c r="W7" i="16"/>
  <c r="X7" i="16"/>
  <c r="Y7" i="16"/>
  <c r="Z7" i="16"/>
  <c r="AA7" i="16"/>
  <c r="AB7" i="16"/>
  <c r="V8" i="16"/>
  <c r="W8" i="16"/>
  <c r="X8" i="16"/>
  <c r="Y8" i="16"/>
  <c r="Z8" i="16"/>
  <c r="AA8" i="16"/>
  <c r="AB8" i="16"/>
  <c r="V9" i="16"/>
  <c r="W9" i="16"/>
  <c r="X9" i="16"/>
  <c r="Y9" i="16"/>
  <c r="Z9" i="16"/>
  <c r="AA9" i="16"/>
  <c r="AB9" i="16"/>
  <c r="V10" i="16"/>
  <c r="W10" i="16"/>
  <c r="X10" i="16"/>
  <c r="Y10" i="16"/>
  <c r="Z10" i="16"/>
  <c r="AA10" i="16"/>
  <c r="AB10" i="16"/>
  <c r="V11" i="16"/>
  <c r="W11" i="16"/>
  <c r="X11" i="16"/>
  <c r="Y11" i="16"/>
  <c r="Z11" i="16"/>
  <c r="AA11" i="16"/>
  <c r="AB11" i="16"/>
  <c r="V12" i="16"/>
  <c r="W12" i="16"/>
  <c r="X12" i="16"/>
  <c r="Y12" i="16"/>
  <c r="Z12" i="16"/>
  <c r="AA12" i="16"/>
  <c r="AB12" i="16"/>
  <c r="V13" i="16"/>
  <c r="W13" i="16"/>
  <c r="X13" i="16"/>
  <c r="Y13" i="16"/>
  <c r="Z13" i="16"/>
  <c r="AA13" i="16"/>
  <c r="AB13" i="16"/>
  <c r="V14" i="16"/>
  <c r="W14" i="16"/>
  <c r="X14" i="16"/>
  <c r="Y14" i="16"/>
  <c r="Z14" i="16"/>
  <c r="AA14" i="16"/>
  <c r="AB14" i="16"/>
  <c r="V15" i="16"/>
  <c r="W15" i="16"/>
  <c r="X15" i="16"/>
  <c r="Y15" i="16"/>
  <c r="Z15" i="16"/>
  <c r="AA15" i="16"/>
  <c r="AB15" i="16"/>
  <c r="V16" i="16"/>
  <c r="W16" i="16"/>
  <c r="X16" i="16"/>
  <c r="Y16" i="16"/>
  <c r="Z16" i="16"/>
  <c r="AA16" i="16"/>
  <c r="AB16" i="16"/>
  <c r="V17" i="16"/>
  <c r="W17" i="16"/>
  <c r="X17" i="16"/>
  <c r="Y17" i="16"/>
  <c r="Z17" i="16"/>
  <c r="AA17" i="16"/>
  <c r="AB17" i="16"/>
  <c r="V18" i="16"/>
  <c r="W18" i="16"/>
  <c r="X18" i="16"/>
  <c r="Y18" i="16"/>
  <c r="Z18" i="16"/>
  <c r="AA18" i="16"/>
  <c r="AB18" i="16"/>
  <c r="V19" i="16"/>
  <c r="W19" i="16"/>
  <c r="X19" i="16"/>
  <c r="Y19" i="16"/>
  <c r="Z19" i="16"/>
  <c r="AA19" i="16"/>
  <c r="AB19" i="16"/>
  <c r="V20" i="16"/>
  <c r="W20" i="16"/>
  <c r="X20" i="16"/>
  <c r="Y20" i="16"/>
  <c r="Z20" i="16"/>
  <c r="AA20" i="16"/>
  <c r="AB20" i="16"/>
  <c r="V21" i="16"/>
  <c r="W21" i="16"/>
  <c r="X21" i="16"/>
  <c r="Y21" i="16"/>
  <c r="Z21" i="16"/>
  <c r="AA21" i="16"/>
  <c r="AB21" i="16"/>
  <c r="V22" i="16"/>
  <c r="W22" i="16"/>
  <c r="X22" i="16"/>
  <c r="Y22" i="16"/>
  <c r="Z22" i="16"/>
  <c r="AA22" i="16"/>
  <c r="AB22" i="16"/>
  <c r="V23" i="16"/>
  <c r="W23" i="16"/>
  <c r="X23" i="16"/>
  <c r="Y23" i="16"/>
  <c r="Z23" i="16"/>
  <c r="AA23" i="16"/>
  <c r="AB23" i="16"/>
  <c r="AE20" i="16" s="1"/>
  <c r="V24" i="16"/>
  <c r="W24" i="16"/>
  <c r="X24" i="16"/>
  <c r="Y24" i="16"/>
  <c r="Z24" i="16"/>
  <c r="AA24" i="16"/>
  <c r="W5" i="16"/>
  <c r="X5" i="16"/>
  <c r="Y5" i="16"/>
  <c r="Z5" i="16"/>
  <c r="AA5" i="16"/>
  <c r="AB5" i="16"/>
  <c r="V5" i="16"/>
  <c r="M6" i="16"/>
  <c r="N6" i="16"/>
  <c r="O6" i="16"/>
  <c r="P6" i="16"/>
  <c r="Q6" i="16"/>
  <c r="R6" i="16"/>
  <c r="S6" i="16"/>
  <c r="M7" i="16"/>
  <c r="N7" i="16"/>
  <c r="O7" i="16"/>
  <c r="P7" i="16"/>
  <c r="Q7" i="16"/>
  <c r="R7" i="16"/>
  <c r="S7" i="16"/>
  <c r="M8" i="16"/>
  <c r="N8" i="16"/>
  <c r="O8" i="16"/>
  <c r="P8" i="16"/>
  <c r="Q8" i="16"/>
  <c r="R8" i="16"/>
  <c r="S8" i="16"/>
  <c r="M9" i="16"/>
  <c r="N9" i="16"/>
  <c r="O9" i="16"/>
  <c r="P9" i="16"/>
  <c r="Q9" i="16"/>
  <c r="R9" i="16"/>
  <c r="S9" i="16"/>
  <c r="M10" i="16"/>
  <c r="N10" i="16"/>
  <c r="O10" i="16"/>
  <c r="P10" i="16"/>
  <c r="Q10" i="16"/>
  <c r="R10" i="16"/>
  <c r="S10" i="16"/>
  <c r="M11" i="16"/>
  <c r="N11" i="16"/>
  <c r="O11" i="16"/>
  <c r="P11" i="16"/>
  <c r="Q11" i="16"/>
  <c r="R11" i="16"/>
  <c r="S11" i="16"/>
  <c r="M12" i="16"/>
  <c r="N12" i="16"/>
  <c r="O12" i="16"/>
  <c r="P12" i="16"/>
  <c r="Q12" i="16"/>
  <c r="R12" i="16"/>
  <c r="S12" i="16"/>
  <c r="M13" i="16"/>
  <c r="N13" i="16"/>
  <c r="O13" i="16"/>
  <c r="P13" i="16"/>
  <c r="Q13" i="16"/>
  <c r="R13" i="16"/>
  <c r="S13" i="16"/>
  <c r="M14" i="16"/>
  <c r="N14" i="16"/>
  <c r="O14" i="16"/>
  <c r="P14" i="16"/>
  <c r="Q14" i="16"/>
  <c r="R14" i="16"/>
  <c r="S14" i="16"/>
  <c r="M15" i="16"/>
  <c r="N15" i="16"/>
  <c r="O15" i="16"/>
  <c r="P15" i="16"/>
  <c r="Q15" i="16"/>
  <c r="R15" i="16"/>
  <c r="S15" i="16"/>
  <c r="M16" i="16"/>
  <c r="N16" i="16"/>
  <c r="O16" i="16"/>
  <c r="P16" i="16"/>
  <c r="Q16" i="16"/>
  <c r="R16" i="16"/>
  <c r="S16" i="16"/>
  <c r="M17" i="16"/>
  <c r="N17" i="16"/>
  <c r="O17" i="16"/>
  <c r="P17" i="16"/>
  <c r="Q17" i="16"/>
  <c r="R17" i="16"/>
  <c r="S17" i="16"/>
  <c r="M18" i="16"/>
  <c r="N18" i="16"/>
  <c r="O18" i="16"/>
  <c r="P18" i="16"/>
  <c r="Q18" i="16"/>
  <c r="R18" i="16"/>
  <c r="S18" i="16"/>
  <c r="M19" i="16"/>
  <c r="N19" i="16"/>
  <c r="O19" i="16"/>
  <c r="P19" i="16"/>
  <c r="Q19" i="16"/>
  <c r="R19" i="16"/>
  <c r="S19" i="16"/>
  <c r="M20" i="16"/>
  <c r="N20" i="16"/>
  <c r="O20" i="16"/>
  <c r="P20" i="16"/>
  <c r="Q20" i="16"/>
  <c r="R20" i="16"/>
  <c r="S20" i="16"/>
  <c r="M21" i="16"/>
  <c r="N21" i="16"/>
  <c r="O21" i="16"/>
  <c r="P21" i="16"/>
  <c r="Q21" i="16"/>
  <c r="R21" i="16"/>
  <c r="S21" i="16"/>
  <c r="M22" i="16"/>
  <c r="N22" i="16"/>
  <c r="O22" i="16"/>
  <c r="P22" i="16"/>
  <c r="Q22" i="16"/>
  <c r="R22" i="16"/>
  <c r="S22" i="16"/>
  <c r="M23" i="16"/>
  <c r="N23" i="16"/>
  <c r="O23" i="16"/>
  <c r="P23" i="16"/>
  <c r="Q23" i="16"/>
  <c r="R23" i="16"/>
  <c r="S23" i="16"/>
  <c r="M24" i="16"/>
  <c r="N24" i="16"/>
  <c r="O24" i="16"/>
  <c r="P24" i="16"/>
  <c r="Q24" i="16"/>
  <c r="R24" i="16"/>
  <c r="S24" i="16"/>
  <c r="N5" i="16"/>
  <c r="O5" i="16"/>
  <c r="P5" i="16"/>
  <c r="Q5" i="16"/>
  <c r="R5" i="16"/>
  <c r="S5" i="16"/>
  <c r="M5" i="16"/>
  <c r="G8" i="16"/>
  <c r="J8" i="16" s="1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5" i="16"/>
  <c r="G6" i="16"/>
  <c r="J6" i="16" s="1"/>
  <c r="G7" i="16"/>
  <c r="J7" i="16" s="1"/>
  <c r="G9" i="16"/>
  <c r="J9" i="16" s="1"/>
  <c r="G10" i="16"/>
  <c r="J10" i="16" s="1"/>
  <c r="G11" i="16"/>
  <c r="J11" i="16" s="1"/>
  <c r="G12" i="16"/>
  <c r="J12" i="16" s="1"/>
  <c r="G13" i="16"/>
  <c r="J13" i="16" s="1"/>
  <c r="G14" i="16"/>
  <c r="J14" i="16" s="1"/>
  <c r="G15" i="16"/>
  <c r="J15" i="16" s="1"/>
  <c r="G16" i="16"/>
  <c r="J16" i="16" s="1"/>
  <c r="G17" i="16"/>
  <c r="J17" i="16" s="1"/>
  <c r="G18" i="16"/>
  <c r="J18" i="16" s="1"/>
  <c r="G19" i="16"/>
  <c r="J19" i="16" s="1"/>
  <c r="G20" i="16"/>
  <c r="J20" i="16" s="1"/>
  <c r="G21" i="16"/>
  <c r="J21" i="16" s="1"/>
  <c r="G5" i="16"/>
  <c r="J5" i="16" s="1"/>
  <c r="N35" i="15"/>
  <c r="O35" i="15" s="1"/>
  <c r="N36" i="15"/>
  <c r="O36" i="15" s="1"/>
  <c r="N37" i="15"/>
  <c r="P37" i="15" s="1"/>
  <c r="N38" i="15"/>
  <c r="P38" i="15" s="1"/>
  <c r="N39" i="15"/>
  <c r="P39" i="15" s="1"/>
  <c r="N40" i="15"/>
  <c r="P40" i="15" s="1"/>
  <c r="N41" i="15"/>
  <c r="P41" i="15" s="1"/>
  <c r="N42" i="15"/>
  <c r="P42" i="15" s="1"/>
  <c r="N43" i="15"/>
  <c r="P43" i="15" s="1"/>
  <c r="N44" i="15"/>
  <c r="P44" i="15" s="1"/>
  <c r="N34" i="15"/>
  <c r="P34" i="15" s="1"/>
  <c r="T19" i="15"/>
  <c r="U19" i="15"/>
  <c r="V19" i="15"/>
  <c r="W19" i="15"/>
  <c r="X19" i="15"/>
  <c r="Y19" i="15"/>
  <c r="Z19" i="15"/>
  <c r="T20" i="15"/>
  <c r="U20" i="15"/>
  <c r="V20" i="15"/>
  <c r="W20" i="15"/>
  <c r="X20" i="15"/>
  <c r="Y20" i="15"/>
  <c r="Z20" i="15"/>
  <c r="T21" i="15"/>
  <c r="U21" i="15"/>
  <c r="V21" i="15"/>
  <c r="W21" i="15"/>
  <c r="X21" i="15"/>
  <c r="Y21" i="15"/>
  <c r="Z21" i="15"/>
  <c r="T22" i="15"/>
  <c r="U22" i="15"/>
  <c r="V22" i="15"/>
  <c r="W22" i="15"/>
  <c r="X22" i="15"/>
  <c r="Y22" i="15"/>
  <c r="Z22" i="15"/>
  <c r="T23" i="15"/>
  <c r="U23" i="15"/>
  <c r="V23" i="15"/>
  <c r="W23" i="15"/>
  <c r="X23" i="15"/>
  <c r="Y23" i="15"/>
  <c r="Z23" i="15"/>
  <c r="T24" i="15"/>
  <c r="U24" i="15"/>
  <c r="V24" i="15"/>
  <c r="W24" i="15"/>
  <c r="X24" i="15"/>
  <c r="Y24" i="15"/>
  <c r="Z24" i="15"/>
  <c r="T25" i="15"/>
  <c r="U25" i="15"/>
  <c r="V25" i="15"/>
  <c r="W25" i="15"/>
  <c r="X25" i="15"/>
  <c r="Y25" i="15"/>
  <c r="Z25" i="15"/>
  <c r="T26" i="15"/>
  <c r="U26" i="15"/>
  <c r="V26" i="15"/>
  <c r="W26" i="15"/>
  <c r="X26" i="15"/>
  <c r="Y26" i="15"/>
  <c r="Z26" i="15"/>
  <c r="T27" i="15"/>
  <c r="U27" i="15"/>
  <c r="V27" i="15"/>
  <c r="W27" i="15"/>
  <c r="X27" i="15"/>
  <c r="Y27" i="15"/>
  <c r="Z27" i="15"/>
  <c r="T28" i="15"/>
  <c r="U28" i="15"/>
  <c r="V28" i="15"/>
  <c r="W28" i="15"/>
  <c r="X28" i="15"/>
  <c r="Y28" i="15"/>
  <c r="Z28" i="15"/>
  <c r="T29" i="15"/>
  <c r="U29" i="15"/>
  <c r="V29" i="15"/>
  <c r="W29" i="15"/>
  <c r="X29" i="15"/>
  <c r="Y29" i="15"/>
  <c r="Z29" i="15"/>
  <c r="S20" i="15"/>
  <c r="S21" i="15"/>
  <c r="S22" i="15"/>
  <c r="S23" i="15"/>
  <c r="S24" i="15"/>
  <c r="S25" i="15"/>
  <c r="S26" i="15"/>
  <c r="S27" i="15"/>
  <c r="S28" i="15"/>
  <c r="S29" i="15"/>
  <c r="S19" i="15"/>
  <c r="T4" i="15"/>
  <c r="U4" i="15"/>
  <c r="V4" i="15"/>
  <c r="W4" i="15"/>
  <c r="X4" i="15"/>
  <c r="Y4" i="15"/>
  <c r="Z4" i="15"/>
  <c r="T5" i="15"/>
  <c r="U5" i="15"/>
  <c r="V5" i="15"/>
  <c r="W5" i="15"/>
  <c r="X5" i="15"/>
  <c r="Y5" i="15"/>
  <c r="Z5" i="15"/>
  <c r="T6" i="15"/>
  <c r="U6" i="15"/>
  <c r="V6" i="15"/>
  <c r="W6" i="15"/>
  <c r="X6" i="15"/>
  <c r="Y6" i="15"/>
  <c r="Z6" i="15"/>
  <c r="T7" i="15"/>
  <c r="U7" i="15"/>
  <c r="V7" i="15"/>
  <c r="W7" i="15"/>
  <c r="X7" i="15"/>
  <c r="Y7" i="15"/>
  <c r="Z7" i="15"/>
  <c r="T8" i="15"/>
  <c r="U8" i="15"/>
  <c r="V8" i="15"/>
  <c r="W8" i="15"/>
  <c r="X8" i="15"/>
  <c r="Y8" i="15"/>
  <c r="Z8" i="15"/>
  <c r="T9" i="15"/>
  <c r="U9" i="15"/>
  <c r="V9" i="15"/>
  <c r="W9" i="15"/>
  <c r="X9" i="15"/>
  <c r="Y9" i="15"/>
  <c r="Z9" i="15"/>
  <c r="T10" i="15"/>
  <c r="U10" i="15"/>
  <c r="V10" i="15"/>
  <c r="W10" i="15"/>
  <c r="X10" i="15"/>
  <c r="Y10" i="15"/>
  <c r="Z10" i="15"/>
  <c r="T11" i="15"/>
  <c r="U11" i="15"/>
  <c r="V11" i="15"/>
  <c r="W11" i="15"/>
  <c r="X11" i="15"/>
  <c r="Y11" i="15"/>
  <c r="Z11" i="15"/>
  <c r="T12" i="15"/>
  <c r="U12" i="15"/>
  <c r="V12" i="15"/>
  <c r="W12" i="15"/>
  <c r="X12" i="15"/>
  <c r="Y12" i="15"/>
  <c r="Z12" i="15"/>
  <c r="T13" i="15"/>
  <c r="U13" i="15"/>
  <c r="V13" i="15"/>
  <c r="W13" i="15"/>
  <c r="X13" i="15"/>
  <c r="Y13" i="15"/>
  <c r="Z13" i="15"/>
  <c r="T14" i="15"/>
  <c r="U14" i="15"/>
  <c r="V14" i="15"/>
  <c r="W14" i="15"/>
  <c r="X14" i="15"/>
  <c r="Y14" i="15"/>
  <c r="Z14" i="15"/>
  <c r="S5" i="15"/>
  <c r="S6" i="15"/>
  <c r="S7" i="15"/>
  <c r="S8" i="15"/>
  <c r="S9" i="15"/>
  <c r="S10" i="15"/>
  <c r="S11" i="15"/>
  <c r="S12" i="15"/>
  <c r="S13" i="15"/>
  <c r="S14" i="15"/>
  <c r="S4" i="15"/>
  <c r="N5" i="15"/>
  <c r="P5" i="15" s="1"/>
  <c r="N6" i="15"/>
  <c r="P6" i="15" s="1"/>
  <c r="N7" i="15"/>
  <c r="P7" i="15" s="1"/>
  <c r="N8" i="15"/>
  <c r="P8" i="15" s="1"/>
  <c r="N9" i="15"/>
  <c r="P9" i="15" s="1"/>
  <c r="N10" i="15"/>
  <c r="P10" i="15" s="1"/>
  <c r="N11" i="15"/>
  <c r="P11" i="15" s="1"/>
  <c r="N12" i="15"/>
  <c r="P12" i="15" s="1"/>
  <c r="N13" i="15"/>
  <c r="P13" i="15" s="1"/>
  <c r="N14" i="15"/>
  <c r="P14" i="15" s="1"/>
  <c r="N15" i="15"/>
  <c r="P15" i="15" s="1"/>
  <c r="N16" i="15"/>
  <c r="P16" i="15" s="1"/>
  <c r="N17" i="15"/>
  <c r="P17" i="15" s="1"/>
  <c r="N18" i="15"/>
  <c r="P18" i="15" s="1"/>
  <c r="N19" i="15"/>
  <c r="P19" i="15" s="1"/>
  <c r="N20" i="15"/>
  <c r="P20" i="15" s="1"/>
  <c r="N21" i="15"/>
  <c r="P21" i="15" s="1"/>
  <c r="N22" i="15"/>
  <c r="P22" i="15" s="1"/>
  <c r="N23" i="15"/>
  <c r="P23" i="15" s="1"/>
  <c r="N24" i="15"/>
  <c r="P24" i="15" s="1"/>
  <c r="N25" i="15"/>
  <c r="P25" i="15" s="1"/>
  <c r="N26" i="15"/>
  <c r="P26" i="15" s="1"/>
  <c r="N27" i="15"/>
  <c r="P27" i="15" s="1"/>
  <c r="N4" i="15"/>
  <c r="P4" i="15" s="1"/>
  <c r="M5" i="15"/>
  <c r="O5" i="15" s="1"/>
  <c r="M6" i="15"/>
  <c r="O6" i="15" s="1"/>
  <c r="M7" i="15"/>
  <c r="O7" i="15" s="1"/>
  <c r="M8" i="15"/>
  <c r="O8" i="15" s="1"/>
  <c r="M9" i="15"/>
  <c r="O9" i="15" s="1"/>
  <c r="M10" i="15"/>
  <c r="O10" i="15" s="1"/>
  <c r="M11" i="15"/>
  <c r="O11" i="15" s="1"/>
  <c r="M12" i="15"/>
  <c r="O12" i="15" s="1"/>
  <c r="M13" i="15"/>
  <c r="O13" i="15" s="1"/>
  <c r="M14" i="15"/>
  <c r="O14" i="15" s="1"/>
  <c r="M15" i="15"/>
  <c r="O15" i="15" s="1"/>
  <c r="M16" i="15"/>
  <c r="O16" i="15" s="1"/>
  <c r="M17" i="15"/>
  <c r="O17" i="15" s="1"/>
  <c r="M18" i="15"/>
  <c r="O18" i="15" s="1"/>
  <c r="M19" i="15"/>
  <c r="O19" i="15" s="1"/>
  <c r="M20" i="15"/>
  <c r="O20" i="15" s="1"/>
  <c r="M21" i="15"/>
  <c r="O21" i="15" s="1"/>
  <c r="M22" i="15"/>
  <c r="O22" i="15" s="1"/>
  <c r="M23" i="15"/>
  <c r="O23" i="15" s="1"/>
  <c r="M24" i="15"/>
  <c r="O24" i="15" s="1"/>
  <c r="M25" i="15"/>
  <c r="O25" i="15" s="1"/>
  <c r="M26" i="15"/>
  <c r="O26" i="15" s="1"/>
  <c r="M27" i="15"/>
  <c r="O27" i="15" s="1"/>
  <c r="M4" i="15"/>
  <c r="O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AB39" i="15"/>
  <c r="AD37" i="15"/>
  <c r="AE37" i="15" s="1"/>
  <c r="AF28" i="15"/>
  <c r="AH28" i="15" s="1"/>
  <c r="AB28" i="15"/>
  <c r="AB29" i="15" s="1"/>
  <c r="AD29" i="15" s="1"/>
  <c r="AB17" i="15"/>
  <c r="AB16" i="15" s="1"/>
  <c r="AD16" i="15" s="1"/>
  <c r="AB6" i="15"/>
  <c r="AB7" i="15" s="1"/>
  <c r="AD7" i="15" s="1"/>
  <c r="G4" i="14"/>
  <c r="T19" i="14"/>
  <c r="U19" i="14"/>
  <c r="V19" i="14"/>
  <c r="W19" i="14"/>
  <c r="X19" i="14"/>
  <c r="Y19" i="14"/>
  <c r="Z19" i="14"/>
  <c r="AA19" i="14"/>
  <c r="AB19" i="14"/>
  <c r="T20" i="14"/>
  <c r="U20" i="14"/>
  <c r="V20" i="14"/>
  <c r="W20" i="14"/>
  <c r="X20" i="14"/>
  <c r="Y20" i="14"/>
  <c r="Z20" i="14"/>
  <c r="AA20" i="14"/>
  <c r="AB20" i="14"/>
  <c r="T21" i="14"/>
  <c r="U21" i="14"/>
  <c r="V21" i="14"/>
  <c r="W21" i="14"/>
  <c r="X21" i="14"/>
  <c r="Y21" i="14"/>
  <c r="Z21" i="14"/>
  <c r="AA21" i="14"/>
  <c r="AB21" i="14"/>
  <c r="T22" i="14"/>
  <c r="U22" i="14"/>
  <c r="V22" i="14"/>
  <c r="W22" i="14"/>
  <c r="X22" i="14"/>
  <c r="Y22" i="14"/>
  <c r="Z22" i="14"/>
  <c r="AA22" i="14"/>
  <c r="AB22" i="14"/>
  <c r="T23" i="14"/>
  <c r="U23" i="14"/>
  <c r="V23" i="14"/>
  <c r="W23" i="14"/>
  <c r="X23" i="14"/>
  <c r="Y23" i="14"/>
  <c r="Z23" i="14"/>
  <c r="AA23" i="14"/>
  <c r="AB23" i="14"/>
  <c r="T24" i="14"/>
  <c r="U24" i="14"/>
  <c r="V24" i="14"/>
  <c r="W24" i="14"/>
  <c r="X24" i="14"/>
  <c r="Y24" i="14"/>
  <c r="Z24" i="14"/>
  <c r="AA24" i="14"/>
  <c r="AB24" i="14"/>
  <c r="T25" i="14"/>
  <c r="U25" i="14"/>
  <c r="V25" i="14"/>
  <c r="W25" i="14"/>
  <c r="X25" i="14"/>
  <c r="Y25" i="14"/>
  <c r="Z25" i="14"/>
  <c r="AA25" i="14"/>
  <c r="AB25" i="14"/>
  <c r="T26" i="14"/>
  <c r="U26" i="14"/>
  <c r="V26" i="14"/>
  <c r="W26" i="14"/>
  <c r="X26" i="14"/>
  <c r="Y26" i="14"/>
  <c r="Z26" i="14"/>
  <c r="AA26" i="14"/>
  <c r="AB26" i="14"/>
  <c r="T27" i="14"/>
  <c r="U27" i="14"/>
  <c r="V27" i="14"/>
  <c r="W27" i="14"/>
  <c r="X27" i="14"/>
  <c r="Y27" i="14"/>
  <c r="Z27" i="14"/>
  <c r="AA27" i="14"/>
  <c r="AB27" i="14"/>
  <c r="T28" i="14"/>
  <c r="U28" i="14"/>
  <c r="V28" i="14"/>
  <c r="W28" i="14"/>
  <c r="X28" i="14"/>
  <c r="Y28" i="14"/>
  <c r="Z28" i="14"/>
  <c r="AA28" i="14"/>
  <c r="AB28" i="14"/>
  <c r="T29" i="14"/>
  <c r="U29" i="14"/>
  <c r="V29" i="14"/>
  <c r="W29" i="14"/>
  <c r="X29" i="14"/>
  <c r="Y29" i="14"/>
  <c r="Z29" i="14"/>
  <c r="AA29" i="14"/>
  <c r="AB29" i="14"/>
  <c r="S20" i="14"/>
  <c r="S21" i="14"/>
  <c r="S22" i="14"/>
  <c r="S23" i="14"/>
  <c r="S24" i="14"/>
  <c r="S25" i="14"/>
  <c r="S26" i="14"/>
  <c r="S27" i="14"/>
  <c r="S28" i="14"/>
  <c r="S29" i="14"/>
  <c r="S19" i="14"/>
  <c r="AB5" i="14"/>
  <c r="AB6" i="14"/>
  <c r="AB7" i="14"/>
  <c r="AB8" i="14"/>
  <c r="AB9" i="14"/>
  <c r="AB10" i="14"/>
  <c r="AB11" i="14"/>
  <c r="AB12" i="14"/>
  <c r="AB13" i="14"/>
  <c r="AB14" i="14"/>
  <c r="AB4" i="14"/>
  <c r="AA5" i="14"/>
  <c r="AA6" i="14"/>
  <c r="AA7" i="14"/>
  <c r="AA8" i="14"/>
  <c r="AA9" i="14"/>
  <c r="AA10" i="14"/>
  <c r="AA11" i="14"/>
  <c r="AA12" i="14"/>
  <c r="AA13" i="14"/>
  <c r="AA14" i="14"/>
  <c r="AA4" i="14"/>
  <c r="T14" i="14"/>
  <c r="T4" i="14"/>
  <c r="U4" i="14"/>
  <c r="V4" i="14"/>
  <c r="W4" i="14"/>
  <c r="X4" i="14"/>
  <c r="Y4" i="14"/>
  <c r="Z4" i="14"/>
  <c r="T5" i="14"/>
  <c r="U5" i="14"/>
  <c r="V5" i="14"/>
  <c r="W5" i="14"/>
  <c r="X5" i="14"/>
  <c r="Y5" i="14"/>
  <c r="Z5" i="14"/>
  <c r="T6" i="14"/>
  <c r="U6" i="14"/>
  <c r="V6" i="14"/>
  <c r="W6" i="14"/>
  <c r="X6" i="14"/>
  <c r="Y6" i="14"/>
  <c r="Z6" i="14"/>
  <c r="T7" i="14"/>
  <c r="U7" i="14"/>
  <c r="V7" i="14"/>
  <c r="W7" i="14"/>
  <c r="X7" i="14"/>
  <c r="Y7" i="14"/>
  <c r="Z7" i="14"/>
  <c r="T8" i="14"/>
  <c r="U8" i="14"/>
  <c r="V8" i="14"/>
  <c r="W8" i="14"/>
  <c r="X8" i="14"/>
  <c r="Y8" i="14"/>
  <c r="Z8" i="14"/>
  <c r="T9" i="14"/>
  <c r="U9" i="14"/>
  <c r="V9" i="14"/>
  <c r="W9" i="14"/>
  <c r="X9" i="14"/>
  <c r="Y9" i="14"/>
  <c r="Z9" i="14"/>
  <c r="T10" i="14"/>
  <c r="U10" i="14"/>
  <c r="V10" i="14"/>
  <c r="W10" i="14"/>
  <c r="X10" i="14"/>
  <c r="Y10" i="14"/>
  <c r="Z10" i="14"/>
  <c r="T11" i="14"/>
  <c r="U11" i="14"/>
  <c r="V11" i="14"/>
  <c r="W11" i="14"/>
  <c r="X11" i="14"/>
  <c r="Y11" i="14"/>
  <c r="Z11" i="14"/>
  <c r="T12" i="14"/>
  <c r="U12" i="14"/>
  <c r="V12" i="14"/>
  <c r="W12" i="14"/>
  <c r="X12" i="14"/>
  <c r="Y12" i="14"/>
  <c r="Z12" i="14"/>
  <c r="T13" i="14"/>
  <c r="U13" i="14"/>
  <c r="V13" i="14"/>
  <c r="W13" i="14"/>
  <c r="X13" i="14"/>
  <c r="Y13" i="14"/>
  <c r="Z13" i="14"/>
  <c r="U14" i="14"/>
  <c r="V14" i="14"/>
  <c r="W14" i="14"/>
  <c r="X14" i="14"/>
  <c r="Y14" i="14"/>
  <c r="Z14" i="14"/>
  <c r="S5" i="14"/>
  <c r="S6" i="14"/>
  <c r="S7" i="14"/>
  <c r="S8" i="14"/>
  <c r="S9" i="14"/>
  <c r="S10" i="14"/>
  <c r="S11" i="14"/>
  <c r="S12" i="14"/>
  <c r="S13" i="14"/>
  <c r="S14" i="14"/>
  <c r="S4" i="14"/>
  <c r="N5" i="14"/>
  <c r="P5" i="14" s="1"/>
  <c r="N6" i="14"/>
  <c r="P6" i="14" s="1"/>
  <c r="N7" i="14"/>
  <c r="P7" i="14" s="1"/>
  <c r="N8" i="14"/>
  <c r="P8" i="14" s="1"/>
  <c r="N9" i="14"/>
  <c r="P9" i="14" s="1"/>
  <c r="N10" i="14"/>
  <c r="P10" i="14" s="1"/>
  <c r="N11" i="14"/>
  <c r="P11" i="14" s="1"/>
  <c r="N12" i="14"/>
  <c r="P12" i="14" s="1"/>
  <c r="N13" i="14"/>
  <c r="P13" i="14" s="1"/>
  <c r="N14" i="14"/>
  <c r="P14" i="14" s="1"/>
  <c r="N15" i="14"/>
  <c r="P15" i="14" s="1"/>
  <c r="N16" i="14"/>
  <c r="P16" i="14" s="1"/>
  <c r="N17" i="14"/>
  <c r="P17" i="14" s="1"/>
  <c r="N18" i="14"/>
  <c r="P18" i="14" s="1"/>
  <c r="N19" i="14"/>
  <c r="P19" i="14" s="1"/>
  <c r="N20" i="14"/>
  <c r="P20" i="14" s="1"/>
  <c r="N21" i="14"/>
  <c r="P21" i="14" s="1"/>
  <c r="N22" i="14"/>
  <c r="P22" i="14" s="1"/>
  <c r="N23" i="14"/>
  <c r="P23" i="14" s="1"/>
  <c r="N24" i="14"/>
  <c r="P24" i="14" s="1"/>
  <c r="N25" i="14"/>
  <c r="P25" i="14" s="1"/>
  <c r="N26" i="14"/>
  <c r="P26" i="14" s="1"/>
  <c r="N27" i="14"/>
  <c r="P27" i="14" s="1"/>
  <c r="N4" i="14"/>
  <c r="P4" i="14" s="1"/>
  <c r="M5" i="14"/>
  <c r="O5" i="14" s="1"/>
  <c r="M6" i="14"/>
  <c r="O6" i="14" s="1"/>
  <c r="M7" i="14"/>
  <c r="O7" i="14" s="1"/>
  <c r="M8" i="14"/>
  <c r="O8" i="14" s="1"/>
  <c r="M9" i="14"/>
  <c r="O9" i="14" s="1"/>
  <c r="M10" i="14"/>
  <c r="O10" i="14" s="1"/>
  <c r="M11" i="14"/>
  <c r="O11" i="14" s="1"/>
  <c r="M12" i="14"/>
  <c r="O12" i="14" s="1"/>
  <c r="M13" i="14"/>
  <c r="O13" i="14" s="1"/>
  <c r="M14" i="14"/>
  <c r="O14" i="14" s="1"/>
  <c r="M15" i="14"/>
  <c r="O15" i="14" s="1"/>
  <c r="M16" i="14"/>
  <c r="O16" i="14" s="1"/>
  <c r="M17" i="14"/>
  <c r="O17" i="14" s="1"/>
  <c r="M18" i="14"/>
  <c r="O18" i="14" s="1"/>
  <c r="M19" i="14"/>
  <c r="O19" i="14" s="1"/>
  <c r="M20" i="14"/>
  <c r="O20" i="14" s="1"/>
  <c r="M21" i="14"/>
  <c r="O21" i="14" s="1"/>
  <c r="M22" i="14"/>
  <c r="O22" i="14" s="1"/>
  <c r="M23" i="14"/>
  <c r="O23" i="14" s="1"/>
  <c r="M24" i="14"/>
  <c r="O24" i="14" s="1"/>
  <c r="M25" i="14"/>
  <c r="O25" i="14" s="1"/>
  <c r="M26" i="14"/>
  <c r="O26" i="14" s="1"/>
  <c r="M27" i="14"/>
  <c r="O27" i="14" s="1"/>
  <c r="M4" i="14"/>
  <c r="O4" i="14" s="1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H4" i="14"/>
  <c r="AD39" i="14"/>
  <c r="AD40" i="14" s="1"/>
  <c r="AF37" i="14"/>
  <c r="AE37" i="14" s="1"/>
  <c r="AH28" i="14"/>
  <c r="AI28" i="14" s="1"/>
  <c r="AD28" i="14"/>
  <c r="AE28" i="14" s="1"/>
  <c r="AD17" i="14"/>
  <c r="AD16" i="14" s="1"/>
  <c r="AG16" i="14" s="1"/>
  <c r="AD6" i="14"/>
  <c r="AD7" i="14" s="1"/>
  <c r="AG7" i="14" s="1"/>
  <c r="M22" i="13"/>
  <c r="O22" i="13" s="1"/>
  <c r="N22" i="13"/>
  <c r="P22" i="13" s="1"/>
  <c r="M23" i="13"/>
  <c r="O23" i="13" s="1"/>
  <c r="N23" i="13"/>
  <c r="P23" i="13" s="1"/>
  <c r="M24" i="13"/>
  <c r="O24" i="13" s="1"/>
  <c r="N24" i="13"/>
  <c r="P24" i="13" s="1"/>
  <c r="M25" i="13"/>
  <c r="O25" i="13" s="1"/>
  <c r="N25" i="13"/>
  <c r="P25" i="13" s="1"/>
  <c r="M26" i="13"/>
  <c r="O26" i="13" s="1"/>
  <c r="N26" i="13"/>
  <c r="P26" i="13" s="1"/>
  <c r="M27" i="13"/>
  <c r="O27" i="13" s="1"/>
  <c r="N27" i="13"/>
  <c r="P27" i="13" s="1"/>
  <c r="M13" i="13"/>
  <c r="O13" i="13" s="1"/>
  <c r="N13" i="13"/>
  <c r="P13" i="13" s="1"/>
  <c r="M14" i="13"/>
  <c r="O14" i="13" s="1"/>
  <c r="N14" i="13"/>
  <c r="P14" i="13" s="1"/>
  <c r="M15" i="13"/>
  <c r="O15" i="13" s="1"/>
  <c r="N15" i="13"/>
  <c r="P15" i="13" s="1"/>
  <c r="M16" i="13"/>
  <c r="O16" i="13" s="1"/>
  <c r="N16" i="13"/>
  <c r="P16" i="13" s="1"/>
  <c r="M17" i="13"/>
  <c r="O17" i="13" s="1"/>
  <c r="N17" i="13"/>
  <c r="P17" i="13" s="1"/>
  <c r="M18" i="13"/>
  <c r="O18" i="13" s="1"/>
  <c r="N18" i="13"/>
  <c r="P18" i="13" s="1"/>
  <c r="M19" i="13"/>
  <c r="O19" i="13" s="1"/>
  <c r="N19" i="13"/>
  <c r="P19" i="13" s="1"/>
  <c r="M20" i="13"/>
  <c r="O20" i="13" s="1"/>
  <c r="N20" i="13"/>
  <c r="P20" i="13" s="1"/>
  <c r="M21" i="13"/>
  <c r="O21" i="13" s="1"/>
  <c r="N21" i="13"/>
  <c r="P21" i="13" s="1"/>
  <c r="S20" i="13"/>
  <c r="T20" i="13"/>
  <c r="U20" i="13"/>
  <c r="V20" i="13"/>
  <c r="W20" i="13"/>
  <c r="X20" i="13"/>
  <c r="Y20" i="13"/>
  <c r="Z20" i="13"/>
  <c r="S21" i="13"/>
  <c r="T21" i="13"/>
  <c r="U21" i="13"/>
  <c r="V21" i="13"/>
  <c r="W21" i="13"/>
  <c r="X21" i="13"/>
  <c r="Y21" i="13"/>
  <c r="Z21" i="13"/>
  <c r="S22" i="13"/>
  <c r="T22" i="13"/>
  <c r="U22" i="13"/>
  <c r="V22" i="13"/>
  <c r="W22" i="13"/>
  <c r="X22" i="13"/>
  <c r="Y22" i="13"/>
  <c r="Z22" i="13"/>
  <c r="S23" i="13"/>
  <c r="T23" i="13"/>
  <c r="U23" i="13"/>
  <c r="V23" i="13"/>
  <c r="W23" i="13"/>
  <c r="X23" i="13"/>
  <c r="Y23" i="13"/>
  <c r="Z23" i="13"/>
  <c r="S24" i="13"/>
  <c r="T24" i="13"/>
  <c r="U24" i="13"/>
  <c r="V24" i="13"/>
  <c r="W24" i="13"/>
  <c r="X24" i="13"/>
  <c r="Y24" i="13"/>
  <c r="Z24" i="13"/>
  <c r="S25" i="13"/>
  <c r="T25" i="13"/>
  <c r="U25" i="13"/>
  <c r="V25" i="13"/>
  <c r="W25" i="13"/>
  <c r="X25" i="13"/>
  <c r="Y25" i="13"/>
  <c r="Z25" i="13"/>
  <c r="S26" i="13"/>
  <c r="T26" i="13"/>
  <c r="U26" i="13"/>
  <c r="V26" i="13"/>
  <c r="W26" i="13"/>
  <c r="X26" i="13"/>
  <c r="Y26" i="13"/>
  <c r="Z26" i="13"/>
  <c r="S27" i="13"/>
  <c r="T27" i="13"/>
  <c r="U27" i="13"/>
  <c r="V27" i="13"/>
  <c r="W27" i="13"/>
  <c r="X27" i="13"/>
  <c r="Y27" i="13"/>
  <c r="Z27" i="13"/>
  <c r="S28" i="13"/>
  <c r="T28" i="13"/>
  <c r="U28" i="13"/>
  <c r="V28" i="13"/>
  <c r="W28" i="13"/>
  <c r="X28" i="13"/>
  <c r="Y28" i="13"/>
  <c r="Z28" i="13"/>
  <c r="S29" i="13"/>
  <c r="T29" i="13"/>
  <c r="U29" i="13"/>
  <c r="V29" i="13"/>
  <c r="W29" i="13"/>
  <c r="X29" i="13"/>
  <c r="Y29" i="13"/>
  <c r="Z29" i="13"/>
  <c r="T19" i="13"/>
  <c r="U19" i="13"/>
  <c r="V19" i="13"/>
  <c r="W19" i="13"/>
  <c r="X19" i="13"/>
  <c r="Y19" i="13"/>
  <c r="Z19" i="13"/>
  <c r="S19" i="13"/>
  <c r="S5" i="13"/>
  <c r="T5" i="13"/>
  <c r="U5" i="13"/>
  <c r="V5" i="13"/>
  <c r="W5" i="13"/>
  <c r="X5" i="13"/>
  <c r="Y5" i="13"/>
  <c r="Z5" i="13"/>
  <c r="S6" i="13"/>
  <c r="T6" i="13"/>
  <c r="U6" i="13"/>
  <c r="V6" i="13"/>
  <c r="W6" i="13"/>
  <c r="X6" i="13"/>
  <c r="Y6" i="13"/>
  <c r="Z6" i="13"/>
  <c r="S7" i="13"/>
  <c r="T7" i="13"/>
  <c r="U7" i="13"/>
  <c r="V7" i="13"/>
  <c r="W7" i="13"/>
  <c r="X7" i="13"/>
  <c r="Y7" i="13"/>
  <c r="Z7" i="13"/>
  <c r="S8" i="13"/>
  <c r="T8" i="13"/>
  <c r="U8" i="13"/>
  <c r="V8" i="13"/>
  <c r="W8" i="13"/>
  <c r="X8" i="13"/>
  <c r="Y8" i="13"/>
  <c r="Z8" i="13"/>
  <c r="S9" i="13"/>
  <c r="T9" i="13"/>
  <c r="U9" i="13"/>
  <c r="V9" i="13"/>
  <c r="W9" i="13"/>
  <c r="X9" i="13"/>
  <c r="Y9" i="13"/>
  <c r="Z9" i="13"/>
  <c r="S10" i="13"/>
  <c r="T10" i="13"/>
  <c r="U10" i="13"/>
  <c r="V10" i="13"/>
  <c r="W10" i="13"/>
  <c r="X10" i="13"/>
  <c r="Y10" i="13"/>
  <c r="Z10" i="13"/>
  <c r="S11" i="13"/>
  <c r="T11" i="13"/>
  <c r="U11" i="13"/>
  <c r="V11" i="13"/>
  <c r="W11" i="13"/>
  <c r="X11" i="13"/>
  <c r="Y11" i="13"/>
  <c r="Z11" i="13"/>
  <c r="S12" i="13"/>
  <c r="T12" i="13"/>
  <c r="U12" i="13"/>
  <c r="V12" i="13"/>
  <c r="W12" i="13"/>
  <c r="X12" i="13"/>
  <c r="Y12" i="13"/>
  <c r="Z12" i="13"/>
  <c r="S13" i="13"/>
  <c r="T13" i="13"/>
  <c r="U13" i="13"/>
  <c r="V13" i="13"/>
  <c r="W13" i="13"/>
  <c r="X13" i="13"/>
  <c r="Y13" i="13"/>
  <c r="Z13" i="13"/>
  <c r="S14" i="13"/>
  <c r="T14" i="13"/>
  <c r="U14" i="13"/>
  <c r="V14" i="13"/>
  <c r="W14" i="13"/>
  <c r="X14" i="13"/>
  <c r="Y14" i="13"/>
  <c r="Z14" i="13"/>
  <c r="T4" i="13"/>
  <c r="U4" i="13"/>
  <c r="V4" i="13"/>
  <c r="W4" i="13"/>
  <c r="X4" i="13"/>
  <c r="Y4" i="13"/>
  <c r="Z4" i="13"/>
  <c r="S4" i="13"/>
  <c r="AD37" i="13"/>
  <c r="AE37" i="13" s="1"/>
  <c r="AB39" i="13"/>
  <c r="AB40" i="13" s="1"/>
  <c r="AF28" i="13"/>
  <c r="AH28" i="13" s="1"/>
  <c r="AB28" i="13"/>
  <c r="AD28" i="13" s="1"/>
  <c r="AB17" i="13"/>
  <c r="AD17" i="13" s="1"/>
  <c r="AB6" i="13"/>
  <c r="AE6" i="13" s="1"/>
  <c r="N5" i="13"/>
  <c r="P5" i="13" s="1"/>
  <c r="N6" i="13"/>
  <c r="P6" i="13" s="1"/>
  <c r="N7" i="13"/>
  <c r="P7" i="13" s="1"/>
  <c r="N8" i="13"/>
  <c r="P8" i="13" s="1"/>
  <c r="N9" i="13"/>
  <c r="P9" i="13" s="1"/>
  <c r="N10" i="13"/>
  <c r="P10" i="13" s="1"/>
  <c r="N11" i="13"/>
  <c r="P11" i="13" s="1"/>
  <c r="N12" i="13"/>
  <c r="P12" i="13" s="1"/>
  <c r="N4" i="13"/>
  <c r="P4" i="13" s="1"/>
  <c r="M5" i="13"/>
  <c r="O5" i="13" s="1"/>
  <c r="M6" i="13"/>
  <c r="O6" i="13" s="1"/>
  <c r="M7" i="13"/>
  <c r="O7" i="13" s="1"/>
  <c r="M8" i="13"/>
  <c r="O8" i="13" s="1"/>
  <c r="M9" i="13"/>
  <c r="O9" i="13" s="1"/>
  <c r="M10" i="13"/>
  <c r="O10" i="13" s="1"/>
  <c r="M11" i="13"/>
  <c r="O11" i="13" s="1"/>
  <c r="M12" i="13"/>
  <c r="O12" i="13" s="1"/>
  <c r="M4" i="13"/>
  <c r="O4" i="13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4" i="13"/>
  <c r="C4" i="3"/>
  <c r="C7" i="3"/>
  <c r="C6" i="3"/>
  <c r="C3" i="3"/>
  <c r="C5" i="3"/>
  <c r="AE23" i="16" l="1"/>
  <c r="R44" i="15"/>
  <c r="S44" i="15" s="1"/>
  <c r="Q44" i="15"/>
  <c r="R43" i="15"/>
  <c r="S43" i="15" s="1"/>
  <c r="Q43" i="15"/>
  <c r="R42" i="15"/>
  <c r="S42" i="15" s="1"/>
  <c r="Q42" i="15"/>
  <c r="R41" i="15"/>
  <c r="S41" i="15" s="1"/>
  <c r="Q41" i="15"/>
  <c r="R40" i="15"/>
  <c r="S40" i="15" s="1"/>
  <c r="Q40" i="15"/>
  <c r="R39" i="15"/>
  <c r="S39" i="15" s="1"/>
  <c r="Q39" i="15"/>
  <c r="R38" i="15"/>
  <c r="S38" i="15" s="1"/>
  <c r="Q38" i="15"/>
  <c r="R37" i="15"/>
  <c r="S37" i="15" s="1"/>
  <c r="Q37" i="15"/>
  <c r="P36" i="15"/>
  <c r="P35" i="15"/>
  <c r="O44" i="15"/>
  <c r="O43" i="15"/>
  <c r="O42" i="15"/>
  <c r="O41" i="15"/>
  <c r="O40" i="15"/>
  <c r="O39" i="15"/>
  <c r="O38" i="15"/>
  <c r="O37" i="15"/>
  <c r="Q34" i="15"/>
  <c r="R34" i="15"/>
  <c r="S34" i="15" s="1"/>
  <c r="O34" i="15"/>
  <c r="AC28" i="15"/>
  <c r="AD28" i="15"/>
  <c r="AC29" i="15"/>
  <c r="AE39" i="15"/>
  <c r="I14" i="15"/>
  <c r="I9" i="15"/>
  <c r="AB38" i="15"/>
  <c r="AE38" i="15" s="1"/>
  <c r="AB27" i="15"/>
  <c r="AD6" i="15"/>
  <c r="AD39" i="15"/>
  <c r="AB5" i="15"/>
  <c r="AE7" i="15"/>
  <c r="AE6" i="15"/>
  <c r="AC7" i="15"/>
  <c r="AC6" i="15"/>
  <c r="AC16" i="15"/>
  <c r="AI39" i="15"/>
  <c r="AC17" i="15"/>
  <c r="AH39" i="15"/>
  <c r="AI38" i="15"/>
  <c r="AB40" i="15"/>
  <c r="AH38" i="15"/>
  <c r="AE17" i="15"/>
  <c r="AD17" i="15"/>
  <c r="AE16" i="15"/>
  <c r="AM39" i="15"/>
  <c r="AG28" i="15"/>
  <c r="AL39" i="15"/>
  <c r="AQ38" i="15"/>
  <c r="AP38" i="15"/>
  <c r="AQ39" i="15"/>
  <c r="AP39" i="15"/>
  <c r="I16" i="15"/>
  <c r="I19" i="15"/>
  <c r="I13" i="15"/>
  <c r="I12" i="15"/>
  <c r="I10" i="15"/>
  <c r="I8" i="15"/>
  <c r="I5" i="15"/>
  <c r="I17" i="15"/>
  <c r="I11" i="15"/>
  <c r="I4" i="15"/>
  <c r="I15" i="15"/>
  <c r="I20" i="15"/>
  <c r="I6" i="15"/>
  <c r="I18" i="15"/>
  <c r="I7" i="15"/>
  <c r="AF29" i="15"/>
  <c r="AF27" i="15"/>
  <c r="AB18" i="15"/>
  <c r="AC37" i="15"/>
  <c r="AQ40" i="14"/>
  <c r="AR40" i="14"/>
  <c r="AR39" i="14"/>
  <c r="AQ39" i="14"/>
  <c r="AM40" i="14"/>
  <c r="AF40" i="14"/>
  <c r="AE40" i="14"/>
  <c r="AF39" i="14"/>
  <c r="AE39" i="14"/>
  <c r="AJ40" i="14"/>
  <c r="AI40" i="14"/>
  <c r="AJ39" i="14"/>
  <c r="AI39" i="14"/>
  <c r="AN40" i="14"/>
  <c r="AN39" i="14"/>
  <c r="AM39" i="14"/>
  <c r="AJ28" i="14"/>
  <c r="AF28" i="14"/>
  <c r="AF16" i="14"/>
  <c r="AF17" i="14"/>
  <c r="AE16" i="14"/>
  <c r="AE17" i="14"/>
  <c r="AG17" i="14"/>
  <c r="AE7" i="14"/>
  <c r="AE6" i="14"/>
  <c r="AF7" i="14"/>
  <c r="AF6" i="14"/>
  <c r="AG6" i="14"/>
  <c r="AF27" i="13"/>
  <c r="AH27" i="13" s="1"/>
  <c r="I12" i="14"/>
  <c r="I10" i="14"/>
  <c r="I7" i="14"/>
  <c r="I14" i="14"/>
  <c r="AG37" i="14"/>
  <c r="AS40" i="14" s="1"/>
  <c r="AD38" i="14"/>
  <c r="I19" i="14"/>
  <c r="I6" i="14"/>
  <c r="I18" i="14"/>
  <c r="I9" i="14"/>
  <c r="I8" i="14"/>
  <c r="I4" i="14"/>
  <c r="AD29" i="14"/>
  <c r="AF29" i="14" s="1"/>
  <c r="I20" i="14"/>
  <c r="AD27" i="14"/>
  <c r="AF27" i="14" s="1"/>
  <c r="I17" i="14"/>
  <c r="I16" i="14"/>
  <c r="I15" i="14"/>
  <c r="I13" i="14"/>
  <c r="I11" i="14"/>
  <c r="I5" i="14"/>
  <c r="AH29" i="14"/>
  <c r="AH27" i="14"/>
  <c r="AD18" i="14"/>
  <c r="AD5" i="14"/>
  <c r="AB27" i="13"/>
  <c r="AC27" i="13" s="1"/>
  <c r="AC28" i="13"/>
  <c r="AG28" i="13"/>
  <c r="AP40" i="13"/>
  <c r="I14" i="13"/>
  <c r="AF29" i="13"/>
  <c r="AH29" i="13" s="1"/>
  <c r="AH40" i="13"/>
  <c r="AH39" i="13"/>
  <c r="AP39" i="13"/>
  <c r="AE39" i="13"/>
  <c r="AI39" i="13"/>
  <c r="AI40" i="13"/>
  <c r="AC6" i="13"/>
  <c r="AG27" i="13"/>
  <c r="AD6" i="13"/>
  <c r="I16" i="13"/>
  <c r="AM40" i="13"/>
  <c r="AL40" i="13"/>
  <c r="AC37" i="13"/>
  <c r="AK39" i="13" s="1"/>
  <c r="AM39" i="13"/>
  <c r="AL39" i="13"/>
  <c r="AE40" i="13"/>
  <c r="AD40" i="13"/>
  <c r="AQ40" i="13"/>
  <c r="AD39" i="13"/>
  <c r="AQ39" i="13"/>
  <c r="AB38" i="13"/>
  <c r="AB29" i="13"/>
  <c r="AB16" i="13"/>
  <c r="AD16" i="13" s="1"/>
  <c r="AC17" i="13"/>
  <c r="I10" i="13"/>
  <c r="AB18" i="13"/>
  <c r="AC18" i="13" s="1"/>
  <c r="AE17" i="13"/>
  <c r="AB5" i="13"/>
  <c r="AE5" i="13" s="1"/>
  <c r="AB7" i="13"/>
  <c r="I12" i="13"/>
  <c r="I15" i="13"/>
  <c r="I13" i="13"/>
  <c r="I19" i="13"/>
  <c r="I20" i="13"/>
  <c r="I7" i="13"/>
  <c r="I4" i="13"/>
  <c r="I8" i="13"/>
  <c r="I18" i="13"/>
  <c r="I11" i="13"/>
  <c r="I6" i="13"/>
  <c r="I5" i="13"/>
  <c r="I17" i="13"/>
  <c r="I9" i="13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" i="9"/>
  <c r="AC38" i="15" l="1"/>
  <c r="AD38" i="15"/>
  <c r="AL38" i="15"/>
  <c r="AM38" i="15"/>
  <c r="R35" i="15"/>
  <c r="S35" i="15" s="1"/>
  <c r="Q35" i="15"/>
  <c r="R36" i="15"/>
  <c r="S36" i="15" s="1"/>
  <c r="Q36" i="15"/>
  <c r="AD27" i="15"/>
  <c r="AC27" i="15"/>
  <c r="AD31" i="15" s="1"/>
  <c r="AD32" i="15" s="1"/>
  <c r="AO38" i="15"/>
  <c r="AD18" i="15"/>
  <c r="AF20" i="15" s="1"/>
  <c r="AF21" i="15" s="1"/>
  <c r="AE18" i="15"/>
  <c r="AC18" i="15"/>
  <c r="AD20" i="15" s="1"/>
  <c r="AD21" i="15" s="1"/>
  <c r="AH27" i="15"/>
  <c r="AG27" i="15"/>
  <c r="AK39" i="15"/>
  <c r="AH29" i="15"/>
  <c r="AG29" i="15"/>
  <c r="AK38" i="15"/>
  <c r="AD40" i="15"/>
  <c r="AE40" i="15"/>
  <c r="AC40" i="15"/>
  <c r="AO40" i="15"/>
  <c r="AP40" i="15"/>
  <c r="AQ40" i="15"/>
  <c r="AL40" i="15"/>
  <c r="AE42" i="15" s="1"/>
  <c r="AE43" i="15" s="1"/>
  <c r="AM40" i="15"/>
  <c r="AK40" i="15"/>
  <c r="AH40" i="15"/>
  <c r="AI40" i="15"/>
  <c r="AG40" i="15"/>
  <c r="AG39" i="15"/>
  <c r="AG38" i="15"/>
  <c r="AO39" i="15"/>
  <c r="AD5" i="15"/>
  <c r="AF9" i="15" s="1"/>
  <c r="AF10" i="15" s="1"/>
  <c r="AC5" i="15"/>
  <c r="AD9" i="15" s="1"/>
  <c r="AD10" i="15" s="1"/>
  <c r="AE5" i="15"/>
  <c r="AC39" i="15"/>
  <c r="AR38" i="14"/>
  <c r="AS38" i="14"/>
  <c r="AS39" i="14"/>
  <c r="AO39" i="14"/>
  <c r="AO40" i="14"/>
  <c r="AK39" i="14"/>
  <c r="AF42" i="14" s="1"/>
  <c r="AF43" i="14" s="1"/>
  <c r="AK40" i="14"/>
  <c r="AQ38" i="14"/>
  <c r="AN38" i="14"/>
  <c r="AG42" i="14" s="1"/>
  <c r="AG43" i="14" s="1"/>
  <c r="AO38" i="14"/>
  <c r="AM38" i="14"/>
  <c r="AJ38" i="14"/>
  <c r="AK38" i="14"/>
  <c r="AI38" i="14"/>
  <c r="AF38" i="14"/>
  <c r="AG38" i="14"/>
  <c r="AE38" i="14"/>
  <c r="AG39" i="14"/>
  <c r="AG40" i="14"/>
  <c r="AI27" i="14"/>
  <c r="AJ27" i="14"/>
  <c r="AI29" i="14"/>
  <c r="AJ29" i="14"/>
  <c r="AE27" i="14"/>
  <c r="AE29" i="14"/>
  <c r="AG18" i="14"/>
  <c r="AE18" i="14"/>
  <c r="AF20" i="14" s="1"/>
  <c r="AF21" i="14" s="1"/>
  <c r="AF18" i="14"/>
  <c r="AH20" i="14" s="1"/>
  <c r="AH21" i="14" s="1"/>
  <c r="K199" i="9"/>
  <c r="K167" i="9"/>
  <c r="K135" i="9"/>
  <c r="AG29" i="13"/>
  <c r="AH31" i="13" s="1"/>
  <c r="AH32" i="13" s="1"/>
  <c r="K179" i="9"/>
  <c r="K147" i="9"/>
  <c r="AG5" i="14"/>
  <c r="AF5" i="14"/>
  <c r="AH9" i="14" s="1"/>
  <c r="AH10" i="14" s="1"/>
  <c r="AE5" i="14"/>
  <c r="AG9" i="14" s="1"/>
  <c r="AG10" i="14" s="1"/>
  <c r="K184" i="9"/>
  <c r="K152" i="9"/>
  <c r="K120" i="9"/>
  <c r="K88" i="9"/>
  <c r="K56" i="9"/>
  <c r="K115" i="9"/>
  <c r="K83" i="9"/>
  <c r="K196" i="9"/>
  <c r="K164" i="9"/>
  <c r="K132" i="9"/>
  <c r="K100" i="9"/>
  <c r="AD27" i="13"/>
  <c r="K68" i="9"/>
  <c r="K195" i="9"/>
  <c r="K163" i="9"/>
  <c r="K131" i="9"/>
  <c r="K99" i="9"/>
  <c r="K67" i="9"/>
  <c r="K35" i="9"/>
  <c r="K192" i="9"/>
  <c r="K160" i="9"/>
  <c r="AC40" i="13"/>
  <c r="E188" i="9"/>
  <c r="E199" i="9"/>
  <c r="K103" i="9"/>
  <c r="K36" i="9"/>
  <c r="K71" i="9"/>
  <c r="K39" i="9"/>
  <c r="K4" i="9"/>
  <c r="AD29" i="13"/>
  <c r="AC29" i="13"/>
  <c r="AD31" i="13" s="1"/>
  <c r="AD32" i="13" s="1"/>
  <c r="AH38" i="13"/>
  <c r="AI38" i="13"/>
  <c r="AG38" i="13"/>
  <c r="AP38" i="13"/>
  <c r="AQ38" i="13"/>
  <c r="AD38" i="13"/>
  <c r="AO38" i="13"/>
  <c r="AE38" i="13"/>
  <c r="AC38" i="13"/>
  <c r="AL38" i="13"/>
  <c r="AE42" i="13" s="1"/>
  <c r="AE43" i="13" s="1"/>
  <c r="AM38" i="13"/>
  <c r="AK38" i="13"/>
  <c r="E147" i="9"/>
  <c r="E115" i="9"/>
  <c r="E83" i="9"/>
  <c r="E179" i="9"/>
  <c r="AO39" i="13"/>
  <c r="AC39" i="13"/>
  <c r="AO40" i="13"/>
  <c r="AG39" i="13"/>
  <c r="AD42" i="13" s="1"/>
  <c r="AD43" i="13" s="1"/>
  <c r="AK40" i="13"/>
  <c r="AD7" i="13"/>
  <c r="AC7" i="13"/>
  <c r="AG40" i="13"/>
  <c r="AD5" i="13"/>
  <c r="AC5" i="13"/>
  <c r="AD18" i="13"/>
  <c r="AF20" i="13" s="1"/>
  <c r="AF21" i="13" s="1"/>
  <c r="E156" i="9"/>
  <c r="K3" i="9"/>
  <c r="AE16" i="13"/>
  <c r="AC16" i="13"/>
  <c r="AD20" i="13" s="1"/>
  <c r="AD21" i="13" s="1"/>
  <c r="E146" i="9"/>
  <c r="E114" i="9"/>
  <c r="K200" i="9"/>
  <c r="K168" i="9"/>
  <c r="K136" i="9"/>
  <c r="K104" i="9"/>
  <c r="K72" i="9"/>
  <c r="K40" i="9"/>
  <c r="K8" i="9"/>
  <c r="AE18" i="13"/>
  <c r="E182" i="9"/>
  <c r="E150" i="9"/>
  <c r="E118" i="9"/>
  <c r="AE7" i="13"/>
  <c r="K7" i="9"/>
  <c r="E86" i="9"/>
  <c r="E54" i="9"/>
  <c r="K171" i="9"/>
  <c r="K139" i="9"/>
  <c r="K107" i="9"/>
  <c r="K75" i="9"/>
  <c r="K43" i="9"/>
  <c r="K11" i="9"/>
  <c r="K183" i="9"/>
  <c r="K151" i="9"/>
  <c r="K119" i="9"/>
  <c r="K87" i="9"/>
  <c r="K55" i="9"/>
  <c r="E177" i="9"/>
  <c r="K176" i="9"/>
  <c r="K144" i="9"/>
  <c r="K112" i="9"/>
  <c r="K80" i="9"/>
  <c r="K48" i="9"/>
  <c r="K175" i="9"/>
  <c r="K143" i="9"/>
  <c r="K111" i="9"/>
  <c r="K79" i="9"/>
  <c r="K47" i="9"/>
  <c r="K172" i="9"/>
  <c r="K140" i="9"/>
  <c r="K108" i="9"/>
  <c r="K76" i="9"/>
  <c r="K44" i="9"/>
  <c r="K12" i="9"/>
  <c r="K15" i="9"/>
  <c r="E101" i="9"/>
  <c r="E133" i="9"/>
  <c r="E197" i="9"/>
  <c r="E165" i="9"/>
  <c r="K16" i="9"/>
  <c r="K23" i="9"/>
  <c r="K180" i="9"/>
  <c r="K148" i="9"/>
  <c r="K116" i="9"/>
  <c r="K84" i="9"/>
  <c r="K52" i="9"/>
  <c r="K24" i="9"/>
  <c r="K20" i="9"/>
  <c r="K51" i="9"/>
  <c r="K19" i="9"/>
  <c r="K59" i="9"/>
  <c r="K27" i="9"/>
  <c r="K187" i="9"/>
  <c r="K155" i="9"/>
  <c r="K123" i="9"/>
  <c r="K188" i="9"/>
  <c r="K156" i="9"/>
  <c r="K124" i="9"/>
  <c r="K92" i="9"/>
  <c r="K128" i="9"/>
  <c r="K96" i="9"/>
  <c r="K60" i="9"/>
  <c r="K91" i="9"/>
  <c r="E181" i="9"/>
  <c r="K64" i="9"/>
  <c r="E82" i="9"/>
  <c r="K32" i="9"/>
  <c r="K31" i="9"/>
  <c r="E50" i="9"/>
  <c r="K28" i="9"/>
  <c r="K63" i="9"/>
  <c r="E161" i="9"/>
  <c r="E129" i="9"/>
  <c r="E97" i="9"/>
  <c r="E160" i="9"/>
  <c r="E128" i="9"/>
  <c r="E96" i="9"/>
  <c r="E64" i="9"/>
  <c r="E192" i="9"/>
  <c r="E190" i="9"/>
  <c r="E158" i="9"/>
  <c r="E126" i="9"/>
  <c r="E94" i="9"/>
  <c r="E62" i="9"/>
  <c r="E30" i="9"/>
  <c r="E193" i="9"/>
  <c r="E51" i="9"/>
  <c r="E19" i="9"/>
  <c r="E145" i="9"/>
  <c r="E113" i="9"/>
  <c r="E81" i="9"/>
  <c r="E143" i="9"/>
  <c r="E111" i="9"/>
  <c r="E79" i="9"/>
  <c r="E47" i="9"/>
  <c r="E178" i="9"/>
  <c r="E175" i="9"/>
  <c r="E173" i="9"/>
  <c r="E172" i="9"/>
  <c r="E140" i="9"/>
  <c r="E108" i="9"/>
  <c r="E76" i="9"/>
  <c r="E44" i="9"/>
  <c r="E124" i="9"/>
  <c r="E92" i="9"/>
  <c r="E60" i="9"/>
  <c r="E28" i="9"/>
  <c r="K191" i="9"/>
  <c r="K159" i="9"/>
  <c r="K127" i="9"/>
  <c r="K95" i="9"/>
  <c r="E142" i="9"/>
  <c r="E78" i="9"/>
  <c r="E46" i="9"/>
  <c r="E174" i="9"/>
  <c r="E110" i="9"/>
  <c r="E196" i="9"/>
  <c r="E164" i="9"/>
  <c r="E132" i="9"/>
  <c r="E100" i="9"/>
  <c r="E68" i="9"/>
  <c r="E36" i="9"/>
  <c r="E187" i="9"/>
  <c r="E155" i="9"/>
  <c r="E123" i="9"/>
  <c r="E91" i="9"/>
  <c r="E59" i="9"/>
  <c r="E27" i="9"/>
  <c r="E186" i="9"/>
  <c r="E154" i="9"/>
  <c r="E122" i="9"/>
  <c r="E90" i="9"/>
  <c r="E58" i="9"/>
  <c r="E26" i="9"/>
  <c r="E184" i="9"/>
  <c r="E152" i="9"/>
  <c r="E120" i="9"/>
  <c r="E88" i="9"/>
  <c r="E56" i="9"/>
  <c r="E24" i="9"/>
  <c r="E151" i="9"/>
  <c r="E119" i="9"/>
  <c r="E87" i="9"/>
  <c r="E55" i="9"/>
  <c r="E23" i="9"/>
  <c r="E22" i="9"/>
  <c r="E183" i="9"/>
  <c r="E85" i="9"/>
  <c r="E149" i="9"/>
  <c r="E117" i="9"/>
  <c r="E180" i="9"/>
  <c r="E148" i="9"/>
  <c r="E116" i="9"/>
  <c r="E84" i="9"/>
  <c r="E52" i="9"/>
  <c r="E20" i="9"/>
  <c r="E2" i="9"/>
  <c r="E171" i="9"/>
  <c r="E139" i="9"/>
  <c r="E107" i="9"/>
  <c r="E75" i="9"/>
  <c r="E43" i="9"/>
  <c r="E201" i="9"/>
  <c r="E169" i="9"/>
  <c r="E137" i="9"/>
  <c r="E105" i="9"/>
  <c r="E167" i="9"/>
  <c r="E135" i="9"/>
  <c r="E103" i="9"/>
  <c r="E71" i="9"/>
  <c r="E39" i="9"/>
  <c r="E200" i="9"/>
  <c r="E194" i="9"/>
  <c r="E162" i="9"/>
  <c r="E130" i="9"/>
  <c r="E98" i="9"/>
  <c r="E66" i="9"/>
  <c r="E34" i="9"/>
  <c r="E32" i="9"/>
  <c r="E191" i="9"/>
  <c r="E159" i="9"/>
  <c r="E127" i="9"/>
  <c r="E95" i="9"/>
  <c r="E63" i="9"/>
  <c r="E31" i="9"/>
  <c r="E189" i="9"/>
  <c r="E157" i="9"/>
  <c r="E125" i="9"/>
  <c r="E93" i="9"/>
  <c r="E185" i="9"/>
  <c r="E153" i="9"/>
  <c r="E121" i="9"/>
  <c r="E89" i="9"/>
  <c r="E144" i="9"/>
  <c r="E176" i="9"/>
  <c r="E141" i="9"/>
  <c r="E109" i="9"/>
  <c r="E48" i="9"/>
  <c r="E80" i="9"/>
  <c r="E112" i="9"/>
  <c r="E202" i="9"/>
  <c r="E170" i="9"/>
  <c r="E138" i="9"/>
  <c r="E106" i="9"/>
  <c r="E74" i="9"/>
  <c r="E42" i="9"/>
  <c r="E104" i="9"/>
  <c r="E168" i="9"/>
  <c r="E40" i="9"/>
  <c r="E198" i="9"/>
  <c r="E134" i="9"/>
  <c r="E38" i="9"/>
  <c r="E72" i="9"/>
  <c r="E70" i="9"/>
  <c r="E136" i="9"/>
  <c r="E166" i="9"/>
  <c r="E102" i="9"/>
  <c r="E195" i="9"/>
  <c r="E163" i="9"/>
  <c r="E131" i="9"/>
  <c r="E99" i="9"/>
  <c r="E67" i="9"/>
  <c r="E35" i="9"/>
  <c r="H189" i="9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AD42" i="15" l="1"/>
  <c r="AD43" i="15" s="1"/>
  <c r="AH31" i="15"/>
  <c r="AH32" i="15" s="1"/>
  <c r="AE9" i="15"/>
  <c r="AE10" i="15" s="1"/>
  <c r="AE20" i="15"/>
  <c r="AE21" i="15" s="1"/>
  <c r="AF31" i="14"/>
  <c r="AF32" i="14" s="1"/>
  <c r="AJ31" i="14"/>
  <c r="AJ32" i="14" s="1"/>
  <c r="AG20" i="14"/>
  <c r="AG21" i="14" s="1"/>
  <c r="AF9" i="14"/>
  <c r="AF10" i="14" s="1"/>
  <c r="AD9" i="13"/>
  <c r="AD10" i="13" s="1"/>
  <c r="AF9" i="13"/>
  <c r="AF10" i="13" s="1"/>
  <c r="AE20" i="13"/>
  <c r="AE21" i="13" s="1"/>
  <c r="AE9" i="13"/>
  <c r="AE10" i="13" s="1"/>
  <c r="H201" i="9"/>
  <c r="H197" i="9"/>
  <c r="H193" i="9"/>
  <c r="E1" i="9"/>
  <c r="K1" i="9"/>
  <c r="H1" i="9" l="1"/>
  <c r="C19" i="3"/>
  <c r="C21" i="3" s="1"/>
  <c r="C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H31" authorId="0" shapeId="0" xr:uid="{52A807D8-CAD8-471D-AECB-D665B7DF4903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C7" authorId="0" shapeId="0" xr:uid="{1DA27116-B172-4294-B6BF-AFA92AD645F0}">
      <text>
        <r>
          <rPr>
            <b/>
            <sz val="9"/>
            <color indexed="81"/>
            <rFont val="Tahoma"/>
            <family val="2"/>
          </rPr>
          <t>Normal Vol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1" authorId="0" shapeId="0" xr:uid="{AD526814-FE43-498D-A598-17F7DED3D27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J31" authorId="0" shapeId="0" xr:uid="{667BBBA4-BB59-4469-8ECC-7D8DECCBF6D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B15" authorId="0" shapeId="0" xr:uid="{318E53DF-D189-4CA7-9B6F-B52507DAE4F6}">
      <text>
        <r>
          <rPr>
            <sz val="9"/>
            <color indexed="81"/>
            <rFont val="Tahoma"/>
            <family val="2"/>
          </rPr>
          <t>Numerical Methods versus Bjerksund and Stensland
Approximations for American Options Pricing
Marasovic Branka, Aljinovic Zdravka, Poklepovic Tea</t>
        </r>
      </text>
    </comment>
  </commentList>
</comments>
</file>

<file path=xl/sharedStrings.xml><?xml version="1.0" encoding="utf-8"?>
<sst xmlns="http://schemas.openxmlformats.org/spreadsheetml/2006/main" count="373" uniqueCount="145">
  <si>
    <t>x</t>
  </si>
  <si>
    <t>date</t>
  </si>
  <si>
    <t>Converted</t>
  </si>
  <si>
    <t>Date Conversion</t>
  </si>
  <si>
    <t>Add-in Info</t>
  </si>
  <si>
    <t>Add-in path</t>
  </si>
  <si>
    <t>Excel version</t>
  </si>
  <si>
    <t>Add-In version</t>
  </si>
  <si>
    <t>Excel-DNA version</t>
  </si>
  <si>
    <t>Ctrl+Shift+H</t>
  </si>
  <si>
    <t>Shortcuts</t>
  </si>
  <si>
    <t>Show ACQ log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</si>
  <si>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</si>
  <si>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</si>
  <si>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</si>
  <si>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</si>
  <si>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</si>
  <si>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</si>
  <si>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</si>
  <si>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</si>
  <si>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</si>
  <si>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</si>
  <si>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</si>
  <si>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</si>
  <si>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</si>
  <si>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</si>
  <si>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</si>
  <si>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</si>
  <si>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</si>
  <si>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</si>
  <si>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</si>
  <si>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</si>
  <si>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</si>
  <si>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</si>
  <si>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</si>
  <si>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</si>
  <si>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</si>
  <si>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</si>
  <si>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</si>
  <si>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</si>
  <si>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</si>
  <si>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</si>
  <si>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</si>
  <si>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</si>
  <si>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</si>
  <si>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</si>
  <si>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</si>
  <si>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</si>
  <si>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</si>
  <si>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</si>
  <si>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</si>
  <si>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</si>
  <si>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</si>
  <si>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</si>
  <si>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</si>
  <si>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</si>
  <si>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</si>
  <si>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</si>
  <si>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</si>
  <si>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</si>
  <si>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</si>
  <si>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</si>
  <si>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</si>
  <si>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</si>
  <si>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</si>
  <si>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</si>
  <si>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</si>
  <si>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</si>
  <si>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</si>
  <si>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</si>
  <si>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ERF.PRECISE</t>
  </si>
  <si>
    <t>ERFC.PRECISE</t>
  </si>
  <si>
    <t>NORM.S.DIST</t>
  </si>
  <si>
    <t>acq_special_erf</t>
  </si>
  <si>
    <t>acq_special_erfc</t>
  </si>
  <si>
    <t>acq_special_normalcdf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</si>
  <si>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</si>
  <si>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</si>
  <si>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</si>
  <si>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</si>
  <si>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</si>
  <si>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</si>
  <si>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</si>
  <si>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</si>
  <si>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acq_interpolator_eval_deriv</t>
  </si>
  <si>
    <t>Evaluates first derivative of interpolation function (1D)</t>
  </si>
  <si>
    <t>forward</t>
  </si>
  <si>
    <t>strike</t>
  </si>
  <si>
    <t>time</t>
  </si>
  <si>
    <t>sigma</t>
  </si>
  <si>
    <t>rate</t>
  </si>
  <si>
    <t>Call</t>
  </si>
  <si>
    <t>Option Params</t>
  </si>
  <si>
    <t>Call Price</t>
  </si>
  <si>
    <t>Put Price</t>
  </si>
  <si>
    <t>Parity Check</t>
  </si>
  <si>
    <t>Vol</t>
  </si>
  <si>
    <t>Option Price</t>
  </si>
  <si>
    <t>Implied Volatility</t>
  </si>
  <si>
    <t>Price</t>
  </si>
  <si>
    <t>Delta</t>
  </si>
  <si>
    <t>Gamma</t>
  </si>
  <si>
    <t>Vega</t>
  </si>
  <si>
    <t>Vomma</t>
  </si>
  <si>
    <t>Vanna</t>
  </si>
  <si>
    <t>Rho</t>
  </si>
  <si>
    <t>Theta</t>
  </si>
  <si>
    <t>Call Greeks</t>
  </si>
  <si>
    <t>Put Greeks</t>
  </si>
  <si>
    <t>Forward</t>
  </si>
  <si>
    <t>dF</t>
  </si>
  <si>
    <t>Error</t>
  </si>
  <si>
    <t>Delta/Gamma Check</t>
  </si>
  <si>
    <t>dsigma</t>
  </si>
  <si>
    <t>Vega/Vomma Check</t>
  </si>
  <si>
    <t>Rho Check</t>
  </si>
  <si>
    <t>drate</t>
  </si>
  <si>
    <t>Theta Check</t>
  </si>
  <si>
    <t>dtime</t>
  </si>
  <si>
    <t>Vanna Check</t>
  </si>
  <si>
    <t>Forward/sigma</t>
  </si>
  <si>
    <t>Call Vol</t>
  </si>
  <si>
    <t>Put Vol</t>
  </si>
  <si>
    <t>dividend</t>
  </si>
  <si>
    <t>spot</t>
  </si>
  <si>
    <t>Spot</t>
  </si>
  <si>
    <t>Charm</t>
  </si>
  <si>
    <t>Epsilon</t>
  </si>
  <si>
    <t>Bachelier Option Greeks</t>
  </si>
  <si>
    <t>Black Option Greeks</t>
  </si>
  <si>
    <t>Black-Scholes Option Greeks</t>
  </si>
  <si>
    <t>Normal to LogNormal Volatility</t>
  </si>
  <si>
    <t>Black Vol</t>
  </si>
  <si>
    <t>Vol * Fwd</t>
  </si>
  <si>
    <t>Black Price</t>
  </si>
  <si>
    <t>Bjerksund Stensland (2002) Option Greeks</t>
  </si>
  <si>
    <t>Time</t>
  </si>
  <si>
    <t>Black-Scholes</t>
  </si>
  <si>
    <t>Put</t>
  </si>
  <si>
    <t>Bjerksund Stensland (2002)</t>
  </si>
  <si>
    <t>Call Option</t>
  </si>
  <si>
    <t>Put Option</t>
  </si>
  <si>
    <t>https://downloads.dxfeed.com/specifications/dxLibOptions/Numerical-Methods-versus-Bjerksund-and-Stensland-Approximations-for-American-Options-Pricing-.pdf</t>
  </si>
  <si>
    <t>Reference</t>
  </si>
  <si>
    <t>Spot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</si>
</sst>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000"/>
    <numFmt numFmtId="165" formatCode="0.000"/>
    <numFmt numFmtId="166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</borders>
  <cellStyleXfs count="10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18" applyNumberFormat="0" applyFill="0" applyAlignment="0" applyProtection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2" borderId="1" xfId="1" applyFont="1"/>
    <xf numFmtId="0" fontId="2" fillId="0" borderId="0" xfId="0" applyFont="1"/>
    <xf numFmtId="0" fontId="4" fillId="0" borderId="3" xfId="3"/>
    <xf numFmtId="14" fontId="5" fillId="4" borderId="2" xfId="4" applyNumberFormat="1"/>
    <xf numFmtId="0" fontId="3" fillId="3" borderId="2" xfId="2"/>
    <xf numFmtId="0" fontId="5" fillId="4" borderId="2" xfId="4"/>
    <xf numFmtId="164" fontId="0" fillId="0" borderId="0" xfId="0" applyNumberFormat="1"/>
    <xf numFmtId="0" fontId="1" fillId="5" borderId="0" xfId="5"/>
    <xf numFmtId="164" fontId="1" fillId="6" borderId="0" xfId="6" applyNumberFormat="1"/>
    <xf numFmtId="164" fontId="0" fillId="6" borderId="0" xfId="6" applyNumberFormat="1" applyFon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3" fillId="3" borderId="2" xfId="2" applyNumberFormat="1"/>
    <xf numFmtId="166" fontId="0" fillId="0" borderId="0" xfId="0" applyNumberFormat="1"/>
    <xf numFmtId="166" fontId="1" fillId="7" borderId="0" xfId="7" applyNumberFormat="1"/>
    <xf numFmtId="0" fontId="5" fillId="4" borderId="2" xfId="4" applyNumberFormat="1"/>
    <xf numFmtId="0" fontId="1" fillId="7" borderId="0" xfId="7" applyNumberFormat="1"/>
    <xf numFmtId="0" fontId="1" fillId="7" borderId="0" xfId="7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6" fontId="0" fillId="0" borderId="13" xfId="0" applyNumberFormat="1" applyBorder="1"/>
    <xf numFmtId="166" fontId="1" fillId="7" borderId="13" xfId="7" applyNumberFormat="1" applyBorder="1"/>
    <xf numFmtId="166" fontId="0" fillId="0" borderId="14" xfId="0" applyNumberFormat="1" applyBorder="1"/>
    <xf numFmtId="0" fontId="0" fillId="0" borderId="4" xfId="0" applyBorder="1"/>
    <xf numFmtId="11" fontId="0" fillId="0" borderId="15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1" fontId="6" fillId="0" borderId="0" xfId="0" applyNumberFormat="1" applyFont="1"/>
    <xf numFmtId="0" fontId="3" fillId="3" borderId="17" xfId="2" applyBorder="1"/>
    <xf numFmtId="0" fontId="4" fillId="0" borderId="3" xfId="3" applyAlignment="1">
      <alignment horizontal="center"/>
    </xf>
    <xf numFmtId="166" fontId="0" fillId="0" borderId="8" xfId="0" applyNumberFormat="1" applyBorder="1"/>
    <xf numFmtId="166" fontId="1" fillId="7" borderId="8" xfId="7" applyNumberFormat="1" applyBorder="1"/>
    <xf numFmtId="166" fontId="0" fillId="0" borderId="10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0" fillId="8" borderId="0" xfId="0" applyFill="1"/>
    <xf numFmtId="0" fontId="4" fillId="0" borderId="3" xfId="3" applyAlignment="1">
      <alignment horizontal="center"/>
    </xf>
    <xf numFmtId="0" fontId="9" fillId="0" borderId="18" xfId="8" applyAlignment="1">
      <alignment horizontal="center"/>
    </xf>
    <xf numFmtId="0" fontId="10" fillId="0" borderId="0" xfId="9"/>
    <xf numFmtId="2" fontId="0" fillId="8" borderId="0" xfId="0" applyNumberFormat="1" applyFill="1"/>
    <xf numFmtId="3" fontId="0" fillId="0" borderId="0" xfId="0" applyNumberFormat="1"/>
  </cellXfs>
  <cellStyles count="10">
    <cellStyle name="20% - Accent3" xfId="7" builtinId="38"/>
    <cellStyle name="40% - Accent4" xfId="5" builtinId="43"/>
    <cellStyle name="40% - Accent5" xfId="6" builtinId="47"/>
    <cellStyle name="Calculation" xfId="4" builtinId="22"/>
    <cellStyle name="Heading 1" xfId="8" builtinId="16"/>
    <cellStyle name="Heading 3" xfId="3" builtinId="18"/>
    <cellStyle name="Hyperlink" xfId="9" builtinId="8"/>
    <cellStyle name="Input" xfId="2" builtinId="20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Black!$G$4:$G$20</c:f>
              <c:numCache>
                <c:formatCode>General</c:formatCode>
                <c:ptCount val="17"/>
                <c:pt idx="0">
                  <c:v>70.59975220676975</c:v>
                </c:pt>
                <c:pt idx="1">
                  <c:v>61.774785428389123</c:v>
                </c:pt>
                <c:pt idx="2">
                  <c:v>52.950743470179056</c:v>
                </c:pt>
                <c:pt idx="3">
                  <c:v>44.151999427611116</c:v>
                </c:pt>
                <c:pt idx="4">
                  <c:v>35.527865685198229</c:v>
                </c:pt>
                <c:pt idx="5">
                  <c:v>27.436173127042874</c:v>
                </c:pt>
                <c:pt idx="6">
                  <c:v>20.31773450125371</c:v>
                </c:pt>
                <c:pt idx="7">
                  <c:v>14.476436736616208</c:v>
                </c:pt>
                <c:pt idx="8">
                  <c:v>9.9783611447713145</c:v>
                </c:pt>
                <c:pt idx="9">
                  <c:v>6.6940173445580475</c:v>
                </c:pt>
                <c:pt idx="10">
                  <c:v>4.3955534683869484</c:v>
                </c:pt>
                <c:pt idx="11">
                  <c:v>2.8391966596089051</c:v>
                </c:pt>
                <c:pt idx="12">
                  <c:v>1.8115062303041027</c:v>
                </c:pt>
                <c:pt idx="13">
                  <c:v>1.1455860603749772</c:v>
                </c:pt>
                <c:pt idx="14">
                  <c:v>0.72004182006534678</c:v>
                </c:pt>
                <c:pt idx="15">
                  <c:v>0.45080945937845496</c:v>
                </c:pt>
                <c:pt idx="16">
                  <c:v>0.28164665582910992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9-49FB-B232-27E3C71B4312}"/>
            </c:ext>
          </c:extLst>
        </c:ser>
        <c:ser>
          <c:idx val="1"/>
          <c:order val="1"/>
          <c:tx>
            <c:strRef>
              <c:f>Black!$H$3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Black!$H$4:$H$20</c:f>
              <c:numCache>
                <c:formatCode>General</c:formatCode>
                <c:ptCount val="17"/>
                <c:pt idx="0">
                  <c:v>2.1187674501914899E-12</c:v>
                </c:pt>
                <c:pt idx="1">
                  <c:v>2.2474674493303404E-6</c:v>
                </c:pt>
                <c:pt idx="2">
                  <c:v>9.2931510333615387E-4</c:v>
                </c:pt>
                <c:pt idx="3">
                  <c:v>2.7154298381341986E-2</c:v>
                </c:pt>
                <c:pt idx="4">
                  <c:v>0.22798958181441636</c:v>
                </c:pt>
                <c:pt idx="5">
                  <c:v>0.96126604950501049</c:v>
                </c:pt>
                <c:pt idx="6">
                  <c:v>2.6677964495618078</c:v>
                </c:pt>
                <c:pt idx="7">
                  <c:v>5.6514677107702527</c:v>
                </c:pt>
                <c:pt idx="8">
                  <c:v>9.9783611447713145</c:v>
                </c:pt>
                <c:pt idx="9">
                  <c:v>15.518986370404006</c:v>
                </c:pt>
                <c:pt idx="10">
                  <c:v>22.045491520078862</c:v>
                </c:pt>
                <c:pt idx="11">
                  <c:v>29.314103737146759</c:v>
                </c:pt>
                <c:pt idx="12">
                  <c:v>37.111382333687921</c:v>
                </c:pt>
                <c:pt idx="13">
                  <c:v>45.270431189604743</c:v>
                </c:pt>
                <c:pt idx="14">
                  <c:v>53.669855975141068</c:v>
                </c:pt>
                <c:pt idx="15">
                  <c:v>62.225592640300121</c:v>
                </c:pt>
                <c:pt idx="16">
                  <c:v>70.88139886259674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9-49FB-B232-27E3C71B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Bachelier!$G$3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Bachelier!$G$4:$G$20</c:f>
              <c:numCache>
                <c:formatCode>General</c:formatCode>
                <c:ptCount val="17"/>
                <c:pt idx="0">
                  <c:v>61.905980844851676</c:v>
                </c:pt>
                <c:pt idx="1">
                  <c:v>53.260424710089758</c:v>
                </c:pt>
                <c:pt idx="2">
                  <c:v>44.802859030336755</c:v>
                </c:pt>
                <c:pt idx="3">
                  <c:v>36.668203786672954</c:v>
                </c:pt>
                <c:pt idx="4">
                  <c:v>29.036244876207263</c:v>
                </c:pt>
                <c:pt idx="5">
                  <c:v>22.113553006114746</c:v>
                </c:pt>
                <c:pt idx="6">
                  <c:v>16.097838958966797</c:v>
                </c:pt>
                <c:pt idx="7">
                  <c:v>11.13328317746625</c:v>
                </c:pt>
                <c:pt idx="8">
                  <c:v>7.2728699331208437</c:v>
                </c:pt>
                <c:pt idx="9">
                  <c:v>4.4636149544228356</c:v>
                </c:pt>
                <c:pt idx="10">
                  <c:v>2.5613377986694004</c:v>
                </c:pt>
                <c:pt idx="11">
                  <c:v>1.3683276832891289</c:v>
                </c:pt>
                <c:pt idx="12">
                  <c:v>0.67801390110697701</c:v>
                </c:pt>
                <c:pt idx="13">
                  <c:v>0.31061055501403678</c:v>
                </c:pt>
                <c:pt idx="14">
                  <c:v>0.13119766392999382</c:v>
                </c:pt>
                <c:pt idx="15">
                  <c:v>5.0973689315626326E-2</c:v>
                </c:pt>
                <c:pt idx="16">
                  <c:v>1.8180439338268729E-2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FA0-AA4A-2A1B299EB08E}"/>
            </c:ext>
          </c:extLst>
        </c:ser>
        <c:ser>
          <c:idx val="1"/>
          <c:order val="1"/>
          <c:tx>
            <c:strRef>
              <c:f>Bachelier!$H$3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Bachelier!$H$4:$H$20</c:f>
              <c:numCache>
                <c:formatCode>General</c:formatCode>
                <c:ptCount val="17"/>
                <c:pt idx="0">
                  <c:v>0.13119766392999382</c:v>
                </c:pt>
                <c:pt idx="1">
                  <c:v>0.31061055501403678</c:v>
                </c:pt>
                <c:pt idx="2">
                  <c:v>0.67801390110697701</c:v>
                </c:pt>
                <c:pt idx="3">
                  <c:v>1.3683276832891289</c:v>
                </c:pt>
                <c:pt idx="4">
                  <c:v>2.5613377986694004</c:v>
                </c:pt>
                <c:pt idx="5">
                  <c:v>4.4636149544228356</c:v>
                </c:pt>
                <c:pt idx="6">
                  <c:v>7.2728699331208437</c:v>
                </c:pt>
                <c:pt idx="7">
                  <c:v>11.13328317746625</c:v>
                </c:pt>
                <c:pt idx="8">
                  <c:v>16.097838958966797</c:v>
                </c:pt>
                <c:pt idx="9">
                  <c:v>22.113553006114746</c:v>
                </c:pt>
                <c:pt idx="10">
                  <c:v>29.036244876207263</c:v>
                </c:pt>
                <c:pt idx="11">
                  <c:v>36.668203786672954</c:v>
                </c:pt>
                <c:pt idx="12">
                  <c:v>44.802859030336755</c:v>
                </c:pt>
                <c:pt idx="13">
                  <c:v>53.260424710089758</c:v>
                </c:pt>
                <c:pt idx="14">
                  <c:v>61.905980844851676</c:v>
                </c:pt>
                <c:pt idx="15">
                  <c:v>70.650725896083259</c:v>
                </c:pt>
                <c:pt idx="16">
                  <c:v>79.442901671951859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D-4FA0-AA4A-2A1B299E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Bachelier!$Q$33</c:f>
              <c:strCache>
                <c:ptCount val="1"/>
                <c:pt idx="0">
                  <c:v>Vol * Fwd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Bachelier!$Q$34:$Q$44</c:f>
              <c:numCache>
                <c:formatCode>General</c:formatCode>
                <c:ptCount val="11"/>
                <c:pt idx="0">
                  <c:v>4.1925341293792382</c:v>
                </c:pt>
                <c:pt idx="1">
                  <c:v>6.5160991000895505</c:v>
                </c:pt>
                <c:pt idx="2">
                  <c:v>8.3047670271975864</c:v>
                </c:pt>
                <c:pt idx="3">
                  <c:v>9.7916114048857441</c:v>
                </c:pt>
                <c:pt idx="4">
                  <c:v>11.077214089676684</c:v>
                </c:pt>
                <c:pt idx="5">
                  <c:v>12.216431818444882</c:v>
                </c:pt>
                <c:pt idx="6">
                  <c:v>13.243191870494238</c:v>
                </c:pt>
                <c:pt idx="7">
                  <c:v>14.180231197819593</c:v>
                </c:pt>
                <c:pt idx="8">
                  <c:v>15.043668504368728</c:v>
                </c:pt>
                <c:pt idx="9">
                  <c:v>15.845418088831126</c:v>
                </c:pt>
                <c:pt idx="10">
                  <c:v>16.59457612628745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5-44C1-AE56-FCE92E6D296E}"/>
            </c:ext>
          </c:extLst>
        </c:ser>
        <c:ser>
          <c:idx val="1"/>
          <c:order val="1"/>
          <c:tx>
            <c:strRef>
              <c:f>Bachelier!$O$33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Bachelier!$O$34:$O$44</c:f>
              <c:numCache>
                <c:formatCode>General</c:formatCode>
                <c:ptCount val="11"/>
                <c:pt idx="0">
                  <c:v>14.999999999999959</c:v>
                </c:pt>
                <c:pt idx="1">
                  <c:v>14.999999999999984</c:v>
                </c:pt>
                <c:pt idx="2">
                  <c:v>14.999999999999885</c:v>
                </c:pt>
                <c:pt idx="3">
                  <c:v>14.999999999999996</c:v>
                </c:pt>
                <c:pt idx="4">
                  <c:v>14.999999999981359</c:v>
                </c:pt>
                <c:pt idx="5">
                  <c:v>14.99999999780432</c:v>
                </c:pt>
                <c:pt idx="6">
                  <c:v>14.999999999999131</c:v>
                </c:pt>
                <c:pt idx="7">
                  <c:v>14.999999999983274</c:v>
                </c:pt>
                <c:pt idx="8">
                  <c:v>14.999999999999998</c:v>
                </c:pt>
                <c:pt idx="9">
                  <c:v>14.999999999983274</c:v>
                </c:pt>
                <c:pt idx="10">
                  <c:v>14.999999999999133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5-44C1-AE56-FCE92E6D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34384"/>
        <c:axId val="1968840624"/>
      </c:scatterChart>
      <c:valAx>
        <c:axId val="19688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40624"/>
        <c:crosses val="autoZero"/>
        <c:crossBetween val="midCat"/>
      </c:valAx>
      <c:valAx>
        <c:axId val="1968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3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BlackScholes!$G$3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BlackScholes!$G$4:$G$20</c:f>
              <c:numCache>
                <c:formatCode>General</c:formatCode>
                <c:ptCount val="17"/>
                <c:pt idx="0">
                  <c:v>67.951423633268391</c:v>
                </c:pt>
                <c:pt idx="1">
                  <c:v>58.439140539429779</c:v>
                </c:pt>
                <c:pt idx="2">
                  <c:v>48.930017522733479</c:v>
                </c:pt>
                <c:pt idx="3">
                  <c:v>39.486891153219823</c:v>
                </c:pt>
                <c:pt idx="4">
                  <c:v>30.407825878286992</c:v>
                </c:pt>
                <c:pt idx="5">
                  <c:v>22.243713555485982</c:v>
                </c:pt>
                <c:pt idx="6">
                  <c:v>15.493266899479522</c:v>
                </c:pt>
                <c:pt idx="7">
                  <c:v>10.344030423896939</c:v>
                </c:pt>
                <c:pt idx="8">
                  <c:v>6.6735100356443873</c:v>
                </c:pt>
                <c:pt idx="9">
                  <c:v>4.1927508505818558</c:v>
                </c:pt>
                <c:pt idx="10">
                  <c:v>2.5824603613674348</c:v>
                </c:pt>
                <c:pt idx="11">
                  <c:v>1.5680166226316086</c:v>
                </c:pt>
                <c:pt idx="12">
                  <c:v>0.94268348074284525</c:v>
                </c:pt>
                <c:pt idx="13">
                  <c:v>0.56310882469903589</c:v>
                </c:pt>
                <c:pt idx="14">
                  <c:v>0.33513215782642281</c:v>
                </c:pt>
                <c:pt idx="15">
                  <c:v>0.19914227463693535</c:v>
                </c:pt>
                <c:pt idx="16">
                  <c:v>0.11834665039209358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D5C-BA28-87A3A791FED2}"/>
            </c:ext>
          </c:extLst>
        </c:ser>
        <c:ser>
          <c:idx val="1"/>
          <c:order val="1"/>
          <c:tx>
            <c:strRef>
              <c:f>BlackScholes!$H$3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BlackScholes!$H$4:$H$20</c:f>
              <c:numCache>
                <c:formatCode>General</c:formatCode>
                <c:ptCount val="17"/>
                <c:pt idx="0">
                  <c:v>2.0306811757882426E-11</c:v>
                </c:pt>
                <c:pt idx="1">
                  <c:v>1.1151188853304376E-5</c:v>
                </c:pt>
                <c:pt idx="2">
                  <c:v>3.1823794996912805E-3</c:v>
                </c:pt>
                <c:pt idx="3">
                  <c:v>7.2350254993173713E-2</c:v>
                </c:pt>
                <c:pt idx="4">
                  <c:v>0.50557922506749309</c:v>
                </c:pt>
                <c:pt idx="5">
                  <c:v>1.8537611472736195</c:v>
                </c:pt>
                <c:pt idx="6">
                  <c:v>4.6156087362742966</c:v>
                </c:pt>
                <c:pt idx="7">
                  <c:v>8.9786665056988539</c:v>
                </c:pt>
                <c:pt idx="8">
                  <c:v>14.820440362453446</c:v>
                </c:pt>
                <c:pt idx="9">
                  <c:v>21.851975422398048</c:v>
                </c:pt>
                <c:pt idx="10">
                  <c:v>29.753979178190775</c:v>
                </c:pt>
                <c:pt idx="11">
                  <c:v>38.251829684462081</c:v>
                </c:pt>
                <c:pt idx="12">
                  <c:v>47.138790787580461</c:v>
                </c:pt>
                <c:pt idx="13">
                  <c:v>56.271510376543773</c:v>
                </c:pt>
                <c:pt idx="14">
                  <c:v>65.555827954678307</c:v>
                </c:pt>
                <c:pt idx="15">
                  <c:v>74.932132316495967</c:v>
                </c:pt>
                <c:pt idx="16">
                  <c:v>84.363630937258236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6-4D5C-BA28-87A3A791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EA1D5-6EBE-4C60-9F20-B7E79A87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D01DA-48CF-489B-90F7-B2778C2C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45</xdr:row>
      <xdr:rowOff>19050</xdr:rowOff>
    </xdr:from>
    <xdr:to>
      <xdr:col>18</xdr:col>
      <xdr:colOff>623887</xdr:colOff>
      <xdr:row>59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5B362-802C-4D9B-86A3-BD2CA7AA6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4350-3AD5-4ED5-9B17-F3CE1629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E1048576" totalsRowShown="0">
  <autoFilter ref="B1:E1048576" xr:uid="{00000000-0009-0000-0100-000002000000}"/>
  <sortState xmlns:xlrd2="http://schemas.microsoft.com/office/spreadsheetml/2017/richdata2" ref="B2:E26">
    <sortCondition descending="1" ref="C1:C1048576"/>
  </sortState>
  <tableColumns count="4">
    <tableColumn id="1" xr3:uid="{00000000-0010-0000-0000-000001000000}" name="Function"/>
    <tableColumn id="2" xr3:uid="{00000000-0010-0000-0000-000002000000}" name="Category"/>
    <tableColumn id="4" xr3:uid="{00000000-0010-0000-0000-000004000000}" name="Section"/>
    <tableColumn id="3" xr3:uid="{00000000-0010-0000-0000-000003000000}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downloads.dxfeed.com/specifications/dxLibOptions/Numerical-Methods-versus-Bjerksund-and-Stensland-Approximations-for-American-Options-Pricing-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B2:C21"/>
  <sheetViews>
    <sheetView workbookViewId="0">
      <selection activeCell="C6" sqref="C6"/>
    </sheetView>
  </sheetViews>
  <sheetFormatPr defaultRowHeight="15" x14ac:dyDescent="0.25"/>
  <cols>
    <col min="2" max="2" width="21.28515625" bestFit="1" customWidth="1"/>
    <col min="3" max="3" width="30" bestFit="1" customWidth="1"/>
    <col min="4" max="4" width="11.85546875" customWidth="1"/>
  </cols>
  <sheetData>
    <row r="2" spans="2:3" ht="15.75" thickBot="1" x14ac:dyDescent="0.3">
      <c r="B2" s="3" t="s">
        <v>4</v>
      </c>
      <c r="C2" s="3"/>
    </row>
    <row r="3" spans="2:3" x14ac:dyDescent="0.25">
      <c r="B3" t="s">
        <v>6</v>
      </c>
      <c r="C3" s="6">
        <f>_xll.acq_excel_version()</f>
        <v>16</v>
      </c>
    </row>
    <row r="4" spans="2:3" x14ac:dyDescent="0.25">
      <c r="B4" t="s">
        <v>7</v>
      </c>
      <c r="C4" s="6" t="str">
        <f>_xll.acq_version()</f>
        <v>1.3.8023.35113</v>
      </c>
    </row>
    <row r="5" spans="2:3" x14ac:dyDescent="0.25">
      <c r="B5" t="s">
        <v>5</v>
      </c>
      <c r="C5" s="6" t="str">
        <f>_xll.acq_xllpath()</f>
        <v>D:\Github\ACQ\Distribution\ACQ64.xll</v>
      </c>
    </row>
    <row r="6" spans="2:3" x14ac:dyDescent="0.25">
      <c r="B6" t="s">
        <v>8</v>
      </c>
      <c r="C6" s="6" t="str">
        <f>_xll.acq_exceldna_version()</f>
        <v>1.1.0.3</v>
      </c>
    </row>
    <row r="7" spans="2:3" x14ac:dyDescent="0.25">
      <c r="B7" t="s">
        <v>12</v>
      </c>
      <c r="C7" s="6" t="str">
        <f>_xll.acq_dotnet_version()</f>
        <v>4.0.30319.42000</v>
      </c>
    </row>
    <row r="9" spans="2:3" ht="15.75" thickBot="1" x14ac:dyDescent="0.3">
      <c r="B9" s="3" t="s">
        <v>10</v>
      </c>
      <c r="C9" s="3"/>
    </row>
    <row r="10" spans="2:3" x14ac:dyDescent="0.25">
      <c r="B10" t="s">
        <v>11</v>
      </c>
      <c r="C10" s="2" t="s">
        <v>9</v>
      </c>
    </row>
    <row r="11" spans="2:3" x14ac:dyDescent="0.25">
      <c r="B11" t="s">
        <v>13</v>
      </c>
      <c r="C11" s="2" t="s">
        <v>14</v>
      </c>
    </row>
    <row r="17" spans="2:3" ht="15.75" thickBot="1" x14ac:dyDescent="0.3">
      <c r="B17" s="3" t="s">
        <v>3</v>
      </c>
      <c r="C17" s="3"/>
    </row>
    <row r="18" spans="2:3" x14ac:dyDescent="0.25">
      <c r="B18" s="1" t="s">
        <v>1</v>
      </c>
      <c r="C18" s="5">
        <v>20150630</v>
      </c>
    </row>
    <row r="19" spans="2:3" x14ac:dyDescent="0.25">
      <c r="B19" s="1" t="s">
        <v>2</v>
      </c>
      <c r="C19" s="4">
        <f>_xll.acq_convert_todate(C18)</f>
        <v>42185</v>
      </c>
    </row>
    <row r="20" spans="2:3" x14ac:dyDescent="0.25">
      <c r="C20" s="4">
        <f>_xll.acq_nextbusinessday(C19)</f>
        <v>42186</v>
      </c>
    </row>
    <row r="21" spans="2:3" x14ac:dyDescent="0.25">
      <c r="C21" s="4">
        <f>_xll.acq_adjustbusinessday(C19,-1)</f>
        <v>42185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65FF-8B5A-499F-AD9B-C82D6914A8E1}">
  <sheetPr codeName="Sheet2"/>
  <dimension ref="A1:AQ43"/>
  <sheetViews>
    <sheetView workbookViewId="0">
      <selection activeCell="N4" sqref="N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46" t="s">
        <v>129</v>
      </c>
      <c r="B1" s="46"/>
      <c r="C1" s="46"/>
      <c r="D1" s="46"/>
    </row>
    <row r="2" spans="1:43" ht="16.5" thickTop="1" thickBot="1" x14ac:dyDescent="0.3">
      <c r="F2" s="45" t="s">
        <v>97</v>
      </c>
      <c r="G2" s="45"/>
      <c r="H2" s="45"/>
      <c r="I2" s="45"/>
      <c r="L2" s="45" t="s">
        <v>98</v>
      </c>
      <c r="M2" s="45"/>
      <c r="N2" s="45"/>
      <c r="O2" s="45"/>
      <c r="P2" s="45"/>
      <c r="S2" s="45" t="s">
        <v>107</v>
      </c>
      <c r="T2" s="45"/>
      <c r="U2" s="45"/>
      <c r="V2" s="45"/>
      <c r="W2" s="45"/>
      <c r="X2" s="45"/>
      <c r="Y2" s="45"/>
      <c r="Z2" s="45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90</v>
      </c>
      <c r="F4">
        <v>10</v>
      </c>
      <c r="G4">
        <f>_xll.acq_options_black_price($C$4,F4,$C$6,$C$8,$C$7,TRUE)</f>
        <v>70.59975220676975</v>
      </c>
      <c r="H4">
        <f>_xll.acq_options_black_price($C$4,F4,$C$6,$C$8,$C$7,FALSE)</f>
        <v>2.1187674501914899E-12</v>
      </c>
      <c r="I4">
        <f t="shared" ref="I4:I20" si="0">G4-H4 +(F4-$C$4)*EXP(-$C$6*$C$8)</f>
        <v>0</v>
      </c>
      <c r="L4" s="11">
        <v>1E-10</v>
      </c>
      <c r="M4">
        <f>_xll.acq_options_black_price($C$4,$C$5,$C$6,$C$8,L4,TRUE)</f>
        <v>0</v>
      </c>
      <c r="N4">
        <f>_xll.acq_options_black_price($C$4,$C$5,$C$6,$C$8,L4,FALSE)</f>
        <v>8.8249690258459541</v>
      </c>
      <c r="O4">
        <f>_xll.acq_options_black_vol($C$4,$C$5,$C$6,$C$8,M4,TRUE)</f>
        <v>1.0000000000000001E-15</v>
      </c>
      <c r="P4">
        <f>_xll.acq_options_black_vol($C$4,$C$5,$C$6,$C$8,N4,FALSE)</f>
        <v>1.0000000000000001E-15</v>
      </c>
      <c r="Q4" s="11"/>
      <c r="R4" s="13">
        <v>10</v>
      </c>
      <c r="S4">
        <f>_xll.acq_options_black_greeks(S$3,$R4,$C$5,$C$6,$C$8,$C$7,TRUE)</f>
        <v>1.9093942291656848E-13</v>
      </c>
      <c r="T4">
        <f>_xll.acq_options_black_greeks(T$3,$R4,$C$5,$C$6,$C$8,$C$7,TRUE)</f>
        <v>4.6495887005771471E-13</v>
      </c>
      <c r="U4">
        <f>_xll.acq_options_black_greeks(U$3,$R4,$C$5,$C$6,$C$8,$C$7,TRUE)</f>
        <v>1.0672572399027323E-12</v>
      </c>
      <c r="V4">
        <f>_xll.acq_options_black_greeks(V$3,$R4,$C$5,$C$6,$C$8,$C$7,TRUE)</f>
        <v>5.3362861995136619E-11</v>
      </c>
      <c r="W4">
        <f>_xll.acq_options_black_greeks(W$3,$R4,$C$5,$C$6,$C$8,$C$7,TRUE)</f>
        <v>1.4139552501337317E-8</v>
      </c>
      <c r="X4">
        <f>_xll.acq_options_black_greeks(X$3,$R4,$C$5,$C$6,$C$8,$C$7,TRUE)</f>
        <v>1.2554067364925689E-10</v>
      </c>
      <c r="Y4">
        <f>_xll.acq_options_black_greeks(Y$3,$R4,$C$5,$C$6,$C$8,$C$7,TRUE)</f>
        <v>-4.7734855729142115E-13</v>
      </c>
      <c r="Z4">
        <f>_xll.acq_options_black_greeks(Z$3,$R4,$C$5,$C$6,$C$8,$C$7,TRUE)</f>
        <v>-2.124967508659636E-12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100</v>
      </c>
      <c r="F5">
        <v>20</v>
      </c>
      <c r="G5">
        <f>_xll.acq_options_black_price($C$4,F5,$C$6,$C$8,$C$7,TRUE)</f>
        <v>61.774785428389123</v>
      </c>
      <c r="H5">
        <f>_xll.acq_options_black_price($C$4,F5,$C$6,$C$8,$C$7,FALSE)</f>
        <v>2.2474674493303404E-6</v>
      </c>
      <c r="I5">
        <f t="shared" si="0"/>
        <v>0</v>
      </c>
      <c r="L5" s="12">
        <v>0.05</v>
      </c>
      <c r="M5">
        <f>_xll.acq_options_black_price($C$4,$C$5,$C$6,$C$8,L5,TRUE)</f>
        <v>0.28082116059296597</v>
      </c>
      <c r="N5">
        <f>_xll.acq_options_black_price($C$4,$C$5,$C$6,$C$8,L5,FALSE)</f>
        <v>9.105790186438913</v>
      </c>
      <c r="O5">
        <f>_xll.acq_options_black_vol($C$4,$C$5,$C$6,$C$8,M5,TRUE)</f>
        <v>5.0000000000002709E-2</v>
      </c>
      <c r="P5">
        <f>_xll.acq_options_black_vol($C$4,$C$5,$C$6,$C$8,N5,FALSE)</f>
        <v>5.000000000000264E-2</v>
      </c>
      <c r="Q5" s="11"/>
      <c r="R5" s="13">
        <v>20</v>
      </c>
      <c r="S5">
        <f>_xll.acq_options_black_greeks(S$3,$R5,$C$5,$C$6,$C$8,$C$7,TRUE)</f>
        <v>4.0658942306955847E-7</v>
      </c>
      <c r="T5">
        <f>_xll.acq_options_black_greeks(T$3,$R5,$C$5,$C$6,$C$8,$C$7,TRUE)</f>
        <v>3.6029052323759348E-7</v>
      </c>
      <c r="U5">
        <f>_xll.acq_options_black_greeks(U$3,$R5,$C$5,$C$6,$C$8,$C$7,TRUE)</f>
        <v>2.9167919848496583E-7</v>
      </c>
      <c r="V5">
        <f>_xll.acq_options_black_greeks(V$3,$R5,$C$5,$C$6,$C$8,$C$7,TRUE)</f>
        <v>5.8335839696993181E-5</v>
      </c>
      <c r="W5">
        <f>_xll.acq_options_black_greeks(W$3,$R5,$C$5,$C$6,$C$8,$C$7,TRUE)</f>
        <v>7.5480462796324874E-3</v>
      </c>
      <c r="X5">
        <f>_xll.acq_options_black_greeks(X$3,$R5,$C$5,$C$6,$C$8,$C$7,TRUE)</f>
        <v>4.840235202343433E-5</v>
      </c>
      <c r="Y5">
        <f>_xll.acq_options_black_greeks(Y$3,$R5,$C$5,$C$6,$C$8,$C$7,TRUE)</f>
        <v>-1.0164735576738961E-6</v>
      </c>
      <c r="Z5">
        <f>_xll.acq_options_black_greeks(Z$3,$R5,$C$5,$C$6,$C$8,$C$7,TRUE)</f>
        <v>-2.313104116726249E-6</v>
      </c>
      <c r="AB5" s="15">
        <f>AB6-AC9</f>
        <v>89.999899999999997</v>
      </c>
      <c r="AC5" s="13">
        <f>_xll.acq_options_black_price($AB5,$C$5,$C$6,$C$8,$C$7,$C$9)</f>
        <v>15.519036627414497</v>
      </c>
      <c r="AD5" s="13">
        <f>_xll.acq_options_black_delta($AB5,$C$5,$C$6,$C$8,$C$7,$C$9)</f>
        <v>-0.50257071403175657</v>
      </c>
      <c r="AE5" s="13">
        <f>_xll.acq_options_black_gamma($AB5,$C$5,$C$6,$C$8,$C$7)</f>
        <v>1.2182203831523738E-2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_xll.acq_options_black_price($C$4,F6,$C$6,$C$8,$C$7,TRUE)</f>
        <v>52.950743470179056</v>
      </c>
      <c r="H6">
        <f>_xll.acq_options_black_price($C$4,F6,$C$6,$C$8,$C$7,FALSE)</f>
        <v>9.2931510333615387E-4</v>
      </c>
      <c r="I6">
        <f t="shared" si="0"/>
        <v>0</v>
      </c>
      <c r="L6" s="12">
        <v>0.1</v>
      </c>
      <c r="M6">
        <f>_xll.acq_options_black_price($C$4,$C$5,$C$6,$C$8,L6,TRUE)</f>
        <v>1.9979934298873692</v>
      </c>
      <c r="N6">
        <f>_xll.acq_options_black_price($C$4,$C$5,$C$6,$C$8,L6,FALSE)</f>
        <v>10.822962455733332</v>
      </c>
      <c r="O6">
        <f>_xll.acq_options_black_vol($C$4,$C$5,$C$6,$C$8,M6,TRUE)</f>
        <v>9.9999999999999811E-2</v>
      </c>
      <c r="P6">
        <f>_xll.acq_options_black_vol($C$4,$C$5,$C$6,$C$8,N6,FALSE)</f>
        <v>0.10000000000000013</v>
      </c>
      <c r="Q6" s="11"/>
      <c r="R6" s="13">
        <v>30</v>
      </c>
      <c r="S6">
        <f>_xll.acq_options_black_greeks(S$3,$R6,$C$5,$C$6,$C$8,$C$7,TRUE)</f>
        <v>2.4943935635588686E-4</v>
      </c>
      <c r="T6">
        <f>_xll.acq_options_black_greeks(T$3,$R6,$C$5,$C$6,$C$8,$C$7,TRUE)</f>
        <v>1.1608198690196465E-4</v>
      </c>
      <c r="U6">
        <f>_xll.acq_options_black_greeks(U$3,$R6,$C$5,$C$6,$C$8,$C$7,TRUE)</f>
        <v>4.7627056993330414E-5</v>
      </c>
      <c r="V6">
        <f>_xll.acq_options_black_greeks(V$3,$R6,$C$5,$C$6,$C$8,$C$7,TRUE)</f>
        <v>2.1432175646998692E-2</v>
      </c>
      <c r="W6">
        <f>_xll.acq_options_black_greeks(W$3,$R6,$C$5,$C$6,$C$8,$C$7,TRUE)</f>
        <v>1.5506720388310835</v>
      </c>
      <c r="X6">
        <f>_xll.acq_options_black_greeks(X$3,$R6,$C$5,$C$6,$C$8,$C$7,TRUE)</f>
        <v>8.9584551329576576E-3</v>
      </c>
      <c r="Y6">
        <f>_xll.acq_options_black_greeks(Y$3,$R6,$C$5,$C$6,$C$8,$C$7,TRUE)</f>
        <v>-6.2359839088971724E-4</v>
      </c>
      <c r="Z6">
        <f>_xll.acq_options_black_greeks(Z$3,$R6,$C$5,$C$6,$C$8,$C$7,TRUE)</f>
        <v>-8.4481505806215335E-4</v>
      </c>
      <c r="AB6" s="16">
        <f>C4</f>
        <v>90</v>
      </c>
      <c r="AC6" s="18">
        <f>_xll.acq_options_black_price($AB6,$C$5,$C$6,$C$8,$C$7,$C$9)</f>
        <v>15.518986370404006</v>
      </c>
      <c r="AD6" s="18">
        <f>_xll.acq_options_black_delta($AB6,$C$5,$C$6,$C$8,$C$7,$C$9)</f>
        <v>-0.50256949581167554</v>
      </c>
      <c r="AE6" s="18">
        <f>_xll.acq_options_black_gamma($AB6,$C$5,$C$6,$C$8,$C$7)</f>
        <v>1.2182197789293775E-2</v>
      </c>
      <c r="AF6" s="11"/>
      <c r="AH6" s="11"/>
      <c r="AI6" s="11"/>
      <c r="AL6" s="11"/>
    </row>
    <row r="7" spans="1:43" x14ac:dyDescent="0.25">
      <c r="B7" t="s">
        <v>89</v>
      </c>
      <c r="C7" s="5">
        <v>0.2</v>
      </c>
      <c r="F7">
        <v>40</v>
      </c>
      <c r="G7">
        <f>_xll.acq_options_black_price($C$4,F7,$C$6,$C$8,$C$7,TRUE)</f>
        <v>44.151999427611116</v>
      </c>
      <c r="H7">
        <f>_xll.acq_options_black_price($C$4,F7,$C$6,$C$8,$C$7,FALSE)</f>
        <v>2.7154298381341986E-2</v>
      </c>
      <c r="I7">
        <f t="shared" si="0"/>
        <v>0</v>
      </c>
      <c r="L7" s="12">
        <v>0.15</v>
      </c>
      <c r="M7">
        <f>_xll.acq_options_black_price($C$4,$C$5,$C$6,$C$8,L7,TRUE)</f>
        <v>4.2652558614590461</v>
      </c>
      <c r="N7">
        <f>_xll.acq_options_black_price($C$4,$C$5,$C$6,$C$8,L7,FALSE)</f>
        <v>13.090224887305011</v>
      </c>
      <c r="O7">
        <f>_xll.acq_options_black_vol($C$4,$C$5,$C$6,$C$8,M7,TRUE)</f>
        <v>0.14999999999888375</v>
      </c>
      <c r="P7">
        <f>_xll.acq_options_black_vol($C$4,$C$5,$C$6,$C$8,N7,FALSE)</f>
        <v>0.14999999999888408</v>
      </c>
      <c r="Q7" s="11"/>
      <c r="R7" s="13">
        <v>40</v>
      </c>
      <c r="S7">
        <f>_xll.acq_options_black_greeks(S$3,$R7,$C$5,$C$6,$C$8,$C$7,TRUE)</f>
        <v>9.5379623637148192E-3</v>
      </c>
      <c r="T7">
        <f>_xll.acq_options_black_greeks(T$3,$R7,$C$5,$C$6,$C$8,$C$7,TRUE)</f>
        <v>2.7155194179932247E-3</v>
      </c>
      <c r="U7">
        <f>_xll.acq_options_black_greeks(U$3,$R7,$C$5,$C$6,$C$8,$C$7,TRUE)</f>
        <v>6.5307172110715096E-4</v>
      </c>
      <c r="V7">
        <f>_xll.acq_options_black_greeks(V$3,$R7,$C$5,$C$6,$C$8,$C$7,TRUE)</f>
        <v>0.52245737688572091</v>
      </c>
      <c r="W7">
        <f>_xll.acq_options_black_greeks(W$3,$R7,$C$5,$C$6,$C$8,$C$7,TRUE)</f>
        <v>21.867158460067717</v>
      </c>
      <c r="X7">
        <f>_xll.acq_options_black_greeks(X$3,$R7,$C$5,$C$6,$C$8,$C$7,TRUE)</f>
        <v>0.12621143027098861</v>
      </c>
      <c r="Y7">
        <f>_xll.acq_options_black_greeks(Y$3,$R7,$C$5,$C$6,$C$8,$C$7,TRUE)</f>
        <v>-2.3844905909287045E-2</v>
      </c>
      <c r="Z7">
        <f>_xll.acq_options_black_greeks(Z$3,$R7,$C$5,$C$6,$C$8,$C$7,TRUE)</f>
        <v>-2.0421396957243095E-2</v>
      </c>
      <c r="AB7" s="15">
        <f>AB6+AC9</f>
        <v>90.000100000000003</v>
      </c>
      <c r="AC7" s="13">
        <f>_xll.acq_options_black_price($AB7,$C$5,$C$6,$C$8,$C$7,$C$9)</f>
        <v>15.518936113515325</v>
      </c>
      <c r="AD7" s="13">
        <f>_xll.acq_options_black_delta($AB7,$C$5,$C$6,$C$8,$C$7,$C$9)</f>
        <v>-0.50256827759219869</v>
      </c>
      <c r="AE7" s="13">
        <f>_xll.acq_options_black_gamma($AB7,$C$5,$C$6,$C$8,$C$7)</f>
        <v>1.2182191746923128E-2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_xll.acq_options_black_price($C$4,F8,$C$6,$C$8,$C$7,TRUE)</f>
        <v>35.527865685198229</v>
      </c>
      <c r="H8">
        <f>_xll.acq_options_black_price($C$4,F8,$C$6,$C$8,$C$7,FALSE)</f>
        <v>0.22798958181441636</v>
      </c>
      <c r="I8">
        <f t="shared" si="0"/>
        <v>0</v>
      </c>
      <c r="L8" s="12">
        <v>0.2</v>
      </c>
      <c r="M8">
        <f>_xll.acq_options_black_price($C$4,$C$5,$C$6,$C$8,L8,TRUE)</f>
        <v>6.6940173445580475</v>
      </c>
      <c r="N8">
        <f>_xll.acq_options_black_price($C$4,$C$5,$C$6,$C$8,L8,FALSE)</f>
        <v>15.518986370404006</v>
      </c>
      <c r="O8">
        <f>_xll.acq_options_black_vol($C$4,$C$5,$C$6,$C$8,M8,TRUE)</f>
        <v>0.19999999999999982</v>
      </c>
      <c r="P8">
        <f>_xll.acq_options_black_vol($C$4,$C$5,$C$6,$C$8,N8,FALSE)</f>
        <v>0.20000000000000018</v>
      </c>
      <c r="Q8" s="11"/>
      <c r="R8" s="13">
        <v>50</v>
      </c>
      <c r="S8">
        <f>_xll.acq_options_black_greeks(S$3,$R8,$C$5,$C$6,$C$8,$C$7,TRUE)</f>
        <v>9.768674049150794E-2</v>
      </c>
      <c r="T8">
        <f>_xll.acq_options_black_greeks(T$3,$R8,$C$5,$C$6,$C$8,$C$7,TRUE)</f>
        <v>1.851953276192865E-2</v>
      </c>
      <c r="U8">
        <f>_xll.acq_options_black_greeks(U$3,$R8,$C$5,$C$6,$C$8,$C$7,TRUE)</f>
        <v>2.8148101232354362E-3</v>
      </c>
      <c r="V8">
        <f>_xll.acq_options_black_greeks(V$3,$R8,$C$5,$C$6,$C$8,$C$7,TRUE)</f>
        <v>3.5185126540442959</v>
      </c>
      <c r="W8">
        <f>_xll.acq_options_black_greeks(W$3,$R8,$C$5,$C$6,$C$8,$C$7,TRUE)</f>
        <v>84.08418637549002</v>
      </c>
      <c r="X8">
        <f>_xll.acq_options_black_greeks(X$3,$R8,$C$5,$C$6,$C$8,$C$7,TRUE)</f>
        <v>0.52295455172350158</v>
      </c>
      <c r="Y8">
        <f>_xll.acq_options_black_greeks(Y$3,$R8,$C$5,$C$6,$C$8,$C$7,TRUE)</f>
        <v>-0.24421685122876985</v>
      </c>
      <c r="Z8">
        <f>_xll.acq_options_black_greeks(Z$3,$R8,$C$5,$C$6,$C$8,$C$7,TRUE)</f>
        <v>-0.13585616913719642</v>
      </c>
      <c r="AD8" s="11"/>
      <c r="AE8" s="11"/>
      <c r="AH8" s="11"/>
      <c r="AI8" s="11"/>
    </row>
    <row r="9" spans="1:43" x14ac:dyDescent="0.25">
      <c r="B9" t="s">
        <v>91</v>
      </c>
      <c r="C9" s="5" t="b">
        <v>0</v>
      </c>
      <c r="F9">
        <v>60</v>
      </c>
      <c r="G9">
        <f>_xll.acq_options_black_price($C$4,F9,$C$6,$C$8,$C$7,TRUE)</f>
        <v>27.436173127042874</v>
      </c>
      <c r="H9">
        <f>_xll.acq_options_black_price($C$4,F9,$C$6,$C$8,$C$7,FALSE)</f>
        <v>0.96126604950501049</v>
      </c>
      <c r="I9">
        <f t="shared" si="0"/>
        <v>0</v>
      </c>
      <c r="L9" s="12">
        <v>0.25</v>
      </c>
      <c r="M9">
        <f>_xll.acq_options_black_price($C$4,$C$5,$C$6,$C$8,L9,TRUE)</f>
        <v>9.180036362158182</v>
      </c>
      <c r="N9">
        <f>_xll.acq_options_black_price($C$4,$C$5,$C$6,$C$8,L9,FALSE)</f>
        <v>18.005005388004136</v>
      </c>
      <c r="O9">
        <f>_xll.acq_options_black_vol($C$4,$C$5,$C$6,$C$8,M9,TRUE)</f>
        <v>0.25000000000001737</v>
      </c>
      <c r="P9">
        <f>_xll.acq_options_black_vol($C$4,$C$5,$C$6,$C$8,N9,FALSE)</f>
        <v>0.25000000000001721</v>
      </c>
      <c r="Q9" s="11"/>
      <c r="R9" s="13">
        <v>60</v>
      </c>
      <c r="S9">
        <f>_xll.acq_options_black_greeks(S$3,$R9,$C$5,$C$6,$C$8,$C$7,TRUE)</f>
        <v>0.48002788004356411</v>
      </c>
      <c r="T9">
        <f>_xll.acq_options_black_greeks(T$3,$R9,$C$5,$C$6,$C$8,$C$7,TRUE)</f>
        <v>6.4000889119019425E-2</v>
      </c>
      <c r="U9">
        <f>_xll.acq_options_black_greeks(U$3,$R9,$C$5,$C$6,$C$8,$C$7,TRUE)</f>
        <v>6.4170817125925299E-3</v>
      </c>
      <c r="V9">
        <f>_xll.acq_options_black_greeks(V$3,$R9,$C$5,$C$6,$C$8,$C$7,TRUE)</f>
        <v>11.550747082666557</v>
      </c>
      <c r="W9">
        <f>_xll.acq_options_black_greeks(W$3,$R9,$C$5,$C$6,$C$8,$C$7,TRUE)</f>
        <v>149.26038124236729</v>
      </c>
      <c r="X9">
        <f>_xll.acq_options_black_greeks(X$3,$R9,$C$5,$C$6,$C$8,$C$7,TRUE)</f>
        <v>1.0796591562666114</v>
      </c>
      <c r="Y9">
        <f>_xll.acq_options_black_greeks(Y$3,$R9,$C$5,$C$6,$C$8,$C$7,TRUE)</f>
        <v>-1.2000697001089102</v>
      </c>
      <c r="Z9">
        <f>_xll.acq_options_black_greeks(Z$3,$R9,$C$5,$C$6,$C$8,$C$7,TRUE)</f>
        <v>-0.43802848930448407</v>
      </c>
      <c r="AB9" t="s">
        <v>110</v>
      </c>
      <c r="AC9" s="14">
        <v>1E-4</v>
      </c>
      <c r="AD9" s="17">
        <f>_xll.acq_diff1_c3pt(AB5:AB7,AC5:AC7)</f>
        <v>-0.50256949584267829</v>
      </c>
      <c r="AE9" s="17">
        <f>_xll.acq_diff2_c3pt(AB5:AB7,AC5:AC7)</f>
        <v>1.218101175441497E-2</v>
      </c>
      <c r="AF9" s="17">
        <f>_xll.acq_diff1_c3pt(AB5:AB7,AD5:AD7)</f>
        <v>1.2182197789018792E-2</v>
      </c>
      <c r="AH9" s="11"/>
      <c r="AI9" s="11"/>
    </row>
    <row r="10" spans="1:43" x14ac:dyDescent="0.25">
      <c r="F10">
        <v>70</v>
      </c>
      <c r="G10">
        <f>_xll.acq_options_black_price($C$4,F10,$C$6,$C$8,$C$7,TRUE)</f>
        <v>20.31773450125371</v>
      </c>
      <c r="H10">
        <f>_xll.acq_options_black_price($C$4,F10,$C$6,$C$8,$C$7,FALSE)</f>
        <v>2.6677964495618078</v>
      </c>
      <c r="I10">
        <f t="shared" si="0"/>
        <v>0</v>
      </c>
      <c r="L10" s="12">
        <v>0.3</v>
      </c>
      <c r="M10">
        <f>_xll.acq_options_black_price($C$4,$C$5,$C$6,$C$8,L10,TRUE)</f>
        <v>11.683473326648709</v>
      </c>
      <c r="N10">
        <f>_xll.acq_options_black_price($C$4,$C$5,$C$6,$C$8,L10,FALSE)</f>
        <v>20.508442352494669</v>
      </c>
      <c r="O10">
        <f>_xll.acq_options_black_vol($C$4,$C$5,$C$6,$C$8,M10,TRUE)</f>
        <v>0.29999999999999982</v>
      </c>
      <c r="P10">
        <f>_xll.acq_options_black_vol($C$4,$C$5,$C$6,$C$8,N10,FALSE)</f>
        <v>0.3000000000000001</v>
      </c>
      <c r="Q10" s="11"/>
      <c r="R10" s="13">
        <v>70</v>
      </c>
      <c r="S10">
        <f>_xll.acq_options_black_greeks(S$3,$R10,$C$5,$C$6,$C$8,$C$7,TRUE)</f>
        <v>1.5032877352585665</v>
      </c>
      <c r="T10">
        <f>_xll.acq_options_black_greeks(T$3,$R10,$C$5,$C$6,$C$8,$C$7,TRUE)</f>
        <v>0.14656090176855394</v>
      </c>
      <c r="U10">
        <f>_xll.acq_options_black_greeks(U$3,$R10,$C$5,$C$6,$C$8,$C$7,TRUE)</f>
        <v>9.938006468108421E-3</v>
      </c>
      <c r="V10">
        <f>_xll.acq_options_black_greeks(V$3,$R10,$C$5,$C$6,$C$8,$C$7,TRUE)</f>
        <v>24.348115846865639</v>
      </c>
      <c r="W10">
        <f>_xll.acq_options_black_greeks(W$3,$R10,$C$5,$C$6,$C$8,$C$7,TRUE)</f>
        <v>151.8312172362314</v>
      </c>
      <c r="X10">
        <f>_xll.acq_options_black_greeks(X$3,$R10,$C$5,$C$6,$C$8,$C$7,TRUE)</f>
        <v>1.4145383781482634</v>
      </c>
      <c r="Y10">
        <f>_xll.acq_options_black_greeks(Y$3,$R10,$C$5,$C$6,$C$8,$C$7,TRUE)</f>
        <v>-3.7582193381464162</v>
      </c>
      <c r="Z10">
        <f>_xll.acq_options_black_greeks(Z$3,$R10,$C$5,$C$6,$C$8,$C$7,TRUE)</f>
        <v>-0.89876024711169711</v>
      </c>
      <c r="AB10" t="s">
        <v>111</v>
      </c>
      <c r="AD10" s="36">
        <f>AD6-AD9</f>
        <v>3.1002755918052571E-11</v>
      </c>
      <c r="AE10" s="36">
        <f>AE6-AE9</f>
        <v>1.186034878804948E-6</v>
      </c>
      <c r="AF10" s="36">
        <f>AE6-AF9</f>
        <v>2.7498316124141553E-13</v>
      </c>
      <c r="AH10" s="11"/>
      <c r="AI10" s="11"/>
    </row>
    <row r="11" spans="1:43" x14ac:dyDescent="0.25">
      <c r="F11">
        <v>80</v>
      </c>
      <c r="G11">
        <f>_xll.acq_options_black_price($C$4,F11,$C$6,$C$8,$C$7,TRUE)</f>
        <v>14.476436736616208</v>
      </c>
      <c r="H11">
        <f>_xll.acq_options_black_price($C$4,F11,$C$6,$C$8,$C$7,FALSE)</f>
        <v>5.6514677107702527</v>
      </c>
      <c r="I11">
        <f t="shared" si="0"/>
        <v>0</v>
      </c>
      <c r="L11" s="12">
        <v>0.35</v>
      </c>
      <c r="M11">
        <f>_xll.acq_options_black_price($C$4,$C$5,$C$6,$C$8,L11,TRUE)</f>
        <v>14.18461596835218</v>
      </c>
      <c r="N11">
        <f>_xll.acq_options_black_price($C$4,$C$5,$C$6,$C$8,L11,FALSE)</f>
        <v>23.009584994198136</v>
      </c>
      <c r="O11">
        <f>_xll.acq_options_black_vol($C$4,$C$5,$C$6,$C$8,M11,TRUE)</f>
        <v>0.35000000000000003</v>
      </c>
      <c r="P11">
        <f>_xll.acq_options_black_vol($C$4,$C$5,$C$6,$C$8,N11,FALSE)</f>
        <v>0.35</v>
      </c>
      <c r="Q11" s="11"/>
      <c r="R11" s="13">
        <v>80</v>
      </c>
      <c r="S11">
        <f>_xll.acq_options_black_greeks(S$3,$R11,$C$5,$C$6,$C$8,$C$7,TRUE)</f>
        <v>3.5075174536571199</v>
      </c>
      <c r="T11">
        <f>_xll.acq_options_black_greeks(T$3,$R11,$C$5,$C$6,$C$8,$C$7,TRUE)</f>
        <v>0.25769617766635616</v>
      </c>
      <c r="U11">
        <f>_xll.acq_options_black_greeks(U$3,$R11,$C$5,$C$6,$C$8,$C$7,TRUE)</f>
        <v>1.1979408419502553E-2</v>
      </c>
      <c r="V11">
        <f>_xll.acq_options_black_greeks(V$3,$R11,$C$5,$C$6,$C$8,$C$7,TRUE)</f>
        <v>38.334106942408177</v>
      </c>
      <c r="W11">
        <f>_xll.acq_options_black_greeks(W$3,$R11,$C$5,$C$6,$C$8,$C$7,TRUE)</f>
        <v>90.64683126156136</v>
      </c>
      <c r="X11">
        <f>_xll.acq_options_black_greeks(X$3,$R11,$C$5,$C$6,$C$8,$C$7,TRUE)</f>
        <v>1.3088392633385084</v>
      </c>
      <c r="Y11">
        <f>_xll.acq_options_black_greeks(Y$3,$R11,$C$5,$C$6,$C$8,$C$7,TRUE)</f>
        <v>-8.7687936341427992</v>
      </c>
      <c r="Z11">
        <f>_xll.acq_options_black_greeks(Z$3,$R11,$C$5,$C$6,$C$8,$C$7,TRUE)</f>
        <v>-1.3579884050134714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_xll.acq_options_black_price($C$4,F12,$C$6,$C$8,$C$7,TRUE)</f>
        <v>9.9783611447713145</v>
      </c>
      <c r="H12">
        <f>_xll.acq_options_black_price($C$4,F12,$C$6,$C$8,$C$7,FALSE)</f>
        <v>9.9783611447713145</v>
      </c>
      <c r="I12">
        <f t="shared" si="0"/>
        <v>0</v>
      </c>
      <c r="L12" s="12">
        <v>0.4</v>
      </c>
      <c r="M12">
        <f>_xll.acq_options_black_price($C$4,$C$5,$C$6,$C$8,L12,TRUE)</f>
        <v>16.671667966253157</v>
      </c>
      <c r="N12">
        <f>_xll.acq_options_black_price($C$4,$C$5,$C$6,$C$8,L12,FALSE)</f>
        <v>25.496636992099116</v>
      </c>
      <c r="O12">
        <f>_xll.acq_options_black_vol($C$4,$C$5,$C$6,$C$8,M12,TRUE)</f>
        <v>0.4</v>
      </c>
      <c r="P12">
        <f>_xll.acq_options_black_vol($C$4,$C$5,$C$6,$C$8,N12,FALSE)</f>
        <v>0.40000000000000036</v>
      </c>
      <c r="Q12" s="11"/>
      <c r="R12" s="13">
        <v>90</v>
      </c>
      <c r="S12">
        <f>_xll.acq_options_black_greeks(S$3,$R12,$C$5,$C$6,$C$8,$C$7,TRUE)</f>
        <v>6.6940173445580475</v>
      </c>
      <c r="T12">
        <f>_xll.acq_options_black_greeks(T$3,$R12,$C$5,$C$6,$C$8,$C$7,TRUE)</f>
        <v>0.37992740677291997</v>
      </c>
      <c r="U12">
        <f>_xll.acq_options_black_greeks(U$3,$R12,$C$5,$C$6,$C$8,$C$7,TRUE)</f>
        <v>1.2182197789293775E-2</v>
      </c>
      <c r="V12">
        <f>_xll.acq_options_black_greeks(V$3,$R12,$C$5,$C$6,$C$8,$C$7,TRUE)</f>
        <v>49.3379010466398</v>
      </c>
      <c r="W12">
        <f>_xll.acq_options_black_greeks(W$3,$R12,$C$5,$C$6,$C$8,$C$7,TRUE)</f>
        <v>21.217365348719802</v>
      </c>
      <c r="X12">
        <f>_xll.acq_options_black_greeks(X$3,$R12,$C$5,$C$6,$C$8,$C$7,TRUE)</f>
        <v>0.85168463867564059</v>
      </c>
      <c r="Y12">
        <f>_xll.acq_options_black_greeks(Y$3,$R12,$C$5,$C$6,$C$8,$C$7,TRUE)</f>
        <v>-16.735043361395118</v>
      </c>
      <c r="Z12">
        <f>_xll.acq_options_black_greeks(Z$3,$R12,$C$5,$C$6,$C$8,$C$7,TRUE)</f>
        <v>-1.6388151746376893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_xll.acq_options_black_price($C$4,F13,$C$6,$C$8,$C$7,TRUE)</f>
        <v>6.6940173445580475</v>
      </c>
      <c r="H13">
        <f>_xll.acq_options_black_price($C$4,F13,$C$6,$C$8,$C$7,FALSE)</f>
        <v>15.518986370404006</v>
      </c>
      <c r="I13">
        <f t="shared" si="0"/>
        <v>0</v>
      </c>
      <c r="L13" s="12">
        <v>0.45</v>
      </c>
      <c r="M13">
        <f>_xll.acq_options_black_price($C$4,$C$5,$C$6,$C$8,L13,TRUE)</f>
        <v>19.136501558517594</v>
      </c>
      <c r="N13">
        <f>_xll.acq_options_black_price($C$4,$C$5,$C$6,$C$8,L13,FALSE)</f>
        <v>27.961470584363553</v>
      </c>
      <c r="O13">
        <f>_xll.acq_options_black_vol($C$4,$C$5,$C$6,$C$8,M13,TRUE)</f>
        <v>0.44999999999999996</v>
      </c>
      <c r="P13">
        <f>_xll.acq_options_black_vol($C$4,$C$5,$C$6,$C$8,N13,FALSE)</f>
        <v>0.45000000000000007</v>
      </c>
      <c r="R13" s="13">
        <v>100</v>
      </c>
      <c r="S13">
        <f>_xll.acq_options_black_greeks(S$3,$R13,$C$5,$C$6,$C$8,$C$7,TRUE)</f>
        <v>11.087067938634798</v>
      </c>
      <c r="T13">
        <f>_xll.acq_options_black_greeks(T$3,$R13,$C$5,$C$6,$C$8,$C$7,TRUE)</f>
        <v>0.49668379098547172</v>
      </c>
      <c r="U13">
        <f>_xll.acq_options_black_greeks(U$3,$R13,$C$5,$C$6,$C$8,$C$7,TRUE)</f>
        <v>1.0994983312677648E-2</v>
      </c>
      <c r="V13">
        <f>_xll.acq_options_black_greeks(V$3,$R13,$C$5,$C$6,$C$8,$C$7,TRUE)</f>
        <v>54.974916563388255</v>
      </c>
      <c r="W13">
        <f>_xll.acq_options_black_greeks(W$3,$R13,$C$5,$C$6,$C$8,$C$7,TRUE)</f>
        <v>-6.8718645704235346</v>
      </c>
      <c r="X13">
        <f>_xll.acq_options_black_greeks(X$3,$R13,$C$5,$C$6,$C$8,$C$7,TRUE)</f>
        <v>0.27487458281694127</v>
      </c>
      <c r="Y13">
        <f>_xll.acq_options_black_greeks(Y$3,$R13,$C$5,$C$6,$C$8,$C$7,TRUE)</f>
        <v>-27.717669846586993</v>
      </c>
      <c r="Z13">
        <f>_xll.acq_options_black_greeks(Z$3,$R13,$C$5,$C$6,$C$8,$C$7,TRUE)</f>
        <v>-1.6446432656037904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_xll.acq_options_black_price($C$4,F14,$C$6,$C$8,$C$7,TRUE)</f>
        <v>4.3955534683869484</v>
      </c>
      <c r="H14">
        <f>_xll.acq_options_black_price($C$4,F14,$C$6,$C$8,$C$7,FALSE)</f>
        <v>22.045491520078862</v>
      </c>
      <c r="I14">
        <f t="shared" si="0"/>
        <v>0</v>
      </c>
      <c r="L14" s="12">
        <v>0.5</v>
      </c>
      <c r="M14">
        <f>_xll.acq_options_black_price($C$4,$C$5,$C$6,$C$8,L14,TRUE)</f>
        <v>21.572924488711006</v>
      </c>
      <c r="N14">
        <f>_xll.acq_options_black_price($C$4,$C$5,$C$6,$C$8,L14,FALSE)</f>
        <v>30.397893514556959</v>
      </c>
      <c r="O14">
        <f>_xll.acq_options_black_vol($C$4,$C$5,$C$6,$C$8,M14,TRUE)</f>
        <v>0.49999999999989148</v>
      </c>
      <c r="P14">
        <f>_xll.acq_options_black_vol($C$4,$C$5,$C$6,$C$8,N14,FALSE)</f>
        <v>0.49999999999989148</v>
      </c>
      <c r="R14" s="13">
        <v>110</v>
      </c>
      <c r="S14">
        <f>_xll.acq_options_black_greeks(S$3,$R14,$C$5,$C$6,$C$8,$C$7,TRUE)</f>
        <v>16.573844115112141</v>
      </c>
      <c r="T14">
        <f>_xll.acq_options_black_greeks(T$3,$R14,$C$5,$C$6,$C$8,$C$7,TRUE)</f>
        <v>0.59750901961114167</v>
      </c>
      <c r="U14">
        <f>_xll.acq_options_black_greeks(U$3,$R14,$C$5,$C$6,$C$8,$C$7,TRUE)</f>
        <v>9.1070941315546574E-3</v>
      </c>
      <c r="V14">
        <f>_xll.acq_options_black_greeks(V$3,$R14,$C$5,$C$6,$C$8,$C$7,TRUE)</f>
        <v>55.0979194959057</v>
      </c>
      <c r="W14">
        <f>_xll.acq_options_black_greeks(W$3,$R14,$C$5,$C$6,$C$8,$C$7,TRUE)</f>
        <v>18.138318776179169</v>
      </c>
      <c r="X14">
        <f>_xll.acq_options_black_greeks(X$3,$R14,$C$5,$C$6,$C$8,$C$7,TRUE)</f>
        <v>-0.22695423992760957</v>
      </c>
      <c r="Y14">
        <f>_xll.acq_options_black_greeks(Y$3,$R14,$C$5,$C$6,$C$8,$C$7,TRUE)</f>
        <v>-41.434610287780352</v>
      </c>
      <c r="Z14">
        <f>_xll.acq_options_black_greeks(Z$3,$R14,$C$5,$C$6,$C$8,$C$7,TRUE)</f>
        <v>-1.375224574080621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_xll.acq_options_black_price($C$4,F15,$C$6,$C$8,$C$7,TRUE)</f>
        <v>2.8391966596089051</v>
      </c>
      <c r="H15">
        <f>_xll.acq_options_black_price($C$4,F15,$C$6,$C$8,$C$7,FALSE)</f>
        <v>29.314103737146759</v>
      </c>
      <c r="I15">
        <f t="shared" si="0"/>
        <v>0</v>
      </c>
      <c r="L15" s="12">
        <v>0.55000000000000004</v>
      </c>
      <c r="M15">
        <f>_xll.acq_options_black_price($C$4,$C$5,$C$6,$C$8,L15,TRUE)</f>
        <v>23.975887217505207</v>
      </c>
      <c r="N15">
        <f>_xll.acq_options_black_price($C$4,$C$5,$C$6,$C$8,L15,FALSE)</f>
        <v>32.800856243351163</v>
      </c>
      <c r="O15">
        <f>_xll.acq_options_black_vol($C$4,$C$5,$C$6,$C$8,M15,TRUE)</f>
        <v>0.55000000000012583</v>
      </c>
      <c r="P15">
        <f>_xll.acq_options_black_vol($C$4,$C$5,$C$6,$C$8,N15,FALSE)</f>
        <v>0.55000000000012583</v>
      </c>
    </row>
    <row r="16" spans="1:43" x14ac:dyDescent="0.25">
      <c r="F16">
        <v>130</v>
      </c>
      <c r="G16">
        <f>_xll.acq_options_black_price($C$4,F16,$C$6,$C$8,$C$7,TRUE)</f>
        <v>1.8115062303041027</v>
      </c>
      <c r="H16">
        <f>_xll.acq_options_black_price($C$4,F16,$C$6,$C$8,$C$7,FALSE)</f>
        <v>37.111382333687921</v>
      </c>
      <c r="I16">
        <f t="shared" si="0"/>
        <v>0</v>
      </c>
      <c r="L16" s="12">
        <v>0.6</v>
      </c>
      <c r="M16">
        <f>_xll.acq_options_black_price($C$4,$C$5,$C$6,$C$8,L16,TRUE)</f>
        <v>26.341088315356672</v>
      </c>
      <c r="N16">
        <f>_xll.acq_options_black_price($C$4,$C$5,$C$6,$C$8,L16,FALSE)</f>
        <v>35.166057341202624</v>
      </c>
      <c r="O16">
        <f>_xll.acq_options_black_vol($C$4,$C$5,$C$6,$C$8,M16,TRUE)</f>
        <v>0.60000000002893583</v>
      </c>
      <c r="P16">
        <f>_xll.acq_options_black_vol($C$4,$C$5,$C$6,$C$8,N16,FALSE)</f>
        <v>0.60000000002893594</v>
      </c>
      <c r="AB16" s="15">
        <f>AB17-AC20</f>
        <v>0.19990000000000002</v>
      </c>
      <c r="AC16">
        <f>_xll.acq_options_black_price($C$4,$C$5,$C$6,$C$8,AB16,C9)</f>
        <v>15.514052686458282</v>
      </c>
      <c r="AD16" s="13">
        <f>_xll.acq_options_black_vega($C$4,$C$5,$C$6,$C$8,AB16)</f>
        <v>49.335777146424881</v>
      </c>
      <c r="AE16" s="13">
        <f>_xll.acq_options_black_vomma($C$4,$C$5,$C$6,$C$8,AB16)</f>
        <v>21.26065171426006</v>
      </c>
      <c r="AF16" s="11"/>
    </row>
    <row r="17" spans="6:43" ht="15.75" thickBot="1" x14ac:dyDescent="0.3">
      <c r="F17">
        <v>140</v>
      </c>
      <c r="G17">
        <f>_xll.acq_options_black_price($C$4,F17,$C$6,$C$8,$C$7,TRUE)</f>
        <v>1.1455860603749772</v>
      </c>
      <c r="H17">
        <f>_xll.acq_options_black_price($C$4,F17,$C$6,$C$8,$C$7,FALSE)</f>
        <v>45.270431189604743</v>
      </c>
      <c r="I17">
        <f t="shared" si="0"/>
        <v>0</v>
      </c>
      <c r="L17" s="12">
        <v>0.65</v>
      </c>
      <c r="M17">
        <f>_xll.acq_options_black_price($C$4,$C$5,$C$6,$C$8,L17,TRUE)</f>
        <v>28.66476516614928</v>
      </c>
      <c r="N17">
        <f>_xll.acq_options_black_price($C$4,$C$5,$C$6,$C$8,L17,FALSE)</f>
        <v>37.48973419199524</v>
      </c>
      <c r="O17">
        <f>_xll.acq_options_black_vol($C$4,$C$5,$C$6,$C$8,M17,TRUE)</f>
        <v>0.64999999999999991</v>
      </c>
      <c r="P17">
        <f>_xll.acq_options_black_vol($C$4,$C$5,$C$6,$C$8,N17,FALSE)</f>
        <v>0.65000000000000013</v>
      </c>
      <c r="S17" s="45" t="s">
        <v>108</v>
      </c>
      <c r="T17" s="45"/>
      <c r="U17" s="45"/>
      <c r="V17" s="45"/>
      <c r="W17" s="45"/>
      <c r="X17" s="45"/>
      <c r="Y17" s="45"/>
      <c r="Z17" s="45"/>
      <c r="AB17" s="16">
        <f>C7</f>
        <v>0.2</v>
      </c>
      <c r="AC17" s="19">
        <f>_xll.acq_options_black_price($C$4,$C$5,$C$6,$C$8,AB17,C9)</f>
        <v>15.518986370404006</v>
      </c>
      <c r="AD17" s="18">
        <f>_xll.acq_options_black_vega($C$4,$C$5,$C$6,$C$8,AB17)</f>
        <v>49.3379010466398</v>
      </c>
      <c r="AE17" s="18">
        <f>_xll.acq_options_black_vomma($C$4,$C$5,$C$6,$C$8,AB17)</f>
        <v>21.217365348719802</v>
      </c>
      <c r="AF17" s="11"/>
    </row>
    <row r="18" spans="6:43" x14ac:dyDescent="0.25">
      <c r="F18">
        <v>150</v>
      </c>
      <c r="G18">
        <f>_xll.acq_options_black_price($C$4,F18,$C$6,$C$8,$C$7,TRUE)</f>
        <v>0.72004182006534678</v>
      </c>
      <c r="H18">
        <f>_xll.acq_options_black_price($C$4,F18,$C$6,$C$8,$C$7,FALSE)</f>
        <v>53.669855975141068</v>
      </c>
      <c r="I18">
        <f t="shared" si="0"/>
        <v>0</v>
      </c>
      <c r="L18" s="12">
        <v>0.7</v>
      </c>
      <c r="M18">
        <f>_xll.acq_options_black_price($C$4,$C$5,$C$6,$C$8,L18,TRUE)</f>
        <v>30.943577434959558</v>
      </c>
      <c r="N18">
        <f>_xll.acq_options_black_price($C$4,$C$5,$C$6,$C$8,L18,FALSE)</f>
        <v>39.768546460805517</v>
      </c>
      <c r="O18">
        <f>_xll.acq_options_black_vol($C$4,$C$5,$C$6,$C$8,M18,TRUE)</f>
        <v>0.7</v>
      </c>
      <c r="P18">
        <f>_xll.acq_options_black_vol($C$4,$C$5,$C$6,$C$8,N18,FALSE)</f>
        <v>0.69999999999999984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0.2001</v>
      </c>
      <c r="AC18">
        <f>_xll.acq_options_black_price($C$4,$C$5,$C$6,$C$8,AB18,C9)</f>
        <v>15.523920266523435</v>
      </c>
      <c r="AD18" s="13">
        <f>_xll.acq_options_black_vega($C$4,$C$5,$C$6,$C$8,AB18)</f>
        <v>49.340020622044484</v>
      </c>
      <c r="AE18" s="13">
        <f>_xll.acq_options_black_vomma($C$4,$C$5,$C$6,$C$8,AB18)</f>
        <v>21.174155479006156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_xll.acq_options_black_price($C$4,F19,$C$6,$C$8,$C$7,TRUE)</f>
        <v>0.45080945937845496</v>
      </c>
      <c r="H19">
        <f>_xll.acq_options_black_price($C$4,F19,$C$6,$C$8,$C$7,FALSE)</f>
        <v>62.225592640300121</v>
      </c>
      <c r="I19">
        <f t="shared" si="0"/>
        <v>0</v>
      </c>
      <c r="L19" s="12">
        <v>0.75</v>
      </c>
      <c r="M19">
        <f>_xll.acq_options_black_price($C$4,$C$5,$C$6,$C$8,L19,TRUE)</f>
        <v>33.174539654598696</v>
      </c>
      <c r="N19">
        <f>_xll.acq_options_black_price($C$4,$C$5,$C$6,$C$8,L19,FALSE)</f>
        <v>41.999508680444649</v>
      </c>
      <c r="O19">
        <f>_xll.acq_options_black_vol($C$4,$C$5,$C$6,$C$8,M19,TRUE)</f>
        <v>0.75000000000000011</v>
      </c>
      <c r="P19">
        <f>_xll.acq_options_black_vol($C$4,$C$5,$C$6,$C$8,N19,FALSE)</f>
        <v>0.74999999999999978</v>
      </c>
      <c r="R19" s="13">
        <v>10</v>
      </c>
      <c r="S19">
        <f>_xll.acq_options_black_greeks(S$3,$R19,$C$5,$C$6,$C$8,$C$7,FALSE)</f>
        <v>79.424721232613791</v>
      </c>
      <c r="T19">
        <f>_xll.acq_options_black_greeks(T$3,$R19,$C$5,$C$6,$C$8,$C$7,FALSE)</f>
        <v>-0.88249690258413049</v>
      </c>
      <c r="U19">
        <f>_xll.acq_options_black_greeks(U$3,$R19,$C$5,$C$6,$C$8,$C$7,FALSE)</f>
        <v>1.0672572399027323E-12</v>
      </c>
      <c r="V19">
        <f>_xll.acq_options_black_greeks(V$3,$R19,$C$5,$C$6,$C$8,$C$7,FALSE)</f>
        <v>5.3362861995136619E-11</v>
      </c>
      <c r="W19">
        <f>_xll.acq_options_black_greeks(W$3,$R19,$C$5,$C$6,$C$8,$C$7,FALSE)</f>
        <v>1.4139552501337317E-8</v>
      </c>
      <c r="X19">
        <f>_xll.acq_options_black_greeks(X$3,$R19,$C$5,$C$6,$C$8,$C$7,FALSE)</f>
        <v>1.2554067364925689E-10</v>
      </c>
      <c r="Y19">
        <f>_xll.acq_options_black_greeks(Y$3,$R19,$C$5,$C$6,$C$8,$C$7,FALSE)</f>
        <v>-198.56180308153446</v>
      </c>
      <c r="Z19">
        <f>_xll.acq_options_black_greeks(Z$3,$R19,$C$5,$C$6,$C$8,$C$7,FALSE)</f>
        <v>3.9712360616285554</v>
      </c>
      <c r="AD19" s="11"/>
      <c r="AE19" s="11"/>
    </row>
    <row r="20" spans="6:43" x14ac:dyDescent="0.25">
      <c r="F20">
        <v>170</v>
      </c>
      <c r="G20">
        <f>_xll.acq_options_black_price($C$4,F20,$C$6,$C$8,$C$7,TRUE)</f>
        <v>0.28164665582910992</v>
      </c>
      <c r="H20">
        <f>_xll.acq_options_black_price($C$4,F20,$C$6,$C$8,$C$7,FALSE)</f>
        <v>70.88139886259674</v>
      </c>
      <c r="I20">
        <f t="shared" si="0"/>
        <v>0</v>
      </c>
      <c r="L20" s="12">
        <v>0.8</v>
      </c>
      <c r="M20">
        <f>_xll.acq_options_black_price($C$4,$C$5,$C$6,$C$8,L20,TRUE)</f>
        <v>35.354980931532161</v>
      </c>
      <c r="N20">
        <f>_xll.acq_options_black_price($C$4,$C$5,$C$6,$C$8,L20,FALSE)</f>
        <v>44.179949957378106</v>
      </c>
      <c r="O20">
        <f>_xll.acq_options_black_vol($C$4,$C$5,$C$6,$C$8,M20,TRUE)</f>
        <v>0.80000000000000027</v>
      </c>
      <c r="P20">
        <f>_xll.acq_options_black_vol($C$4,$C$5,$C$6,$C$8,N20,FALSE)</f>
        <v>0.79999999999999971</v>
      </c>
      <c r="R20" s="13">
        <v>20</v>
      </c>
      <c r="S20">
        <f>_xll.acq_options_black_greeks(S$3,$R20,$C$5,$C$6,$C$8,$C$7,FALSE)</f>
        <v>70.599752613357055</v>
      </c>
      <c r="T20">
        <f>_xll.acq_options_black_greeks(T$3,$R20,$C$5,$C$6,$C$8,$C$7,FALSE)</f>
        <v>-0.88249654229407226</v>
      </c>
      <c r="U20">
        <f>_xll.acq_options_black_greeks(U$3,$R20,$C$5,$C$6,$C$8,$C$7,FALSE)</f>
        <v>2.9167919848496583E-7</v>
      </c>
      <c r="V20">
        <f>_xll.acq_options_black_greeks(V$3,$R20,$C$5,$C$6,$C$8,$C$7,FALSE)</f>
        <v>5.8335839696993181E-5</v>
      </c>
      <c r="W20">
        <f>_xll.acq_options_black_greeks(W$3,$R20,$C$5,$C$6,$C$8,$C$7,FALSE)</f>
        <v>7.5480462796324874E-3</v>
      </c>
      <c r="X20">
        <f>_xll.acq_options_black_greeks(X$3,$R20,$C$5,$C$6,$C$8,$C$7,FALSE)</f>
        <v>4.840235202343433E-5</v>
      </c>
      <c r="Y20">
        <f>_xll.acq_options_black_greeks(Y$3,$R20,$C$5,$C$6,$C$8,$C$7,FALSE)</f>
        <v>-176.49938153339264</v>
      </c>
      <c r="Z20">
        <f>_xll.acq_options_black_greeks(Z$3,$R20,$C$5,$C$6,$C$8,$C$7,FALSE)</f>
        <v>3.5299852972342647</v>
      </c>
      <c r="AB20" t="s">
        <v>113</v>
      </c>
      <c r="AC20" s="14">
        <v>1E-4</v>
      </c>
      <c r="AD20" s="17">
        <f>_xll.acq_diff1_c3pt(AB16:AB18,AC16:AC18)</f>
        <v>49.337900325770896</v>
      </c>
      <c r="AE20" s="17">
        <f>_xll.acq_diff2_c3pt(AB16:AB18,AC16:AC18)</f>
        <v>21.217370438366807</v>
      </c>
      <c r="AF20" s="17">
        <f>_xll.acq_diff1_c3pt(AB16:AB18,AD16:AD18)</f>
        <v>21.217378098017498</v>
      </c>
    </row>
    <row r="21" spans="6:43" x14ac:dyDescent="0.25">
      <c r="L21" s="12">
        <v>0.85</v>
      </c>
      <c r="M21">
        <f>_xll.acq_options_black_price($C$4,$C$5,$C$6,$C$8,L21,TRUE)</f>
        <v>37.482520052043782</v>
      </c>
      <c r="N21">
        <f>_xll.acq_options_black_price($C$4,$C$5,$C$6,$C$8,L21,FALSE)</f>
        <v>46.307489077889734</v>
      </c>
      <c r="O21">
        <f>_xll.acq_options_black_vol($C$4,$C$5,$C$6,$C$8,M21,TRUE)</f>
        <v>0.85</v>
      </c>
      <c r="P21">
        <f>_xll.acq_options_black_vol($C$4,$C$5,$C$6,$C$8,N21,FALSE)</f>
        <v>0.84999999999999987</v>
      </c>
      <c r="R21" s="13">
        <v>30</v>
      </c>
      <c r="S21">
        <f>_xll.acq_options_black_greeks(S$3,$R21,$C$5,$C$6,$C$8,$C$7,FALSE)</f>
        <v>61.775032620278033</v>
      </c>
      <c r="T21">
        <f>_xll.acq_options_black_greeks(T$3,$R21,$C$5,$C$6,$C$8,$C$7,FALSE)</f>
        <v>-0.88238082059769352</v>
      </c>
      <c r="U21">
        <f>_xll.acq_options_black_greeks(U$3,$R21,$C$5,$C$6,$C$8,$C$7,FALSE)</f>
        <v>4.7627056993330414E-5</v>
      </c>
      <c r="V21">
        <f>_xll.acq_options_black_greeks(V$3,$R21,$C$5,$C$6,$C$8,$C$7,FALSE)</f>
        <v>2.1432175646998692E-2</v>
      </c>
      <c r="W21">
        <f>_xll.acq_options_black_greeks(W$3,$R21,$C$5,$C$6,$C$8,$C$7,FALSE)</f>
        <v>1.5506720388310835</v>
      </c>
      <c r="X21">
        <f>_xll.acq_options_black_greeks(X$3,$R21,$C$5,$C$6,$C$8,$C$7,FALSE)</f>
        <v>8.9584551329576576E-3</v>
      </c>
      <c r="Y21">
        <f>_xll.acq_options_black_greeks(Y$3,$R21,$C$5,$C$6,$C$8,$C$7,FALSE)</f>
        <v>-154.43758155069509</v>
      </c>
      <c r="Z21">
        <f>_xll.acq_options_black_greeks(Z$3,$R21,$C$5,$C$6,$C$8,$C$7,FALSE)</f>
        <v>3.087894343988022</v>
      </c>
      <c r="AB21" t="s">
        <v>111</v>
      </c>
      <c r="AD21" s="36">
        <f>AD17-AD20</f>
        <v>7.2086890412492721E-7</v>
      </c>
      <c r="AE21" s="36">
        <f>AE17-AE20</f>
        <v>-5.0896470042971487E-6</v>
      </c>
      <c r="AF21" s="36">
        <f>AE17-AF20</f>
        <v>-1.2749297695791029E-5</v>
      </c>
    </row>
    <row r="22" spans="6:43" x14ac:dyDescent="0.25">
      <c r="L22" s="12">
        <v>0.9</v>
      </c>
      <c r="M22">
        <f>_xll.acq_options_black_price($C$4,$C$5,$C$6,$C$8,L22,TRUE)</f>
        <v>39.555049450143443</v>
      </c>
      <c r="N22">
        <f>_xll.acq_options_black_price($C$4,$C$5,$C$6,$C$8,L22,FALSE)</f>
        <v>48.380018475989417</v>
      </c>
      <c r="O22">
        <f>_xll.acq_options_black_vol($C$4,$C$5,$C$6,$C$8,M22,TRUE)</f>
        <v>0.90000000002088232</v>
      </c>
      <c r="P22">
        <f>_xll.acq_options_black_vol($C$4,$C$5,$C$6,$C$8,N22,FALSE)</f>
        <v>0.90000000002088276</v>
      </c>
      <c r="R22" s="13">
        <v>40</v>
      </c>
      <c r="S22">
        <f>_xll.acq_options_black_greeks(S$3,$R22,$C$5,$C$6,$C$8,$C$7,FALSE)</f>
        <v>52.959352117439451</v>
      </c>
      <c r="T22">
        <f>_xll.acq_options_black_greeks(T$3,$R22,$C$5,$C$6,$C$8,$C$7,FALSE)</f>
        <v>-0.87978138316660226</v>
      </c>
      <c r="U22">
        <f>_xll.acq_options_black_greeks(U$3,$R22,$C$5,$C$6,$C$8,$C$7,FALSE)</f>
        <v>6.5307172110715096E-4</v>
      </c>
      <c r="V22">
        <f>_xll.acq_options_black_greeks(V$3,$R22,$C$5,$C$6,$C$8,$C$7,FALSE)</f>
        <v>0.52245737688572091</v>
      </c>
      <c r="W22">
        <f>_xll.acq_options_black_greeks(W$3,$R22,$C$5,$C$6,$C$8,$C$7,FALSE)</f>
        <v>21.867158460067717</v>
      </c>
      <c r="X22">
        <f>_xll.acq_options_black_greeks(X$3,$R22,$C$5,$C$6,$C$8,$C$7,FALSE)</f>
        <v>0.12621143027098861</v>
      </c>
      <c r="Y22">
        <f>_xll.acq_options_black_greeks(Y$3,$R22,$C$5,$C$6,$C$8,$C$7,FALSE)</f>
        <v>-132.39838029359862</v>
      </c>
      <c r="Z22">
        <f>_xll.acq_options_black_greeks(Z$3,$R22,$C$5,$C$6,$C$8,$C$7,FALSE)</f>
        <v>2.6270693107965437</v>
      </c>
    </row>
    <row r="23" spans="6:43" x14ac:dyDescent="0.25">
      <c r="L23" s="12">
        <v>0.95000000000000095</v>
      </c>
      <c r="M23">
        <f>_xll.acq_options_black_price($C$4,$C$5,$C$6,$C$8,L23,TRUE)</f>
        <v>41.570724245816116</v>
      </c>
      <c r="N23">
        <f>_xll.acq_options_black_price($C$4,$C$5,$C$6,$C$8,L23,FALSE)</f>
        <v>50.395693271662068</v>
      </c>
      <c r="O23">
        <f>_xll.acq_options_black_vol($C$4,$C$5,$C$6,$C$8,M23,TRUE)</f>
        <v>0.95000000000116225</v>
      </c>
      <c r="P23">
        <f>_xll.acq_options_black_vol($C$4,$C$5,$C$6,$C$8,N23,FALSE)</f>
        <v>0.95000000000116203</v>
      </c>
      <c r="R23" s="13">
        <v>50</v>
      </c>
      <c r="S23">
        <f>_xll.acq_options_black_greeks(S$3,$R23,$C$5,$C$6,$C$8,$C$7,FALSE)</f>
        <v>44.222531869721287</v>
      </c>
      <c r="T23">
        <f>_xll.acq_options_black_greeks(T$3,$R23,$C$5,$C$6,$C$8,$C$7,FALSE)</f>
        <v>-0.86397736982266682</v>
      </c>
      <c r="U23">
        <f>_xll.acq_options_black_greeks(U$3,$R23,$C$5,$C$6,$C$8,$C$7,FALSE)</f>
        <v>2.8148101232354362E-3</v>
      </c>
      <c r="V23">
        <f>_xll.acq_options_black_greeks(V$3,$R23,$C$5,$C$6,$C$8,$C$7,FALSE)</f>
        <v>3.5185126540442959</v>
      </c>
      <c r="W23">
        <f>_xll.acq_options_black_greeks(W$3,$R23,$C$5,$C$6,$C$8,$C$7,FALSE)</f>
        <v>84.08418637549002</v>
      </c>
      <c r="X23">
        <f>_xll.acq_options_black_greeks(X$3,$R23,$C$5,$C$6,$C$8,$C$7,FALSE)</f>
        <v>0.52295455172350158</v>
      </c>
      <c r="Y23">
        <f>_xll.acq_options_black_greeks(Y$3,$R23,$C$5,$C$6,$C$8,$C$7,FALSE)</f>
        <v>-110.5563296743032</v>
      </c>
      <c r="Z23">
        <f>_xll.acq_options_black_greeks(Z$3,$R23,$C$5,$C$6,$C$8,$C$7,FALSE)</f>
        <v>2.0703860873242919</v>
      </c>
    </row>
    <row r="24" spans="6:43" ht="15.75" thickBot="1" x14ac:dyDescent="0.3">
      <c r="L24" s="12">
        <v>1</v>
      </c>
      <c r="M24">
        <f>_xll.acq_options_black_price($C$4,$C$5,$C$6,$C$8,L24,TRUE)</f>
        <v>43.527954085240609</v>
      </c>
      <c r="N24">
        <f>_xll.acq_options_black_price($C$4,$C$5,$C$6,$C$8,L24,FALSE)</f>
        <v>52.352923111086561</v>
      </c>
      <c r="O24">
        <f>_xll.acq_options_black_vol($C$4,$C$5,$C$6,$C$8,M24,TRUE)</f>
        <v>1</v>
      </c>
      <c r="P24">
        <f>_xll.acq_options_black_vol($C$4,$C$5,$C$6,$C$8,N24,FALSE)</f>
        <v>1</v>
      </c>
      <c r="R24" s="13">
        <v>60</v>
      </c>
      <c r="S24">
        <f>_xll.acq_options_black_greeks(S$3,$R24,$C$5,$C$6,$C$8,$C$7,FALSE)</f>
        <v>35.779903983427388</v>
      </c>
      <c r="T24">
        <f>_xll.acq_options_black_greeks(T$3,$R24,$C$5,$C$6,$C$8,$C$7,FALSE)</f>
        <v>-0.81849601346557599</v>
      </c>
      <c r="U24">
        <f>_xll.acq_options_black_greeks(U$3,$R24,$C$5,$C$6,$C$8,$C$7,FALSE)</f>
        <v>6.4170817125925299E-3</v>
      </c>
      <c r="V24">
        <f>_xll.acq_options_black_greeks(V$3,$R24,$C$5,$C$6,$C$8,$C$7,FALSE)</f>
        <v>11.550747082666557</v>
      </c>
      <c r="W24">
        <f>_xll.acq_options_black_greeks(W$3,$R24,$C$5,$C$6,$C$8,$C$7,FALSE)</f>
        <v>149.26038124236729</v>
      </c>
      <c r="X24">
        <f>_xll.acq_options_black_greeks(X$3,$R24,$C$5,$C$6,$C$8,$C$7,FALSE)</f>
        <v>1.0796591562666114</v>
      </c>
      <c r="Y24">
        <f>_xll.acq_options_black_greeks(Y$3,$R24,$C$5,$C$6,$C$8,$C$7,FALSE)</f>
        <v>-89.449759958568478</v>
      </c>
      <c r="Z24">
        <f>_xll.acq_options_black_greeks(Z$3,$R24,$C$5,$C$6,$C$8,$C$7,FALSE)</f>
        <v>1.3269653158647075</v>
      </c>
      <c r="AB24" s="3" t="s">
        <v>115</v>
      </c>
      <c r="AF24" s="3" t="s">
        <v>117</v>
      </c>
    </row>
    <row r="25" spans="6:43" x14ac:dyDescent="0.25">
      <c r="L25" s="12">
        <v>1.05</v>
      </c>
      <c r="M25">
        <f>_xll.acq_options_black_price($C$4,$C$5,$C$6,$C$8,L25,TRUE)</f>
        <v>45.425396393156497</v>
      </c>
      <c r="N25">
        <f>_xll.acq_options_black_price($C$4,$C$5,$C$6,$C$8,L25,FALSE)</f>
        <v>54.250365419002463</v>
      </c>
      <c r="O25">
        <f>_xll.acq_options_black_vol($C$4,$C$5,$C$6,$C$8,M25,TRUE)</f>
        <v>1.0500000000004817</v>
      </c>
      <c r="P25">
        <f>_xll.acq_options_black_vol($C$4,$C$5,$C$6,$C$8,N25,FALSE)</f>
        <v>1.0500000000004819</v>
      </c>
      <c r="R25" s="13">
        <v>70</v>
      </c>
      <c r="S25">
        <f>_xll.acq_options_black_greeks(S$3,$R25,$C$5,$C$6,$C$8,$C$7,FALSE)</f>
        <v>27.978194812796424</v>
      </c>
      <c r="T25">
        <f>_xll.acq_options_black_greeks(T$3,$R25,$C$5,$C$6,$C$8,$C$7,FALSE)</f>
        <v>-0.7359360008160416</v>
      </c>
      <c r="U25">
        <f>_xll.acq_options_black_greeks(U$3,$R25,$C$5,$C$6,$C$8,$C$7,FALSE)</f>
        <v>9.938006468108421E-3</v>
      </c>
      <c r="V25">
        <f>_xll.acq_options_black_greeks(V$3,$R25,$C$5,$C$6,$C$8,$C$7,FALSE)</f>
        <v>24.348115846865639</v>
      </c>
      <c r="W25">
        <f>_xll.acq_options_black_greeks(W$3,$R25,$C$5,$C$6,$C$8,$C$7,FALSE)</f>
        <v>151.8312172362314</v>
      </c>
      <c r="X25">
        <f>_xll.acq_options_black_greeks(X$3,$R25,$C$5,$C$6,$C$8,$C$7,FALSE)</f>
        <v>1.4145383781482634</v>
      </c>
      <c r="Y25">
        <f>_xll.acq_options_black_greeks(Y$3,$R25,$C$5,$C$6,$C$8,$C$7,FALSE)</f>
        <v>-69.94548703199105</v>
      </c>
      <c r="Z25">
        <f>_xll.acq_options_black_greeks(Z$3,$R25,$C$5,$C$6,$C$8,$C$7,FALSE)</f>
        <v>0.42498510676519607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1.1000000000000001</v>
      </c>
      <c r="M26">
        <f>_xll.acq_options_black_price($C$4,$C$5,$C$6,$C$8,L26,TRUE)</f>
        <v>47.26195017286134</v>
      </c>
      <c r="N26">
        <f>_xll.acq_options_black_price($C$4,$C$5,$C$6,$C$8,L26,FALSE)</f>
        <v>56.086919198707314</v>
      </c>
      <c r="O26">
        <f>_xll.acq_options_black_vol($C$4,$C$5,$C$6,$C$8,M26,TRUE)</f>
        <v>1.1000000000007417</v>
      </c>
      <c r="P26">
        <f>_xll.acq_options_black_vol($C$4,$C$5,$C$6,$C$8,N26,FALSE)</f>
        <v>1.1000000000007419</v>
      </c>
      <c r="R26" s="13">
        <v>80</v>
      </c>
      <c r="S26">
        <f>_xll.acq_options_black_greeks(S$3,$R26,$C$5,$C$6,$C$8,$C$7,FALSE)</f>
        <v>21.157455505349031</v>
      </c>
      <c r="T26">
        <f>_xll.acq_options_black_greeks(T$3,$R26,$C$5,$C$6,$C$8,$C$7,FALSE)</f>
        <v>-0.62480072491823935</v>
      </c>
      <c r="U26">
        <f>_xll.acq_options_black_greeks(U$3,$R26,$C$5,$C$6,$C$8,$C$7,FALSE)</f>
        <v>1.1979408419502553E-2</v>
      </c>
      <c r="V26">
        <f>_xll.acq_options_black_greeks(V$3,$R26,$C$5,$C$6,$C$8,$C$7,FALSE)</f>
        <v>38.334106942408177</v>
      </c>
      <c r="W26">
        <f>_xll.acq_options_black_greeks(W$3,$R26,$C$5,$C$6,$C$8,$C$7,FALSE)</f>
        <v>90.64683126156136</v>
      </c>
      <c r="X26">
        <f>_xll.acq_options_black_greeks(X$3,$R26,$C$5,$C$6,$C$8,$C$7,FALSE)</f>
        <v>1.3088392633385084</v>
      </c>
      <c r="Y26">
        <f>_xll.acq_options_black_greeks(Y$3,$R26,$C$5,$C$6,$C$8,$C$7,FALSE)</f>
        <v>-52.893638763372579</v>
      </c>
      <c r="Z26">
        <f>_xll.acq_options_black_greeks(Z$3,$R26,$C$5,$C$6,$C$8,$C$7,FALSE)</f>
        <v>-0.47549150242887556</v>
      </c>
    </row>
    <row r="27" spans="6:43" x14ac:dyDescent="0.25">
      <c r="L27" s="12">
        <v>1.1499999999999999</v>
      </c>
      <c r="M27">
        <f>_xll.acq_options_black_price($C$4,$C$5,$C$6,$C$8,L27,TRUE)</f>
        <v>49.036749813932282</v>
      </c>
      <c r="N27">
        <f>_xll.acq_options_black_price($C$4,$C$5,$C$6,$C$8,L27,FALSE)</f>
        <v>57.861718839778241</v>
      </c>
      <c r="O27">
        <f>_xll.acq_options_black_vol($C$4,$C$5,$C$6,$C$8,M27,TRUE)</f>
        <v>1.15000000000102</v>
      </c>
      <c r="P27">
        <f>_xll.acq_options_black_vol($C$4,$C$5,$C$6,$C$8,N27,FALSE)</f>
        <v>1.15000000000102</v>
      </c>
      <c r="R27" s="13">
        <v>90</v>
      </c>
      <c r="S27">
        <f>_xll.acq_options_black_greeks(S$3,$R27,$C$5,$C$6,$C$8,$C$7,FALSE)</f>
        <v>15.518986370404006</v>
      </c>
      <c r="T27">
        <f>_xll.acq_options_black_greeks(T$3,$R27,$C$5,$C$6,$C$8,$C$7,FALSE)</f>
        <v>-0.50256949581167554</v>
      </c>
      <c r="U27">
        <f>_xll.acq_options_black_greeks(U$3,$R27,$C$5,$C$6,$C$8,$C$7,FALSE)</f>
        <v>1.2182197789293775E-2</v>
      </c>
      <c r="V27">
        <f>_xll.acq_options_black_greeks(V$3,$R27,$C$5,$C$6,$C$8,$C$7,FALSE)</f>
        <v>49.3379010466398</v>
      </c>
      <c r="W27">
        <f>_xll.acq_options_black_greeks(W$3,$R27,$C$5,$C$6,$C$8,$C$7,FALSE)</f>
        <v>21.217365348719802</v>
      </c>
      <c r="X27">
        <f>_xll.acq_options_black_greeks(X$3,$R27,$C$5,$C$6,$C$8,$C$7,FALSE)</f>
        <v>0.85168463867564059</v>
      </c>
      <c r="Y27">
        <f>_xll.acq_options_black_greeks(Y$3,$R27,$C$5,$C$6,$C$8,$C$7,FALSE)</f>
        <v>-38.797465926010013</v>
      </c>
      <c r="Z27">
        <f>_xll.acq_options_black_greeks(Z$3,$R27,$C$5,$C$6,$C$8,$C$7,FALSE)</f>
        <v>-1.1975667233453915</v>
      </c>
      <c r="AB27" s="15">
        <f>AB28-AC31</f>
        <v>4.99E-2</v>
      </c>
      <c r="AC27">
        <f>_xll.acq_options_black_price($C$4,$C$5,$C$6,AB27,$C$7,$C$20)</f>
        <v>15.522866602005347</v>
      </c>
      <c r="AD27" s="13">
        <f>_xll.acq_options_black_rho($C$4,$C$5,$C$6,AB27,$C$7,$C$9)</f>
        <v>-38.80716650501337</v>
      </c>
      <c r="AE27" s="13"/>
      <c r="AF27" s="15">
        <f>AF28-AG31</f>
        <v>2.4998999999999998</v>
      </c>
      <c r="AG27">
        <f>_xll.acq_options_black_price($C$4,$C$5,AF27,$C$8,$C$7,$C$20)</f>
        <v>15.518866611135088</v>
      </c>
      <c r="AH27" s="13">
        <f>_xll.acq_options_black_theta($C$4,$C$5,AF27,$C$8,$C$7,$C$9)</f>
        <v>-1.1976186555803805</v>
      </c>
    </row>
    <row r="28" spans="6:43" x14ac:dyDescent="0.25">
      <c r="R28" s="13">
        <v>100</v>
      </c>
      <c r="S28">
        <f>_xll.acq_options_black_greeks(S$3,$R28,$C$5,$C$6,$C$8,$C$7,FALSE)</f>
        <v>11.087067938634798</v>
      </c>
      <c r="T28">
        <f>_xll.acq_options_black_greeks(T$3,$R28,$C$5,$C$6,$C$8,$C$7,FALSE)</f>
        <v>-0.38581311159912374</v>
      </c>
      <c r="U28">
        <f>_xll.acq_options_black_greeks(U$3,$R28,$C$5,$C$6,$C$8,$C$7,FALSE)</f>
        <v>1.0994983312677648E-2</v>
      </c>
      <c r="V28">
        <f>_xll.acq_options_black_greeks(V$3,$R28,$C$5,$C$6,$C$8,$C$7,FALSE)</f>
        <v>54.974916563388255</v>
      </c>
      <c r="W28">
        <f>_xll.acq_options_black_greeks(W$3,$R28,$C$5,$C$6,$C$8,$C$7,FALSE)</f>
        <v>-6.8718645704235346</v>
      </c>
      <c r="X28">
        <f>_xll.acq_options_black_greeks(X$3,$R28,$C$5,$C$6,$C$8,$C$7,FALSE)</f>
        <v>0.27487458281694127</v>
      </c>
      <c r="Y28">
        <f>_xll.acq_options_black_greeks(Y$3,$R28,$C$5,$C$6,$C$8,$C$7,FALSE)</f>
        <v>-27.717669846586993</v>
      </c>
      <c r="Z28">
        <f>_xll.acq_options_black_greeks(Z$3,$R28,$C$5,$C$6,$C$8,$C$7,FALSE)</f>
        <v>-1.6446432656037904</v>
      </c>
      <c r="AB28" s="16">
        <f>C8</f>
        <v>0.05</v>
      </c>
      <c r="AC28" s="19">
        <f>_xll.acq_options_black_price($C$4,$C$5,$C$6,AB28,$C$7,$C$20)</f>
        <v>15.518986370404006</v>
      </c>
      <c r="AD28" s="18">
        <f>_xll.acq_options_black_rho($C$4,$C$5,$C$6,AB28,$C$7,$C$9)</f>
        <v>-38.797465926010013</v>
      </c>
      <c r="AE28" s="13"/>
      <c r="AF28" s="16">
        <f>C6</f>
        <v>2.5</v>
      </c>
      <c r="AG28">
        <f>_xll.acq_options_black_price($C$4,$C$5,AF28,$C$8,$C$7,$C$20)</f>
        <v>15.518986370404006</v>
      </c>
      <c r="AH28" s="13">
        <f>_xll.acq_options_black_theta($C$4,$C$5,AF28,$C$8,$C$7,$C$9)</f>
        <v>-1.1975667233453915</v>
      </c>
    </row>
    <row r="29" spans="6:43" x14ac:dyDescent="0.25">
      <c r="R29" s="13">
        <v>110</v>
      </c>
      <c r="S29">
        <f>_xll.acq_options_black_greeks(S$3,$R29,$C$5,$C$6,$C$8,$C$7,FALSE)</f>
        <v>7.7488750892661802</v>
      </c>
      <c r="T29">
        <f>_xll.acq_options_black_greeks(T$3,$R29,$C$5,$C$6,$C$8,$C$7,FALSE)</f>
        <v>-0.28498788297345379</v>
      </c>
      <c r="U29">
        <f>_xll.acq_options_black_greeks(U$3,$R29,$C$5,$C$6,$C$8,$C$7,FALSE)</f>
        <v>9.1070941315546574E-3</v>
      </c>
      <c r="V29">
        <f>_xll.acq_options_black_greeks(V$3,$R29,$C$5,$C$6,$C$8,$C$7,FALSE)</f>
        <v>55.0979194959057</v>
      </c>
      <c r="W29">
        <f>_xll.acq_options_black_greeks(W$3,$R29,$C$5,$C$6,$C$8,$C$7,FALSE)</f>
        <v>18.138318776179169</v>
      </c>
      <c r="X29">
        <f>_xll.acq_options_black_greeks(X$3,$R29,$C$5,$C$6,$C$8,$C$7,FALSE)</f>
        <v>-0.22695423992760957</v>
      </c>
      <c r="Y29">
        <f>_xll.acq_options_black_greeks(Y$3,$R29,$C$5,$C$6,$C$8,$C$7,FALSE)</f>
        <v>-19.37218772316545</v>
      </c>
      <c r="Z29">
        <f>_xll.acq_options_black_greeks(Z$3,$R29,$C$5,$C$6,$C$8,$C$7,FALSE)</f>
        <v>-1.8164730253729189</v>
      </c>
      <c r="AB29" s="15">
        <f>AB28+AC31</f>
        <v>5.0100000000000006E-2</v>
      </c>
      <c r="AC29">
        <f>_xll.acq_options_black_price($C$4,$C$5,$C$6,AB29,$C$7,$C$20)</f>
        <v>15.515107108739317</v>
      </c>
      <c r="AD29" s="13">
        <f>_xll.acq_options_black_rho($C$4,$C$5,$C$6,AB29,$C$7,$C$9)</f>
        <v>-38.787767771848287</v>
      </c>
      <c r="AE29" s="13"/>
      <c r="AF29" s="15">
        <f>AF28+AG31</f>
        <v>2.5001000000000002</v>
      </c>
      <c r="AG29">
        <f>_xll.acq_options_black_price($C$4,$C$5,AF29,$C$8,$C$7,$C$20)</f>
        <v>15.519106124479837</v>
      </c>
      <c r="AH29" s="13">
        <f>_xll.acq_options_black_theta($C$4,$C$5,AF29,$C$8,$C$7,$C$9)</f>
        <v>-1.197514793667896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1E-4</v>
      </c>
      <c r="AD31" s="17">
        <f>_xll.acq_diff1_c3pt(AB27:AB29,AC27:AC29)</f>
        <v>-38.797466330152687</v>
      </c>
      <c r="AF31" t="s">
        <v>118</v>
      </c>
      <c r="AG31" s="14">
        <v>1E-4</v>
      </c>
      <c r="AH31" s="17">
        <f>-_xll.acq_diff1_c3pt(AF27:AF29,AG27:AG29)</f>
        <v>-1.1975667237404104</v>
      </c>
    </row>
    <row r="32" spans="6:43" x14ac:dyDescent="0.25">
      <c r="AB32" t="s">
        <v>111</v>
      </c>
      <c r="AD32" s="36">
        <f>AD28-AD31</f>
        <v>4.0414267488131372E-7</v>
      </c>
      <c r="AE32" s="11"/>
      <c r="AF32" t="s">
        <v>111</v>
      </c>
      <c r="AH32" s="36">
        <f>AH28-AH31</f>
        <v>3.9501890647386517E-10</v>
      </c>
    </row>
    <row r="33" spans="18:43" x14ac:dyDescent="0.25">
      <c r="R33" s="11"/>
      <c r="S33" s="11"/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8:43" x14ac:dyDescent="0.25">
      <c r="T34" s="12"/>
    </row>
    <row r="35" spans="18:43" ht="15.75" thickBot="1" x14ac:dyDescent="0.3">
      <c r="T35" s="12"/>
      <c r="AB35" s="3" t="s">
        <v>119</v>
      </c>
    </row>
    <row r="36" spans="18:43" x14ac:dyDescent="0.25">
      <c r="T36" s="12"/>
      <c r="AG36" t="s">
        <v>100</v>
      </c>
      <c r="AK36" t="s">
        <v>102</v>
      </c>
      <c r="AO36" t="s">
        <v>104</v>
      </c>
    </row>
    <row r="37" spans="18:43" x14ac:dyDescent="0.25">
      <c r="T37" s="12"/>
      <c r="AB37" s="29" t="s">
        <v>120</v>
      </c>
      <c r="AC37" s="30">
        <f>AD37-AC42</f>
        <v>0.19990000000000002</v>
      </c>
      <c r="AD37" s="31">
        <f>C7</f>
        <v>0.2</v>
      </c>
      <c r="AE37" s="32">
        <f>AD37+AC42</f>
        <v>0.2001</v>
      </c>
    </row>
    <row r="38" spans="18:43" x14ac:dyDescent="0.25">
      <c r="T38" s="12"/>
      <c r="AB38" s="26">
        <f>AB39-AC42</f>
        <v>89.999899999999997</v>
      </c>
      <c r="AC38" s="20">
        <f>_xll.acq_options_black_price($AB38,$C$5,$C$6,$C$8,AC$37,$C$9)</f>
        <v>15.514102951988354</v>
      </c>
      <c r="AD38" s="21">
        <f>_xll.acq_options_black_price($AB38,$C$5,$C$6,$C$8,AD$37,$C$9)</f>
        <v>15.519036627414497</v>
      </c>
      <c r="AE38" s="33">
        <f>_xll.acq_options_black_price($AB38,$C$5,$C$6,$C$8,AE$37,$C$9)</f>
        <v>15.523970515019768</v>
      </c>
      <c r="AG38">
        <f>_xll.acq_options_black_delta($AB38,$C$5,$C$6,$C$8,AC$37,$C$9)</f>
        <v>-0.50265591011290189</v>
      </c>
      <c r="AH38">
        <f>_xll.acq_options_black_delta($AB38,$C$5,$C$6,$C$8,AD$37,$C$9)</f>
        <v>-0.50257071403175657</v>
      </c>
      <c r="AI38">
        <f>_xll.acq_options_black_delta($AB38,$C$5,$C$6,$C$8,AE$37,$C$9)</f>
        <v>-0.50248557204699029</v>
      </c>
      <c r="AK38">
        <f>_xll.acq_options_black_vega($AB38,$C$5,$C$6,$C$8,AC$37)</f>
        <v>49.335691923549369</v>
      </c>
      <c r="AL38" s="19">
        <f>_xll.acq_options_black_vega($AB38,$C$5,$C$6,$C$8,AD$37)</f>
        <v>49.337815877897569</v>
      </c>
      <c r="AM38">
        <f>_xll.acq_options_black_vega($AB38,$C$5,$C$6,$C$8,AE$37)</f>
        <v>49.339935507361311</v>
      </c>
      <c r="AO38">
        <f>_xll.acq_options_black_vanna($AB38,$C$5,$C$6,$C$8,AC$37)</f>
        <v>0.8522315408095249</v>
      </c>
      <c r="AP38">
        <f>_xll.acq_options_black_vanna($AB38,$C$5,$C$6,$C$8,AD$37)</f>
        <v>0.8516902058832212</v>
      </c>
      <c r="AQ38">
        <f>_xll.acq_options_black_vanna($AB38,$C$5,$C$6,$C$8,AE$37)</f>
        <v>0.85114961300657732</v>
      </c>
    </row>
    <row r="39" spans="18:43" x14ac:dyDescent="0.25">
      <c r="T39" s="12"/>
      <c r="AB39" s="27">
        <f>C4</f>
        <v>90</v>
      </c>
      <c r="AC39" s="34">
        <f>_xll.acq_options_black_price($AB39,$C$5,$C$6,$C$8,AC$37,$C$9)</f>
        <v>15.514052686458282</v>
      </c>
      <c r="AD39" s="22">
        <f>_xll.acq_options_black_price($AB39,$C$5,$C$6,$C$8,AD$37,$C$9)</f>
        <v>15.518986370404006</v>
      </c>
      <c r="AE39" s="23">
        <f>_xll.acq_options_black_price($AB39,$C$5,$C$6,$C$8,AE$37,$C$9)</f>
        <v>15.523920266523435</v>
      </c>
      <c r="AG39" s="19">
        <f>_xll.acq_options_black_delta($AB39,$C$5,$C$6,$C$8,AC$37,$C$9)</f>
        <v>-0.50265469133587493</v>
      </c>
      <c r="AH39" s="19">
        <f>_xll.acq_options_black_delta($AB39,$C$5,$C$6,$C$8,AD$37,$C$9)</f>
        <v>-0.50256949581167554</v>
      </c>
      <c r="AI39" s="19">
        <f>_xll.acq_options_black_delta($AB39,$C$5,$C$6,$C$8,AE$37,$C$9)</f>
        <v>-0.50248435438340511</v>
      </c>
      <c r="AK39">
        <f>_xll.acq_options_black_vega($AB39,$C$5,$C$6,$C$8,AC$37)</f>
        <v>49.335777146424881</v>
      </c>
      <c r="AL39" s="19">
        <f>_xll.acq_options_black_vega($AB39,$C$5,$C$6,$C$8,AD$37)</f>
        <v>49.3379010466398</v>
      </c>
      <c r="AM39">
        <f>_xll.acq_options_black_vega($AB39,$C$5,$C$6,$C$8,AE$37)</f>
        <v>49.340020622044484</v>
      </c>
      <c r="AO39">
        <f>_xll.acq_options_black_vanna($AB39,$C$5,$C$6,$C$8,AC$37)</f>
        <v>0.85222596910017023</v>
      </c>
      <c r="AP39" s="19">
        <f>_xll.acq_options_black_vanna($AB39,$C$5,$C$6,$C$8,AD$37)</f>
        <v>0.85168463867564059</v>
      </c>
      <c r="AQ39">
        <f>_xll.acq_options_black_vanna($AB39,$C$5,$C$6,$C$8,AE$37)</f>
        <v>0.85114405029591067</v>
      </c>
    </row>
    <row r="40" spans="18:43" x14ac:dyDescent="0.25">
      <c r="T40" s="12"/>
      <c r="AB40" s="28">
        <f>AB39+AC42</f>
        <v>90.000100000000003</v>
      </c>
      <c r="AC40" s="35">
        <f>_xll.acq_options_black_price($AB40,$C$5,$C$6,$C$8,AC$37,$C$9)</f>
        <v>15.514002421050082</v>
      </c>
      <c r="AD40" s="24">
        <f>_xll.acq_options_black_price($AB40,$C$5,$C$6,$C$8,AD$37,$C$9)</f>
        <v>15.518936113515325</v>
      </c>
      <c r="AE40" s="25">
        <f>_xll.acq_options_black_price($AB40,$C$5,$C$6,$C$8,AE$37,$C$9)</f>
        <v>15.523870018148884</v>
      </c>
      <c r="AG40">
        <f>_xll.acq_options_black_delta($AB40,$C$5,$C$6,$C$8,AC$37,$C$9)</f>
        <v>-0.50265347255945125</v>
      </c>
      <c r="AH40">
        <f>_xll.acq_options_black_delta($AB40,$C$5,$C$6,$C$8,AD$37,$C$9)</f>
        <v>-0.50256827759219869</v>
      </c>
      <c r="AI40">
        <f>_xll.acq_options_black_delta($AB40,$C$5,$C$6,$C$8,AE$37,$C$9)</f>
        <v>-0.50248313672042533</v>
      </c>
      <c r="AK40">
        <f>_xll.acq_options_black_vega($AB40,$C$5,$C$6,$C$8,AC$37)</f>
        <v>49.3358623687432</v>
      </c>
      <c r="AL40" s="19">
        <f>_xll.acq_options_black_vega($AB40,$C$5,$C$6,$C$8,AD$37)</f>
        <v>49.337986214825321</v>
      </c>
      <c r="AM40">
        <f>_xll.acq_options_black_vega($AB40,$C$5,$C$6,$C$8,AE$37)</f>
        <v>49.340105736171374</v>
      </c>
      <c r="AO40">
        <f>_xll.acq_options_black_vanna($AB40,$C$5,$C$6,$C$8,AC$37)</f>
        <v>0.85222039737928323</v>
      </c>
      <c r="AP40">
        <f>_xll.acq_options_black_vanna($AB40,$C$5,$C$6,$C$8,AD$37)</f>
        <v>0.85167907145655986</v>
      </c>
      <c r="AQ40">
        <f>_xll.acq_options_black_vanna($AB40,$C$5,$C$6,$C$8,AE$37)</f>
        <v>0.85113848757377619</v>
      </c>
    </row>
    <row r="41" spans="18:43" x14ac:dyDescent="0.25">
      <c r="T41" s="12"/>
    </row>
    <row r="42" spans="18:43" x14ac:dyDescent="0.25">
      <c r="T42" s="12"/>
      <c r="AB42" t="s">
        <v>110</v>
      </c>
      <c r="AC42" s="14">
        <v>1E-4</v>
      </c>
      <c r="AD42" s="17">
        <f>_xll.acq_diff1_c3pt(AC37:AE37,AG39:AI39)</f>
        <v>0.85168476234918578</v>
      </c>
      <c r="AE42" s="17">
        <f>_xll.acq_diff1_c3pt(AB38:AB40,AL38:AL40)</f>
        <v>0.85168463873245726</v>
      </c>
    </row>
    <row r="43" spans="18:43" x14ac:dyDescent="0.25">
      <c r="AB43" t="s">
        <v>111</v>
      </c>
      <c r="AD43" s="36">
        <f>AP39-AD42</f>
        <v>-1.2367354518261209E-7</v>
      </c>
      <c r="AE43" s="36">
        <f>AP39-AE42</f>
        <v>-5.6816662485914549E-11</v>
      </c>
      <c r="AF43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CCF0-931A-41E3-AFEA-2FABAE8E4DC6}">
  <sheetPr codeName="Sheet3"/>
  <dimension ref="A1:AQ44"/>
  <sheetViews>
    <sheetView workbookViewId="0">
      <selection activeCell="U12" sqref="U12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.7109375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46" t="s">
        <v>128</v>
      </c>
      <c r="B1" s="46"/>
      <c r="C1" s="46"/>
      <c r="D1" s="46"/>
    </row>
    <row r="2" spans="1:43" ht="16.5" thickTop="1" thickBot="1" x14ac:dyDescent="0.3">
      <c r="F2" s="45" t="s">
        <v>97</v>
      </c>
      <c r="G2" s="45"/>
      <c r="H2" s="45"/>
      <c r="I2" s="45"/>
      <c r="L2" s="45" t="s">
        <v>98</v>
      </c>
      <c r="M2" s="45"/>
      <c r="N2" s="45"/>
      <c r="O2" s="45"/>
      <c r="P2" s="45"/>
      <c r="S2" s="45" t="s">
        <v>107</v>
      </c>
      <c r="T2" s="45"/>
      <c r="U2" s="45"/>
      <c r="V2" s="45"/>
      <c r="W2" s="45"/>
      <c r="X2" s="45"/>
      <c r="Y2" s="45"/>
      <c r="Z2" s="45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80</v>
      </c>
      <c r="F4">
        <v>10</v>
      </c>
      <c r="G4">
        <f>_xll.acq_options_bachelier_price($C$4,F4,$C$6,$C$8,$C$7,TRUE)</f>
        <v>61.905980844851676</v>
      </c>
      <c r="H4">
        <f>_xll.acq_options_bachelier_price($C$4,F4,$C$6,$C$8,$C$7,FALSE)</f>
        <v>0.13119766392999382</v>
      </c>
      <c r="I4">
        <f t="shared" ref="I4:I20" si="0">G4-H4 +(F4-$C$4)*EXP(-$C$6*$C$8)</f>
        <v>0</v>
      </c>
      <c r="L4" s="12">
        <v>0</v>
      </c>
      <c r="M4">
        <f>_xll.acq_options_bachelier_price($C$4,$C$5,$C$6,$C$8,L4,TRUE)</f>
        <v>0</v>
      </c>
      <c r="N4">
        <f>_xll.acq_options_bachelier_price($C$4,$C$5,$C$6,$C$8,L4,FALSE)</f>
        <v>8.8249690258459541</v>
      </c>
      <c r="O4">
        <f>_xll.acq_options_bachelier_vol($C$4,$C$5,$C$6,$C$8,M4,TRUE)</f>
        <v>1.0000000000000001E-15</v>
      </c>
      <c r="P4">
        <f>_xll.acq_options_bachelier_vol($C$4,$C$5,$C$6,$C$8,N4,FALSE)</f>
        <v>1.0000000000000001E-15</v>
      </c>
      <c r="Q4" s="11"/>
      <c r="R4" s="13">
        <v>10</v>
      </c>
      <c r="S4">
        <f>_xll.acq_options_bachelier_greeks(S$3,$R4,$C$5,$C$6,$C$8,$C$7,TRUE)</f>
        <v>5.0973689315626326E-2</v>
      </c>
      <c r="T4">
        <f>_xll.acq_options_bachelier_greeks(T$3,$R4,$C$5,$C$6,$C$8,$C$7,TRUE)</f>
        <v>5.0355433814145822E-3</v>
      </c>
      <c r="U4">
        <f>_xll.acq_options_bachelier_greeks(U$3,$R4,$C$5,$C$6,$C$8,$C$7,TRUE)</f>
        <v>4.5381715982879286E-4</v>
      </c>
      <c r="V4">
        <f>_xll.acq_options_bachelier_greeks(V$3,$R4,$C$5,$C$6,$C$8,$C$7,TRUE)</f>
        <v>2.2690857991439647E-2</v>
      </c>
      <c r="W4">
        <f>_xll.acq_options_bachelier_greeks(W$3,$R4,$C$5,$C$6,$C$8,$C$7,TRUE)</f>
        <v>7.261074557260684E-3</v>
      </c>
      <c r="X4">
        <f>_xll.acq_options_bachelier_greeks(X$3,$R4,$C$5,$C$6,$C$8,$C$7,TRUE)</f>
        <v>1.8152686393151714E-3</v>
      </c>
      <c r="Y4">
        <f>_xll.acq_options_bachelier_greeks(Y$3,$R4,$C$5,$C$6,$C$8,$C$7,TRUE)</f>
        <v>-0.12743422328906581</v>
      </c>
      <c r="Z4">
        <f>_xll.acq_options_bachelier_greeks(Z$3,$R4,$C$5,$C$6,$C$8,$C$7,TRUE)</f>
        <v>-8.8214747499977264E-2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90</v>
      </c>
      <c r="F5">
        <v>20</v>
      </c>
      <c r="G5">
        <f>_xll.acq_options_bachelier_price($C$4,F5,$C$6,$C$8,$C$7,TRUE)</f>
        <v>53.260424710089758</v>
      </c>
      <c r="H5">
        <f>_xll.acq_options_bachelier_price($C$4,F5,$C$6,$C$8,$C$7,FALSE)</f>
        <v>0.31061055501403678</v>
      </c>
      <c r="I5">
        <f t="shared" si="0"/>
        <v>0</v>
      </c>
      <c r="L5" s="12">
        <v>2</v>
      </c>
      <c r="M5">
        <f>_xll.acq_options_bachelier_price($C$4,$C$5,$C$6,$C$8,L5,TRUE)</f>
        <v>5.9423397762684862E-4</v>
      </c>
      <c r="N5">
        <f>_xll.acq_options_bachelier_price($C$4,$C$5,$C$6,$C$8,L5,FALSE)</f>
        <v>8.825563259823582</v>
      </c>
      <c r="O5">
        <f>_xll.acq_options_bachelier_vol($C$4,$C$5,$C$6,$C$8,M5,TRUE)</f>
        <v>2</v>
      </c>
      <c r="P5">
        <f>_xll.acq_options_bachelier_vol($C$4,$C$5,$C$6,$C$8,N5,FALSE)</f>
        <v>2</v>
      </c>
      <c r="Q5" s="11"/>
      <c r="R5" s="13">
        <v>20</v>
      </c>
      <c r="S5">
        <f>_xll.acq_options_bachelier_greeks(S$3,$R5,$C$5,$C$6,$C$8,$C$7,TRUE)</f>
        <v>0.13119766392999382</v>
      </c>
      <c r="T5">
        <f>_xll.acq_options_bachelier_greeks(T$3,$R5,$C$5,$C$6,$C$8,$C$7,TRUE)</f>
        <v>1.185047529952395E-2</v>
      </c>
      <c r="U5">
        <f>_xll.acq_options_bachelier_greeks(U$3,$R5,$C$5,$C$6,$C$8,$C$7,TRUE)</f>
        <v>9.6073093489667009E-4</v>
      </c>
      <c r="V5">
        <f>_xll.acq_options_bachelier_greeks(V$3,$R5,$C$5,$C$6,$C$8,$C$7,TRUE)</f>
        <v>4.8036546744833514E-2</v>
      </c>
      <c r="W5">
        <f>_xll.acq_options_bachelier_greeks(W$3,$R5,$C$5,$C$6,$C$8,$C$7,TRUE)</f>
        <v>1.1768953952484212E-2</v>
      </c>
      <c r="X5">
        <f>_xll.acq_options_bachelier_greeks(X$3,$R5,$C$5,$C$6,$C$8,$C$7,TRUE)</f>
        <v>3.3625582721383456E-3</v>
      </c>
      <c r="Y5">
        <f>_xll.acq_options_bachelier_greeks(Y$3,$R5,$C$5,$C$6,$C$8,$C$7,TRUE)</f>
        <v>-0.32799415982498453</v>
      </c>
      <c r="Z5">
        <f>_xll.acq_options_bachelier_greeks(Z$3,$R5,$C$5,$C$6,$C$8,$C$7,TRUE)</f>
        <v>-0.18558630378283433</v>
      </c>
      <c r="AB5" s="15">
        <f>AB6-AC9</f>
        <v>79.999899999999997</v>
      </c>
      <c r="AC5" s="13">
        <f>_xll.acq_options_bachelier_greeks(AC$3,$AB5,$C$5,$C$6,$C$8,$C$7,$C$9)</f>
        <v>7.2728367588076281</v>
      </c>
      <c r="AD5" s="13">
        <f>_xll.acq_options_bachelier_greeks(AD$3,$AB5,$C$5,$C$6,$C$8,$C$7,$C$9)</f>
        <v>0.3317426026282605</v>
      </c>
      <c r="AE5" s="13">
        <f>_xll.acq_options_bachelier_greeks(AE$3,$AB5,$C$5,$C$6,$C$8,$C$7,$C$9)</f>
        <v>1.0590295959350494E-2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_xll.acq_options_bachelier_price($C$4,F6,$C$6,$C$8,$C$7,TRUE)</f>
        <v>44.802859030336755</v>
      </c>
      <c r="H6">
        <f>_xll.acq_options_bachelier_price($C$4,F6,$C$6,$C$8,$C$7,FALSE)</f>
        <v>0.67801390110697701</v>
      </c>
      <c r="I6">
        <f t="shared" si="0"/>
        <v>0</v>
      </c>
      <c r="L6" s="12">
        <v>4</v>
      </c>
      <c r="M6">
        <f>_xll.acq_options_bachelier_price($C$4,$C$5,$C$6,$C$8,L6,TRUE)</f>
        <v>0.13560278022139546</v>
      </c>
      <c r="N6">
        <f>_xll.acq_options_bachelier_price($C$4,$C$5,$C$6,$C$8,L6,FALSE)</f>
        <v>8.9605718060673496</v>
      </c>
      <c r="O6">
        <f>_xll.acq_options_bachelier_vol($C$4,$C$5,$C$6,$C$8,M6,TRUE)</f>
        <v>4</v>
      </c>
      <c r="P6">
        <f>_xll.acq_options_bachelier_vol($C$4,$C$5,$C$6,$C$8,N6,FALSE)</f>
        <v>4</v>
      </c>
      <c r="Q6" s="11"/>
      <c r="R6" s="13">
        <v>30</v>
      </c>
      <c r="S6">
        <f>_xll.acq_options_bachelier_greeks(S$3,$R6,$C$5,$C$6,$C$8,$C$7,TRUE)</f>
        <v>0.31061055501403678</v>
      </c>
      <c r="T6">
        <f>_xll.acq_options_bachelier_greeks(T$3,$R6,$C$5,$C$6,$C$8,$C$7,TRUE)</f>
        <v>2.5495146274620451E-2</v>
      </c>
      <c r="U6">
        <f>_xll.acq_options_bachelier_greeks(U$3,$R6,$C$5,$C$6,$C$8,$C$7,TRUE)</f>
        <v>1.8403193314912635E-3</v>
      </c>
      <c r="V6">
        <f>_xll.acq_options_bachelier_greeks(V$3,$R6,$C$5,$C$6,$C$8,$C$7,TRUE)</f>
        <v>9.2015966574563179E-2</v>
      </c>
      <c r="W6">
        <f>_xll.acq_options_bachelier_greeks(W$3,$R6,$C$5,$C$6,$C$8,$C$7,TRUE)</f>
        <v>1.6562873983421374E-2</v>
      </c>
      <c r="X6">
        <f>_xll.acq_options_bachelier_greeks(X$3,$R6,$C$5,$C$6,$C$8,$C$7,TRUE)</f>
        <v>5.5209579944737906E-3</v>
      </c>
      <c r="Y6">
        <f>_xll.acq_options_bachelier_greeks(Y$3,$R6,$C$5,$C$6,$C$8,$C$7,TRUE)</f>
        <v>-0.77652638753509184</v>
      </c>
      <c r="Z6">
        <f>_xll.acq_options_bachelier_greeks(Z$3,$R6,$C$5,$C$6,$C$8,$C$7,TRUE)</f>
        <v>-0.35253333854755087</v>
      </c>
      <c r="AB6" s="16">
        <f>C4</f>
        <v>80</v>
      </c>
      <c r="AC6" s="13">
        <f>_xll.acq_options_bachelier_greeks(AC$3,$AB6,$C$5,$C$6,$C$8,$C$7,$C$9)</f>
        <v>7.2728699331208437</v>
      </c>
      <c r="AD6" s="13">
        <f>_xll.acq_options_bachelier_greeks(AD$3,$AB6,$C$5,$C$6,$C$8,$C$7,$C$9)</f>
        <v>0.33174366165838592</v>
      </c>
      <c r="AE6" s="13">
        <f>_xll.acq_options_bachelier_greeks(AE$3,$AB6,$C$5,$C$6,$C$8,$C$7,$C$9)</f>
        <v>1.0590306549704701E-2</v>
      </c>
      <c r="AF6" s="11"/>
      <c r="AH6" s="11"/>
      <c r="AI6" s="11"/>
      <c r="AL6" s="11"/>
    </row>
    <row r="7" spans="1:43" x14ac:dyDescent="0.25">
      <c r="B7" t="s">
        <v>89</v>
      </c>
      <c r="C7" s="5">
        <v>20</v>
      </c>
      <c r="F7">
        <v>40</v>
      </c>
      <c r="G7">
        <f>_xll.acq_options_bachelier_price($C$4,F7,$C$6,$C$8,$C$7,TRUE)</f>
        <v>36.668203786672954</v>
      </c>
      <c r="H7">
        <f>_xll.acq_options_bachelier_price($C$4,F7,$C$6,$C$8,$C$7,FALSE)</f>
        <v>1.3683276832891289</v>
      </c>
      <c r="I7">
        <f t="shared" si="0"/>
        <v>0</v>
      </c>
      <c r="L7" s="12">
        <v>6</v>
      </c>
      <c r="M7">
        <f>_xll.acq_options_bachelier_price($C$4,$C$5,$C$6,$C$8,L7,TRUE)</f>
        <v>0.6285859064429673</v>
      </c>
      <c r="N7">
        <f>_xll.acq_options_bachelier_price($C$4,$C$5,$C$6,$C$8,L7,FALSE)</f>
        <v>9.4535549322889221</v>
      </c>
      <c r="O7">
        <f>_xll.acq_options_bachelier_vol($C$4,$C$5,$C$6,$C$8,M7,TRUE)</f>
        <v>6.000000000000262</v>
      </c>
      <c r="P7">
        <f>_xll.acq_options_bachelier_vol($C$4,$C$5,$C$6,$C$8,N7,FALSE)</f>
        <v>6.0000000000002647</v>
      </c>
      <c r="Q7" s="11"/>
      <c r="R7" s="13">
        <v>40</v>
      </c>
      <c r="S7">
        <f>_xll.acq_options_bachelier_greeks(S$3,$R7,$C$5,$C$6,$C$8,$C$7,TRUE)</f>
        <v>0.67801390110697701</v>
      </c>
      <c r="T7">
        <f>_xll.acq_options_bachelier_greeks(T$3,$R7,$C$5,$C$6,$C$8,$C$7,TRUE)</f>
        <v>5.0234502680799265E-2</v>
      </c>
      <c r="U7">
        <f>_xll.acq_options_bachelier_greeks(U$3,$R7,$C$5,$C$6,$C$8,$C$7,TRUE)</f>
        <v>3.1897390351469396E-3</v>
      </c>
      <c r="V7">
        <f>_xll.acq_options_bachelier_greeks(V$3,$R7,$C$5,$C$6,$C$8,$C$7,TRUE)</f>
        <v>0.15948695175734701</v>
      </c>
      <c r="W7">
        <f>_xll.acq_options_bachelier_greeks(W$3,$R7,$C$5,$C$6,$C$8,$C$7,TRUE)</f>
        <v>1.9935868969668372E-2</v>
      </c>
      <c r="X7">
        <f>_xll.acq_options_bachelier_greeks(X$3,$R7,$C$5,$C$6,$C$8,$C$7,TRUE)</f>
        <v>7.97434758786735E-3</v>
      </c>
      <c r="Y7">
        <f>_xll.acq_options_bachelier_greeks(Y$3,$R7,$C$5,$C$6,$C$8,$C$7,TRUE)</f>
        <v>-1.6950347527674425</v>
      </c>
      <c r="Z7">
        <f>_xll.acq_options_bachelier_greeks(Z$3,$R7,$C$5,$C$6,$C$8,$C$7,TRUE)</f>
        <v>-0.60404711197403915</v>
      </c>
      <c r="AB7" s="15">
        <f>AB6+AC9</f>
        <v>80.000100000000003</v>
      </c>
      <c r="AC7" s="13">
        <f>_xll.acq_options_bachelier_greeks(AC$3,$AB7,$C$5,$C$6,$C$8,$C$7,$C$9)</f>
        <v>7.2729031075399622</v>
      </c>
      <c r="AD7" s="13">
        <f>_xll.acq_options_bachelier_greeks(AD$3,$AB7,$C$5,$C$6,$C$8,$C$7,$C$9)</f>
        <v>0.33174472068957045</v>
      </c>
      <c r="AE7" s="13">
        <f>_xll.acq_options_bachelier_greeks(AE$3,$AB7,$C$5,$C$6,$C$8,$C$7,$C$9)</f>
        <v>1.0590317139963593E-2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_xll.acq_options_bachelier_price($C$4,F8,$C$6,$C$8,$C$7,TRUE)</f>
        <v>29.036244876207263</v>
      </c>
      <c r="H8">
        <f>_xll.acq_options_bachelier_price($C$4,F8,$C$6,$C$8,$C$7,FALSE)</f>
        <v>2.5613377986694004</v>
      </c>
      <c r="I8">
        <f t="shared" si="0"/>
        <v>0</v>
      </c>
      <c r="L8" s="12">
        <v>8</v>
      </c>
      <c r="M8">
        <f>_xll.acq_options_bachelier_price($C$4,$C$5,$C$6,$C$8,L8,TRUE)</f>
        <v>1.3642959734368496</v>
      </c>
      <c r="N8">
        <f>_xll.acq_options_bachelier_price($C$4,$C$5,$C$6,$C$8,L8,FALSE)</f>
        <v>10.189264999282804</v>
      </c>
      <c r="O8">
        <f>_xll.acq_options_bachelier_vol($C$4,$C$5,$C$6,$C$8,M8,TRUE)</f>
        <v>8</v>
      </c>
      <c r="P8">
        <f>_xll.acq_options_bachelier_vol($C$4,$C$5,$C$6,$C$8,N8,FALSE)</f>
        <v>8</v>
      </c>
      <c r="Q8" s="11"/>
      <c r="R8" s="13">
        <v>50</v>
      </c>
      <c r="S8">
        <f>_xll.acq_options_bachelier_greeks(S$3,$R8,$C$5,$C$6,$C$8,$C$7,TRUE)</f>
        <v>1.3683276832891289</v>
      </c>
      <c r="T8">
        <f>_xll.acq_options_bachelier_greeks(T$3,$R8,$C$5,$C$6,$C$8,$C$7,TRUE)</f>
        <v>9.0854472851636808E-2</v>
      </c>
      <c r="U8">
        <f>_xll.acq_options_bachelier_greeks(U$3,$R8,$C$5,$C$6,$C$8,$C$7,TRUE)</f>
        <v>5.002506597354601E-3</v>
      </c>
      <c r="V8">
        <f>_xll.acq_options_bachelier_greeks(V$3,$R8,$C$5,$C$6,$C$8,$C$7,TRUE)</f>
        <v>0.25012532986773006</v>
      </c>
      <c r="W8">
        <f>_xll.acq_options_bachelier_greeks(W$3,$R8,$C$5,$C$6,$C$8,$C$7,TRUE)</f>
        <v>2.0010026389418397E-2</v>
      </c>
      <c r="X8">
        <f>_xll.acq_options_bachelier_greeks(X$3,$R8,$C$5,$C$6,$C$8,$C$7,TRUE)</f>
        <v>1.0005013194709202E-2</v>
      </c>
      <c r="Y8">
        <f>_xll.acq_options_bachelier_greeks(Y$3,$R8,$C$5,$C$6,$C$8,$C$7,TRUE)</f>
        <v>-3.4208192082228224</v>
      </c>
      <c r="Z8">
        <f>_xll.acq_options_bachelier_greeks(Z$3,$R8,$C$5,$C$6,$C$8,$C$7,TRUE)</f>
        <v>-0.93208493530646375</v>
      </c>
      <c r="AD8" s="11"/>
      <c r="AE8" s="11"/>
      <c r="AH8" s="11"/>
      <c r="AI8" s="11"/>
    </row>
    <row r="9" spans="1:43" x14ac:dyDescent="0.25">
      <c r="B9" t="s">
        <v>91</v>
      </c>
      <c r="C9" s="5" t="b">
        <v>1</v>
      </c>
      <c r="F9">
        <v>60</v>
      </c>
      <c r="G9">
        <f>_xll.acq_options_bachelier_price($C$4,F9,$C$6,$C$8,$C$7,TRUE)</f>
        <v>22.113553006114746</v>
      </c>
      <c r="H9">
        <f>_xll.acq_options_bachelier_price($C$4,F9,$C$6,$C$8,$C$7,FALSE)</f>
        <v>4.4636149544228356</v>
      </c>
      <c r="I9">
        <f t="shared" si="0"/>
        <v>0</v>
      </c>
      <c r="L9" s="12">
        <v>10</v>
      </c>
      <c r="M9">
        <f>_xll.acq_options_bachelier_price($C$4,$C$5,$C$6,$C$8,L9,TRUE)</f>
        <v>2.2318074772114178</v>
      </c>
      <c r="N9">
        <f>_xll.acq_options_bachelier_price($C$4,$C$5,$C$6,$C$8,L9,FALSE)</f>
        <v>11.056776503057373</v>
      </c>
      <c r="O9">
        <f>_xll.acq_options_bachelier_vol($C$4,$C$5,$C$6,$C$8,M9,TRUE)</f>
        <v>10</v>
      </c>
      <c r="P9">
        <f>_xll.acq_options_bachelier_vol($C$4,$C$5,$C$6,$C$8,N9,FALSE)</f>
        <v>10.000000000000004</v>
      </c>
      <c r="Q9" s="11"/>
      <c r="R9" s="13">
        <v>60</v>
      </c>
      <c r="S9">
        <f>_xll.acq_options_bachelier_greeks(S$3,$R9,$C$5,$C$6,$C$8,$C$7,TRUE)</f>
        <v>2.5613377986694004</v>
      </c>
      <c r="T9">
        <f>_xll.acq_options_bachelier_greeks(T$3,$R9,$C$5,$C$6,$C$8,$C$7,TRUE)</f>
        <v>0.15125189917533968</v>
      </c>
      <c r="U9">
        <f>_xll.acq_options_bachelier_greeks(U$3,$R9,$C$5,$C$6,$C$8,$C$7,TRUE)</f>
        <v>7.0988947739295885E-3</v>
      </c>
      <c r="V9">
        <f>_xll.acq_options_bachelier_greeks(V$3,$R9,$C$5,$C$6,$C$8,$C$7,TRUE)</f>
        <v>0.35494473869647947</v>
      </c>
      <c r="W9">
        <f>_xll.acq_options_bachelier_greeks(W$3,$R9,$C$5,$C$6,$C$8,$C$7,TRUE)</f>
        <v>1.5972513241341576E-2</v>
      </c>
      <c r="X9">
        <f>_xll.acq_options_bachelier_greeks(X$3,$R9,$C$5,$C$6,$C$8,$C$7,TRUE)</f>
        <v>1.0648342160894383E-2</v>
      </c>
      <c r="Y9">
        <f>_xll.acq_options_bachelier_greeks(Y$3,$R9,$C$5,$C$6,$C$8,$C$7,TRUE)</f>
        <v>-6.4033444966735003</v>
      </c>
      <c r="Z9">
        <f>_xll.acq_options_bachelier_greeks(Z$3,$R9,$C$5,$C$6,$C$8,$C$7,TRUE)</f>
        <v>-1.2917120648524476</v>
      </c>
      <c r="AB9" t="s">
        <v>110</v>
      </c>
      <c r="AC9" s="14">
        <v>1E-4</v>
      </c>
      <c r="AD9" s="17">
        <f>_xll.acq_diff1_c3pt(AB5:AB7,AC5:AC7)</f>
        <v>0.33174366165909031</v>
      </c>
      <c r="AE9" s="17">
        <f>_xll.acq_diff2_c3pt(AB5:AB7,AC5:AC7)</f>
        <v>1.0590284204784852E-2</v>
      </c>
      <c r="AF9" s="17">
        <f>_xll.acq_diff1_c3pt(AB5:AB7,AD5:AD7)</f>
        <v>1.0590306549411E-2</v>
      </c>
      <c r="AH9" s="11"/>
      <c r="AI9" s="11"/>
    </row>
    <row r="10" spans="1:43" x14ac:dyDescent="0.25">
      <c r="F10">
        <v>70</v>
      </c>
      <c r="G10">
        <f>_xll.acq_options_bachelier_price($C$4,F10,$C$6,$C$8,$C$7,TRUE)</f>
        <v>16.097838958966797</v>
      </c>
      <c r="H10">
        <f>_xll.acq_options_bachelier_price($C$4,F10,$C$6,$C$8,$C$7,FALSE)</f>
        <v>7.2728699331208437</v>
      </c>
      <c r="I10">
        <f t="shared" si="0"/>
        <v>0</v>
      </c>
      <c r="L10" s="12">
        <v>12</v>
      </c>
      <c r="M10">
        <f>_xll.acq_options_bachelier_price($C$4,$C$5,$C$6,$C$8,L10,TRUE)</f>
        <v>3.1743648312387092</v>
      </c>
      <c r="N10">
        <f>_xll.acq_options_bachelier_price($C$4,$C$5,$C$6,$C$8,L10,FALSE)</f>
        <v>11.999333857084665</v>
      </c>
      <c r="O10">
        <f>_xll.acq_options_bachelier_vol($C$4,$C$5,$C$6,$C$8,M10,TRUE)</f>
        <v>11.999999999991012</v>
      </c>
      <c r="P10">
        <f>_xll.acq_options_bachelier_vol($C$4,$C$5,$C$6,$C$8,N10,FALSE)</f>
        <v>11.999999999991015</v>
      </c>
      <c r="Q10" s="11"/>
      <c r="R10" s="13">
        <v>70</v>
      </c>
      <c r="S10">
        <f>_xll.acq_options_bachelier_greeks(S$3,$R10,$C$5,$C$6,$C$8,$C$7,TRUE)</f>
        <v>4.4636149544228356</v>
      </c>
      <c r="T10">
        <f>_xll.acq_options_bachelier_greeks(T$3,$R10,$C$5,$C$6,$C$8,$C$7,TRUE)</f>
        <v>0.2325773182847268</v>
      </c>
      <c r="U10">
        <f>_xll.acq_options_bachelier_greeks(U$3,$R10,$C$5,$C$6,$C$8,$C$7,TRUE)</f>
        <v>9.1151613201173702E-3</v>
      </c>
      <c r="V10">
        <f>_xll.acq_options_bachelier_greeks(V$3,$R10,$C$5,$C$6,$C$8,$C$7,TRUE)</f>
        <v>0.45575806600586855</v>
      </c>
      <c r="W10">
        <f>_xll.acq_options_bachelier_greeks(W$3,$R10,$C$5,$C$6,$C$8,$C$7,TRUE)</f>
        <v>9.1151613201173702E-3</v>
      </c>
      <c r="X10">
        <f>_xll.acq_options_bachelier_greeks(X$3,$R10,$C$5,$C$6,$C$8,$C$7,TRUE)</f>
        <v>9.1151613201173702E-3</v>
      </c>
      <c r="Y10">
        <f>_xll.acq_options_bachelier_greeks(Y$3,$R10,$C$5,$C$6,$C$8,$C$7,TRUE)</f>
        <v>-11.15903738605709</v>
      </c>
      <c r="Z10">
        <f>_xll.acq_options_bachelier_greeks(Z$3,$R10,$C$5,$C$6,$C$8,$C$7,TRUE)</f>
        <v>-1.5998515163023321</v>
      </c>
      <c r="AB10" t="s">
        <v>111</v>
      </c>
      <c r="AD10" s="36">
        <f>AD6-AD9</f>
        <v>-7.0438099797343057E-13</v>
      </c>
      <c r="AE10" s="36">
        <f>AE6-AE9</f>
        <v>2.2344919848454881E-8</v>
      </c>
      <c r="AF10" s="36">
        <f>AE6-AF9</f>
        <v>2.9370082754720528E-13</v>
      </c>
      <c r="AH10" s="11"/>
      <c r="AI10" s="11"/>
    </row>
    <row r="11" spans="1:43" x14ac:dyDescent="0.25">
      <c r="F11">
        <v>80</v>
      </c>
      <c r="G11">
        <f>_xll.acq_options_bachelier_price($C$4,F11,$C$6,$C$8,$C$7,TRUE)</f>
        <v>11.13328317746625</v>
      </c>
      <c r="H11">
        <f>_xll.acq_options_bachelier_price($C$4,F11,$C$6,$C$8,$C$7,FALSE)</f>
        <v>11.13328317746625</v>
      </c>
      <c r="I11">
        <f t="shared" si="0"/>
        <v>0</v>
      </c>
      <c r="L11" s="12">
        <v>14</v>
      </c>
      <c r="M11">
        <f>_xll.acq_options_bachelier_price($C$4,$C$5,$C$6,$C$8,L11,TRUE)</f>
        <v>4.1627948850277594</v>
      </c>
      <c r="N11">
        <f>_xll.acq_options_bachelier_price($C$4,$C$5,$C$6,$C$8,L11,FALSE)</f>
        <v>12.987763910873714</v>
      </c>
      <c r="O11">
        <f>_xll.acq_options_bachelier_vol($C$4,$C$5,$C$6,$C$8,M11,TRUE)</f>
        <v>14</v>
      </c>
      <c r="P11">
        <f>_xll.acq_options_bachelier_vol($C$4,$C$5,$C$6,$C$8,N11,FALSE)</f>
        <v>14</v>
      </c>
      <c r="Q11" s="11"/>
      <c r="R11" s="13">
        <v>80</v>
      </c>
      <c r="S11">
        <f>_xll.acq_options_bachelier_greeks(S$3,$R11,$C$5,$C$6,$C$8,$C$7,TRUE)</f>
        <v>7.2728699331208437</v>
      </c>
      <c r="T11">
        <f>_xll.acq_options_bachelier_greeks(T$3,$R11,$C$5,$C$6,$C$8,$C$7,TRUE)</f>
        <v>0.33174366165838592</v>
      </c>
      <c r="U11">
        <f>_xll.acq_options_bachelier_greeks(U$3,$R11,$C$5,$C$6,$C$8,$C$7,TRUE)</f>
        <v>1.0590306549704701E-2</v>
      </c>
      <c r="V11">
        <f>_xll.acq_options_bachelier_greeks(V$3,$R11,$C$5,$C$6,$C$8,$C$7,TRUE)</f>
        <v>0.52951532748523511</v>
      </c>
      <c r="W11">
        <f>_xll.acq_options_bachelier_greeks(W$3,$R11,$C$5,$C$6,$C$8,$C$7,TRUE)</f>
        <v>2.6475766374261748E-3</v>
      </c>
      <c r="X11">
        <f>_xll.acq_options_bachelier_greeks(X$3,$R11,$C$5,$C$6,$C$8,$C$7,TRUE)</f>
        <v>5.2951532748523504E-3</v>
      </c>
      <c r="Y11">
        <f>_xll.acq_options_bachelier_greeks(Y$3,$R11,$C$5,$C$6,$C$8,$C$7,TRUE)</f>
        <v>-18.182174832802108</v>
      </c>
      <c r="Z11">
        <f>_xll.acq_options_bachelier_greeks(Z$3,$R11,$C$5,$C$6,$C$8,$C$7,TRUE)</f>
        <v>-1.7544178132848978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_xll.acq_options_bachelier_price($C$4,F12,$C$6,$C$8,$C$7,TRUE)</f>
        <v>7.2728699331208437</v>
      </c>
      <c r="H12">
        <f>_xll.acq_options_bachelier_price($C$4,F12,$C$6,$C$8,$C$7,FALSE)</f>
        <v>16.097838958966797</v>
      </c>
      <c r="I12">
        <f t="shared" si="0"/>
        <v>0</v>
      </c>
      <c r="L12" s="12">
        <v>16</v>
      </c>
      <c r="M12">
        <f>_xll.acq_options_bachelier_price($C$4,$C$5,$C$6,$C$8,L12,TRUE)</f>
        <v>5.1810515543758058</v>
      </c>
      <c r="N12">
        <f>_xll.acq_options_bachelier_price($C$4,$C$5,$C$6,$C$8,L12,FALSE)</f>
        <v>14.00602058022176</v>
      </c>
      <c r="O12">
        <f>_xll.acq_options_bachelier_vol($C$4,$C$5,$C$6,$C$8,M12,TRUE)</f>
        <v>16</v>
      </c>
      <c r="P12">
        <f>_xll.acq_options_bachelier_vol($C$4,$C$5,$C$6,$C$8,N12,FALSE)</f>
        <v>16</v>
      </c>
      <c r="Q12" s="11"/>
      <c r="R12" s="13">
        <v>90</v>
      </c>
      <c r="S12">
        <f>_xll.acq_options_bachelier_greeks(S$3,$R12,$C$5,$C$6,$C$8,$C$7,TRUE)</f>
        <v>11.13328317746625</v>
      </c>
      <c r="T12">
        <f>_xll.acq_options_bachelier_greeks(T$3,$R12,$C$5,$C$6,$C$8,$C$7,TRUE)</f>
        <v>0.44124845129229773</v>
      </c>
      <c r="U12">
        <f>_xll.acq_options_bachelier_greeks(U$3,$R12,$C$5,$C$6,$C$8,$C$7,TRUE)</f>
        <v>1.1133283177466249E-2</v>
      </c>
      <c r="V12">
        <f>_xll.acq_options_bachelier_greeks(V$3,$R12,$C$5,$C$6,$C$8,$C$7,TRUE)</f>
        <v>0.55666415887331255</v>
      </c>
      <c r="W12">
        <f>_xll.acq_options_bachelier_greeks(W$3,$R12,$C$5,$C$6,$C$8,$C$7,TRUE)</f>
        <v>0</v>
      </c>
      <c r="X12">
        <f>_xll.acq_options_bachelier_greeks(X$3,$R12,$C$5,$C$6,$C$8,$C$7,TRUE)</f>
        <v>0</v>
      </c>
      <c r="Y12">
        <f>_xll.acq_options_bachelier_greeks(Y$3,$R12,$C$5,$C$6,$C$8,$C$7,TRUE)</f>
        <v>-27.833207943665627</v>
      </c>
      <c r="Z12">
        <f>_xll.acq_options_bachelier_greeks(Z$3,$R12,$C$5,$C$6,$C$8,$C$7,TRUE)</f>
        <v>-1.6699924766199372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_xll.acq_options_bachelier_price($C$4,F13,$C$6,$C$8,$C$7,TRUE)</f>
        <v>4.4636149544228356</v>
      </c>
      <c r="H13">
        <f>_xll.acq_options_bachelier_price($C$4,F13,$C$6,$C$8,$C$7,FALSE)</f>
        <v>22.113553006114746</v>
      </c>
      <c r="I13">
        <f t="shared" si="0"/>
        <v>0</v>
      </c>
      <c r="L13" s="12">
        <v>18</v>
      </c>
      <c r="M13">
        <f>_xll.acq_options_bachelier_price($C$4,$C$5,$C$6,$C$8,L13,TRUE)</f>
        <v>6.2197004502263091</v>
      </c>
      <c r="N13">
        <f>_xll.acq_options_bachelier_price($C$4,$C$5,$C$6,$C$8,L13,FALSE)</f>
        <v>15.044669476072263</v>
      </c>
      <c r="O13">
        <f>_xll.acq_options_bachelier_vol($C$4,$C$5,$C$6,$C$8,M13,TRUE)</f>
        <v>17.999999999999996</v>
      </c>
      <c r="P13">
        <f>_xll.acq_options_bachelier_vol($C$4,$C$5,$C$6,$C$8,N13,FALSE)</f>
        <v>17.999999999999996</v>
      </c>
      <c r="R13" s="13">
        <v>100</v>
      </c>
      <c r="S13">
        <f>_xll.acq_options_bachelier_greeks(S$3,$R13,$C$5,$C$6,$C$8,$C$7,TRUE)</f>
        <v>16.097838958966797</v>
      </c>
      <c r="T13">
        <f>_xll.acq_options_bachelier_greeks(T$3,$R13,$C$5,$C$6,$C$8,$C$7,TRUE)</f>
        <v>0.55075324092620948</v>
      </c>
      <c r="U13">
        <f>_xll.acq_options_bachelier_greeks(U$3,$R13,$C$5,$C$6,$C$8,$C$7,TRUE)</f>
        <v>1.0590306549704701E-2</v>
      </c>
      <c r="V13">
        <f>_xll.acq_options_bachelier_greeks(V$3,$R13,$C$5,$C$6,$C$8,$C$7,TRUE)</f>
        <v>0.52951532748523511</v>
      </c>
      <c r="W13">
        <f>_xll.acq_options_bachelier_greeks(W$3,$R13,$C$5,$C$6,$C$8,$C$7,TRUE)</f>
        <v>2.6475766374261748E-3</v>
      </c>
      <c r="X13">
        <f>_xll.acq_options_bachelier_greeks(X$3,$R13,$C$5,$C$6,$C$8,$C$7,TRUE)</f>
        <v>-5.2951532748523504E-3</v>
      </c>
      <c r="Y13">
        <f>_xll.acq_options_bachelier_greeks(Y$3,$R13,$C$5,$C$6,$C$8,$C$7,TRUE)</f>
        <v>-40.244597397416996</v>
      </c>
      <c r="Z13">
        <f>_xll.acq_options_bachelier_greeks(Z$3,$R13,$C$5,$C$6,$C$8,$C$7,TRUE)</f>
        <v>-1.3131693619926001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_xll.acq_options_bachelier_price($C$4,F14,$C$6,$C$8,$C$7,TRUE)</f>
        <v>2.5613377986694004</v>
      </c>
      <c r="H14">
        <f>_xll.acq_options_bachelier_price($C$4,F14,$C$6,$C$8,$C$7,FALSE)</f>
        <v>29.036244876207263</v>
      </c>
      <c r="I14">
        <f t="shared" si="0"/>
        <v>0</v>
      </c>
      <c r="L14" s="12">
        <v>20</v>
      </c>
      <c r="M14">
        <f>_xll.acq_options_bachelier_price($C$4,$C$5,$C$6,$C$8,L14,TRUE)</f>
        <v>7.2728699331208437</v>
      </c>
      <c r="N14">
        <f>_xll.acq_options_bachelier_price($C$4,$C$5,$C$6,$C$8,L14,FALSE)</f>
        <v>16.097838958966797</v>
      </c>
      <c r="O14">
        <f>_xll.acq_options_bachelier_vol($C$4,$C$5,$C$6,$C$8,M14,TRUE)</f>
        <v>19.999999999999979</v>
      </c>
      <c r="P14">
        <f>_xll.acq_options_bachelier_vol($C$4,$C$5,$C$6,$C$8,N14,FALSE)</f>
        <v>19.999999999999972</v>
      </c>
      <c r="R14" s="13">
        <v>110</v>
      </c>
      <c r="S14">
        <f>_xll.acq_options_bachelier_greeks(S$3,$R14,$C$5,$C$6,$C$8,$C$7,TRUE)</f>
        <v>22.113553006114746</v>
      </c>
      <c r="T14">
        <f>_xll.acq_options_bachelier_greeks(T$3,$R14,$C$5,$C$6,$C$8,$C$7,TRUE)</f>
        <v>0.64991958429986862</v>
      </c>
      <c r="U14">
        <f>_xll.acq_options_bachelier_greeks(U$3,$R14,$C$5,$C$6,$C$8,$C$7,TRUE)</f>
        <v>9.1151613201173702E-3</v>
      </c>
      <c r="V14">
        <f>_xll.acq_options_bachelier_greeks(V$3,$R14,$C$5,$C$6,$C$8,$C$7,TRUE)</f>
        <v>0.45575806600586855</v>
      </c>
      <c r="W14">
        <f>_xll.acq_options_bachelier_greeks(W$3,$R14,$C$5,$C$6,$C$8,$C$7,TRUE)</f>
        <v>9.1151613201173702E-3</v>
      </c>
      <c r="X14">
        <f>_xll.acq_options_bachelier_greeks(X$3,$R14,$C$5,$C$6,$C$8,$C$7,TRUE)</f>
        <v>-9.1151613201173702E-3</v>
      </c>
      <c r="Y14">
        <f>_xll.acq_options_bachelier_greeks(Y$3,$R14,$C$5,$C$6,$C$8,$C$7,TRUE)</f>
        <v>-55.283882515286862</v>
      </c>
      <c r="Z14">
        <f>_xll.acq_options_bachelier_greeks(Z$3,$R14,$C$5,$C$6,$C$8,$C$7,TRUE)</f>
        <v>-0.71735461371773668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_xll.acq_options_bachelier_price($C$4,F15,$C$6,$C$8,$C$7,TRUE)</f>
        <v>1.3683276832891289</v>
      </c>
      <c r="H15">
        <f>_xll.acq_options_bachelier_price($C$4,F15,$C$6,$C$8,$C$7,FALSE)</f>
        <v>36.668203786672954</v>
      </c>
      <c r="I15">
        <f t="shared" si="0"/>
        <v>0</v>
      </c>
      <c r="L15" s="12">
        <v>22</v>
      </c>
      <c r="M15">
        <f>_xll.acq_options_bachelier_price($C$4,$C$5,$C$6,$C$8,L15,TRUE)</f>
        <v>8.3367286508944236</v>
      </c>
      <c r="N15">
        <f>_xll.acq_options_bachelier_price($C$4,$C$5,$C$6,$C$8,L15,FALSE)</f>
        <v>17.161697676740378</v>
      </c>
      <c r="O15">
        <f>_xll.acq_options_bachelier_vol($C$4,$C$5,$C$6,$C$8,M15,TRUE)</f>
        <v>22</v>
      </c>
      <c r="P15">
        <f>_xll.acq_options_bachelier_vol($C$4,$C$5,$C$6,$C$8,N15,FALSE)</f>
        <v>21.999999999999996</v>
      </c>
    </row>
    <row r="16" spans="1:43" x14ac:dyDescent="0.25">
      <c r="F16">
        <v>130</v>
      </c>
      <c r="G16">
        <f>_xll.acq_options_bachelier_price($C$4,F16,$C$6,$C$8,$C$7,TRUE)</f>
        <v>0.67801390110697701</v>
      </c>
      <c r="H16">
        <f>_xll.acq_options_bachelier_price($C$4,F16,$C$6,$C$8,$C$7,FALSE)</f>
        <v>44.802859030336755</v>
      </c>
      <c r="I16">
        <f t="shared" si="0"/>
        <v>0</v>
      </c>
      <c r="L16" s="12">
        <v>24</v>
      </c>
      <c r="M16">
        <f>_xll.acq_options_bachelier_price($C$4,$C$5,$C$6,$C$8,L16,TRUE)</f>
        <v>9.4086760966105665</v>
      </c>
      <c r="N16">
        <f>_xll.acq_options_bachelier_price($C$4,$C$5,$C$6,$C$8,L16,FALSE)</f>
        <v>18.233645122456522</v>
      </c>
      <c r="O16">
        <f>_xll.acq_options_bachelier_vol($C$4,$C$5,$C$6,$C$8,M16,TRUE)</f>
        <v>23.999999999503142</v>
      </c>
      <c r="P16">
        <f>_xll.acq_options_bachelier_vol($C$4,$C$5,$C$6,$C$8,N16,FALSE)</f>
        <v>23.999999999503146</v>
      </c>
      <c r="AB16" s="15">
        <f>AB17-AC20</f>
        <v>19.9999</v>
      </c>
      <c r="AC16">
        <f>_xll.acq_options_bachelier_greeks(AC$14,$C$4,$C$5,$C$6,$C$8,$AB16,$C$9)</f>
        <v>7.2728169816013324</v>
      </c>
      <c r="AD16">
        <f>_xll.acq_options_bachelier_greeks(AD$14,$C$4,$C$5,$C$6,$C$8,$AB16,$C$9)</f>
        <v>0.52951506272565185</v>
      </c>
      <c r="AE16">
        <f>_xll.acq_options_bachelier_greeks(AE$14,$C$4,$C$5,$C$6,$C$8,$AB16,$C$9)</f>
        <v>2.6476150276551033E-3</v>
      </c>
      <c r="AF16" s="11"/>
    </row>
    <row r="17" spans="6:43" ht="15.75" thickBot="1" x14ac:dyDescent="0.3">
      <c r="F17">
        <v>140</v>
      </c>
      <c r="G17">
        <f>_xll.acq_options_bachelier_price($C$4,F17,$C$6,$C$8,$C$7,TRUE)</f>
        <v>0.31061055501403678</v>
      </c>
      <c r="H17">
        <f>_xll.acq_options_bachelier_price($C$4,F17,$C$6,$C$8,$C$7,FALSE)</f>
        <v>53.260424710089758</v>
      </c>
      <c r="I17">
        <f t="shared" si="0"/>
        <v>0</v>
      </c>
      <c r="L17" s="12">
        <v>26</v>
      </c>
      <c r="M17">
        <f>_xll.acq_options_bachelier_price($C$4,$C$5,$C$6,$C$8,L17,TRUE)</f>
        <v>10.486887789415132</v>
      </c>
      <c r="N17">
        <f>_xll.acq_options_bachelier_price($C$4,$C$5,$C$6,$C$8,L17,FALSE)</f>
        <v>19.311856815261084</v>
      </c>
      <c r="O17">
        <f>_xll.acq_options_bachelier_vol($C$4,$C$5,$C$6,$C$8,M17,TRUE)</f>
        <v>25.999999999962558</v>
      </c>
      <c r="P17">
        <f>_xll.acq_options_bachelier_vol($C$4,$C$5,$C$6,$C$8,N17,FALSE)</f>
        <v>25.999999999962554</v>
      </c>
      <c r="S17" s="45" t="s">
        <v>108</v>
      </c>
      <c r="T17" s="45"/>
      <c r="U17" s="45"/>
      <c r="V17" s="45"/>
      <c r="W17" s="45"/>
      <c r="X17" s="45"/>
      <c r="Y17" s="45"/>
      <c r="Z17" s="45"/>
      <c r="AB17" s="16">
        <f>C7</f>
        <v>20</v>
      </c>
      <c r="AC17">
        <f>_xll.acq_options_bachelier_greeks(AC$14,$C$4,$C$5,$C$6,$C$8,$AB17,$C$9)</f>
        <v>7.2728699331208437</v>
      </c>
      <c r="AD17">
        <f>_xll.acq_options_bachelier_greeks(AD$14,$C$4,$C$5,$C$6,$C$8,$AB17,$C$9)</f>
        <v>0.52951532748523511</v>
      </c>
      <c r="AE17">
        <f>_xll.acq_options_bachelier_greeks(AE$14,$C$4,$C$5,$C$6,$C$8,$AB17,$C$9)</f>
        <v>2.6475766374261748E-3</v>
      </c>
      <c r="AF17" s="11"/>
    </row>
    <row r="18" spans="6:43" x14ac:dyDescent="0.25">
      <c r="F18">
        <v>150</v>
      </c>
      <c r="G18">
        <f>_xll.acq_options_bachelier_price($C$4,F18,$C$6,$C$8,$C$7,TRUE)</f>
        <v>0.13119766392999382</v>
      </c>
      <c r="H18">
        <f>_xll.acq_options_bachelier_price($C$4,F18,$C$6,$C$8,$C$7,FALSE)</f>
        <v>61.905980844851676</v>
      </c>
      <c r="I18">
        <f t="shared" si="0"/>
        <v>0</v>
      </c>
      <c r="L18" s="12">
        <v>28</v>
      </c>
      <c r="M18">
        <f>_xll.acq_options_bachelier_price($C$4,$C$5,$C$6,$C$8,L18,TRUE)</f>
        <v>11.570047228425405</v>
      </c>
      <c r="N18">
        <f>_xll.acq_options_bachelier_price($C$4,$C$5,$C$6,$C$8,L18,FALSE)</f>
        <v>20.395016254271361</v>
      </c>
      <c r="O18">
        <f>_xll.acq_options_bachelier_vol($C$4,$C$5,$C$6,$C$8,M18,TRUE)</f>
        <v>27.999999999998519</v>
      </c>
      <c r="P18">
        <f>_xll.acq_options_bachelier_vol($C$4,$C$5,$C$6,$C$8,N18,FALSE)</f>
        <v>27.999999999998515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20.0001</v>
      </c>
      <c r="AC18">
        <f>_xll.acq_options_bachelier_greeks(AC$14,$C$4,$C$5,$C$6,$C$8,$AB18,$C$9)</f>
        <v>7.272922884666829</v>
      </c>
      <c r="AD18">
        <f>_xll.acq_options_bachelier_greeks(AD$14,$C$4,$C$5,$C$6,$C$8,$AB18,$C$9)</f>
        <v>0.52951559224097933</v>
      </c>
      <c r="AE18">
        <f>_xll.acq_options_bachelier_greeks(AE$14,$C$4,$C$5,$C$6,$C$8,$AB18,$C$9)</f>
        <v>2.647538247932612E-3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_xll.acq_options_bachelier_price($C$4,F19,$C$6,$C$8,$C$7,TRUE)</f>
        <v>5.0973689315626326E-2</v>
      </c>
      <c r="H19">
        <f>_xll.acq_options_bachelier_price($C$4,F19,$C$6,$C$8,$C$7,FALSE)</f>
        <v>70.650725896083259</v>
      </c>
      <c r="I19">
        <f t="shared" si="0"/>
        <v>0</v>
      </c>
      <c r="L19" s="12">
        <v>30</v>
      </c>
      <c r="M19">
        <f>_xll.acq_options_bachelier_price($C$4,$C$5,$C$6,$C$8,L19,TRUE)</f>
        <v>12.657181297760285</v>
      </c>
      <c r="N19">
        <f>_xll.acq_options_bachelier_price($C$4,$C$5,$C$6,$C$8,L19,FALSE)</f>
        <v>21.482150323606241</v>
      </c>
      <c r="O19">
        <f>_xll.acq_options_bachelier_vol($C$4,$C$5,$C$6,$C$8,M19,TRUE)</f>
        <v>29.999999999999986</v>
      </c>
      <c r="P19">
        <f>_xll.acq_options_bachelier_vol($C$4,$C$5,$C$6,$C$8,N19,FALSE)</f>
        <v>29.999999999999989</v>
      </c>
      <c r="R19" s="13">
        <v>10</v>
      </c>
      <c r="S19">
        <f>_xll.acq_options_bachelier_greeks(S$3,$R19,$C$5,$C$6,$C$8,$C$7,FALSE)</f>
        <v>70.650725896083259</v>
      </c>
      <c r="T19">
        <f>_xll.acq_options_bachelier_greeks(T$3,$R19,$C$5,$C$6,$C$8,$C$7,FALSE)</f>
        <v>-0.8774613592031808</v>
      </c>
      <c r="U19">
        <f>_xll.acq_options_bachelier_greeks(U$3,$R19,$C$5,$C$6,$C$8,$C$7,FALSE)</f>
        <v>4.5381715982879286E-4</v>
      </c>
      <c r="V19">
        <f>_xll.acq_options_bachelier_greeks(V$3,$R19,$C$5,$C$6,$C$8,$C$7,FALSE)</f>
        <v>2.2690857991439647E-2</v>
      </c>
      <c r="W19">
        <f>_xll.acq_options_bachelier_greeks(W$3,$R19,$C$5,$C$6,$C$8,$C$7,FALSE)</f>
        <v>7.261074557260684E-3</v>
      </c>
      <c r="X19">
        <f>_xll.acq_options_bachelier_greeks(X$3,$R19,$C$5,$C$6,$C$8,$C$7,FALSE)</f>
        <v>1.8152686393151714E-3</v>
      </c>
      <c r="Y19">
        <f>_xll.acq_options_bachelier_greeks(Y$3,$R19,$C$5,$C$6,$C$8,$C$7,FALSE)</f>
        <v>-176.62681474020815</v>
      </c>
      <c r="Z19">
        <f>_xll.acq_options_bachelier_greeks(Z$3,$R19,$C$5,$C$6,$C$8,$C$7,FALSE)</f>
        <v>3.4417728628384046</v>
      </c>
      <c r="AD19" s="11"/>
      <c r="AE19" s="11"/>
    </row>
    <row r="20" spans="6:43" x14ac:dyDescent="0.25">
      <c r="F20">
        <v>170</v>
      </c>
      <c r="G20">
        <f>_xll.acq_options_bachelier_price($C$4,F20,$C$6,$C$8,$C$7,TRUE)</f>
        <v>1.8180439338268729E-2</v>
      </c>
      <c r="H20">
        <f>_xll.acq_options_bachelier_price($C$4,F20,$C$6,$C$8,$C$7,FALSE)</f>
        <v>79.442901671951859</v>
      </c>
      <c r="I20">
        <f t="shared" si="0"/>
        <v>0</v>
      </c>
      <c r="L20" s="12">
        <v>32</v>
      </c>
      <c r="M20">
        <f>_xll.acq_options_bachelier_price($C$4,$C$5,$C$6,$C$8,L20,TRUE)</f>
        <v>13.747555542774755</v>
      </c>
      <c r="N20">
        <f>_xll.acq_options_bachelier_price($C$4,$C$5,$C$6,$C$8,L20,FALSE)</f>
        <v>22.572524568620711</v>
      </c>
      <c r="O20">
        <f>_xll.acq_options_bachelier_vol($C$4,$C$5,$C$6,$C$8,M20,TRUE)</f>
        <v>32</v>
      </c>
      <c r="P20">
        <f>_xll.acq_options_bachelier_vol($C$4,$C$5,$C$6,$C$8,N20,FALSE)</f>
        <v>32</v>
      </c>
      <c r="R20" s="13">
        <v>20</v>
      </c>
      <c r="S20">
        <f>_xll.acq_options_bachelier_greeks(S$3,$R20,$C$5,$C$6,$C$8,$C$7,FALSE)</f>
        <v>61.905980844851676</v>
      </c>
      <c r="T20">
        <f>_xll.acq_options_bachelier_greeks(T$3,$R20,$C$5,$C$6,$C$8,$C$7,FALSE)</f>
        <v>-0.87064642728507147</v>
      </c>
      <c r="U20">
        <f>_xll.acq_options_bachelier_greeks(U$3,$R20,$C$5,$C$6,$C$8,$C$7,FALSE)</f>
        <v>9.6073093489667009E-4</v>
      </c>
      <c r="V20">
        <f>_xll.acq_options_bachelier_greeks(V$3,$R20,$C$5,$C$6,$C$8,$C$7,FALSE)</f>
        <v>4.8036546744833514E-2</v>
      </c>
      <c r="W20">
        <f>_xll.acq_options_bachelier_greeks(W$3,$R20,$C$5,$C$6,$C$8,$C$7,FALSE)</f>
        <v>1.1768953952484212E-2</v>
      </c>
      <c r="X20">
        <f>_xll.acq_options_bachelier_greeks(X$3,$R20,$C$5,$C$6,$C$8,$C$7,FALSE)</f>
        <v>3.3625582721383456E-3</v>
      </c>
      <c r="Y20">
        <f>_xll.acq_options_bachelier_greeks(Y$3,$R20,$C$5,$C$6,$C$8,$C$7,FALSE)</f>
        <v>-154.76495211212918</v>
      </c>
      <c r="Z20">
        <f>_xll.acq_options_bachelier_greeks(Z$3,$R20,$C$5,$C$6,$C$8,$C$7,FALSE)</f>
        <v>2.90315285526325</v>
      </c>
      <c r="AB20" t="s">
        <v>113</v>
      </c>
      <c r="AC20" s="14">
        <v>1E-4</v>
      </c>
      <c r="AD20" s="17">
        <f>_xll.acq_diff1_c3pt(AB16:AB18,AC16:AC18)</f>
        <v>0.52951532748436625</v>
      </c>
      <c r="AE20" s="17">
        <f>_xll.acq_diff2_c3pt(AB16:AB18,AC16:AC18)</f>
        <v>2.6473934156063333E-3</v>
      </c>
      <c r="AF20" s="17">
        <f>_xll.acq_diff1_c3pt(AB16:AB18,AD16:AD18)</f>
        <v>2.6475766373774221E-3</v>
      </c>
    </row>
    <row r="21" spans="6:43" x14ac:dyDescent="0.25">
      <c r="L21" s="12">
        <v>34</v>
      </c>
      <c r="M21">
        <f>_xll.acq_options_bachelier_price($C$4,$C$5,$C$6,$C$8,L21,TRUE)</f>
        <v>14.84060544833453</v>
      </c>
      <c r="N21">
        <f>_xll.acq_options_bachelier_price($C$4,$C$5,$C$6,$C$8,L21,FALSE)</f>
        <v>23.665574474180485</v>
      </c>
      <c r="O21">
        <f>_xll.acq_options_bachelier_vol($C$4,$C$5,$C$6,$C$8,M21,TRUE)</f>
        <v>34.000000000000007</v>
      </c>
      <c r="P21">
        <f>_xll.acq_options_bachelier_vol($C$4,$C$5,$C$6,$C$8,N21,FALSE)</f>
        <v>34.000000000000007</v>
      </c>
      <c r="R21" s="13">
        <v>30</v>
      </c>
      <c r="S21">
        <f>_xll.acq_options_bachelier_greeks(S$3,$R21,$C$5,$C$6,$C$8,$C$7,FALSE)</f>
        <v>53.260424710089758</v>
      </c>
      <c r="T21">
        <f>_xll.acq_options_bachelier_greeks(T$3,$R21,$C$5,$C$6,$C$8,$C$7,FALSE)</f>
        <v>-0.85700175630997499</v>
      </c>
      <c r="U21">
        <f>_xll.acq_options_bachelier_greeks(U$3,$R21,$C$5,$C$6,$C$8,$C$7,FALSE)</f>
        <v>1.8403193314912635E-3</v>
      </c>
      <c r="V21">
        <f>_xll.acq_options_bachelier_greeks(V$3,$R21,$C$5,$C$6,$C$8,$C$7,FALSE)</f>
        <v>9.2015966574563179E-2</v>
      </c>
      <c r="W21">
        <f>_xll.acq_options_bachelier_greeks(W$3,$R21,$C$5,$C$6,$C$8,$C$7,FALSE)</f>
        <v>1.6562873983421374E-2</v>
      </c>
      <c r="X21">
        <f>_xll.acq_options_bachelier_greeks(X$3,$R21,$C$5,$C$6,$C$8,$C$7,FALSE)</f>
        <v>5.5209579944737906E-3</v>
      </c>
      <c r="Y21">
        <f>_xll.acq_options_bachelier_greeks(Y$3,$R21,$C$5,$C$6,$C$8,$C$7,FALSE)</f>
        <v>-133.15106177522441</v>
      </c>
      <c r="Z21">
        <f>_xll.acq_options_bachelier_greeks(Z$3,$R21,$C$5,$C$6,$C$8,$C$7,FALSE)</f>
        <v>2.2949573692062355</v>
      </c>
      <c r="AB21" t="s">
        <v>111</v>
      </c>
      <c r="AD21" s="36">
        <f>AD17-AD20</f>
        <v>8.6886053907164751E-13</v>
      </c>
      <c r="AE21" s="36">
        <f>AE17-AE20</f>
        <v>1.8322181984152877E-7</v>
      </c>
      <c r="AF21" s="36">
        <f>AE17-AF20</f>
        <v>4.8752668568852187E-14</v>
      </c>
    </row>
    <row r="22" spans="6:43" x14ac:dyDescent="0.25">
      <c r="L22" s="12">
        <v>36</v>
      </c>
      <c r="M22">
        <f>_xll.acq_options_bachelier_price($C$4,$C$5,$C$6,$C$8,L22,TRUE)</f>
        <v>15.935890104474446</v>
      </c>
      <c r="N22">
        <f>_xll.acq_options_bachelier_price($C$4,$C$5,$C$6,$C$8,L22,FALSE)</f>
        <v>24.760859130320402</v>
      </c>
      <c r="O22">
        <f>_xll.acq_options_bachelier_vol($C$4,$C$5,$C$6,$C$8,M22,TRUE)</f>
        <v>35.999999999783128</v>
      </c>
      <c r="P22">
        <f>_xll.acq_options_bachelier_vol($C$4,$C$5,$C$6,$C$8,N22,FALSE)</f>
        <v>35.999999999783135</v>
      </c>
      <c r="R22" s="13">
        <v>40</v>
      </c>
      <c r="S22">
        <f>_xll.acq_options_bachelier_greeks(S$3,$R22,$C$5,$C$6,$C$8,$C$7,FALSE)</f>
        <v>44.802859030336755</v>
      </c>
      <c r="T22">
        <f>_xll.acq_options_bachelier_greeks(T$3,$R22,$C$5,$C$6,$C$8,$C$7,FALSE)</f>
        <v>-0.83226239990379614</v>
      </c>
      <c r="U22">
        <f>_xll.acq_options_bachelier_greeks(U$3,$R22,$C$5,$C$6,$C$8,$C$7,FALSE)</f>
        <v>3.1897390351469396E-3</v>
      </c>
      <c r="V22">
        <f>_xll.acq_options_bachelier_greeks(V$3,$R22,$C$5,$C$6,$C$8,$C$7,FALSE)</f>
        <v>0.15948695175734701</v>
      </c>
      <c r="W22">
        <f>_xll.acq_options_bachelier_greeks(W$3,$R22,$C$5,$C$6,$C$8,$C$7,FALSE)</f>
        <v>1.9935868969668372E-2</v>
      </c>
      <c r="X22">
        <f>_xll.acq_options_bachelier_greeks(X$3,$R22,$C$5,$C$6,$C$8,$C$7,FALSE)</f>
        <v>7.97434758786735E-3</v>
      </c>
      <c r="Y22">
        <f>_xll.acq_options_bachelier_greeks(Y$3,$R22,$C$5,$C$6,$C$8,$C$7,FALSE)</f>
        <v>-112.00714757584187</v>
      </c>
      <c r="Z22">
        <f>_xll.acq_options_bachelier_greeks(Z$3,$R22,$C$5,$C$6,$C$8,$C$7,FALSE)</f>
        <v>1.6021951444874498</v>
      </c>
    </row>
    <row r="23" spans="6:43" x14ac:dyDescent="0.25">
      <c r="L23" s="12">
        <v>38</v>
      </c>
      <c r="M23">
        <f>_xll.acq_options_bachelier_price($C$4,$C$5,$C$6,$C$8,L23,TRUE)</f>
        <v>17.033060210934188</v>
      </c>
      <c r="N23">
        <f>_xll.acq_options_bachelier_price($C$4,$C$5,$C$6,$C$8,L23,FALSE)</f>
        <v>25.858029236780144</v>
      </c>
      <c r="O23">
        <f>_xll.acq_options_bachelier_vol($C$4,$C$5,$C$6,$C$8,M23,TRUE)</f>
        <v>37.999999999921087</v>
      </c>
      <c r="P23">
        <f>_xll.acq_options_bachelier_vol($C$4,$C$5,$C$6,$C$8,N23,FALSE)</f>
        <v>37.999999999921094</v>
      </c>
      <c r="R23" s="13">
        <v>50</v>
      </c>
      <c r="S23">
        <f>_xll.acq_options_bachelier_greeks(S$3,$R23,$C$5,$C$6,$C$8,$C$7,FALSE)</f>
        <v>36.668203786672954</v>
      </c>
      <c r="T23">
        <f>_xll.acq_options_bachelier_greeks(T$3,$R23,$C$5,$C$6,$C$8,$C$7,FALSE)</f>
        <v>-0.79164242973295862</v>
      </c>
      <c r="U23">
        <f>_xll.acq_options_bachelier_greeks(U$3,$R23,$C$5,$C$6,$C$8,$C$7,FALSE)</f>
        <v>5.002506597354601E-3</v>
      </c>
      <c r="V23">
        <f>_xll.acq_options_bachelier_greeks(V$3,$R23,$C$5,$C$6,$C$8,$C$7,FALSE)</f>
        <v>0.25012532986773006</v>
      </c>
      <c r="W23">
        <f>_xll.acq_options_bachelier_greeks(W$3,$R23,$C$5,$C$6,$C$8,$C$7,FALSE)</f>
        <v>2.0010026389418397E-2</v>
      </c>
      <c r="X23">
        <f>_xll.acq_options_bachelier_greeks(X$3,$R23,$C$5,$C$6,$C$8,$C$7,FALSE)</f>
        <v>1.0005013194709202E-2</v>
      </c>
      <c r="Y23">
        <f>_xll.acq_options_bachelier_greeks(Y$3,$R23,$C$5,$C$6,$C$8,$C$7,FALSE)</f>
        <v>-91.670509466682375</v>
      </c>
      <c r="Z23">
        <f>_xll.acq_options_bachelier_greeks(Z$3,$R23,$C$5,$C$6,$C$8,$C$7,FALSE)</f>
        <v>0.83290886986272761</v>
      </c>
    </row>
    <row r="24" spans="6:43" ht="15.75" thickBot="1" x14ac:dyDescent="0.3">
      <c r="L24" s="12">
        <v>40</v>
      </c>
      <c r="M24">
        <f>_xll.acq_options_bachelier_price($C$4,$C$5,$C$6,$C$8,L24,TRUE)</f>
        <v>18.131835509364066</v>
      </c>
      <c r="N24">
        <f>_xll.acq_options_bachelier_price($C$4,$C$5,$C$6,$C$8,L24,FALSE)</f>
        <v>26.956804535210019</v>
      </c>
      <c r="O24">
        <f>_xll.acq_options_bachelier_vol($C$4,$C$5,$C$6,$C$8,M24,TRUE)</f>
        <v>39.999999999971429</v>
      </c>
      <c r="P24">
        <f>_xll.acq_options_bachelier_vol($C$4,$C$5,$C$6,$C$8,N24,FALSE)</f>
        <v>39.999999999971422</v>
      </c>
      <c r="R24" s="13">
        <v>60</v>
      </c>
      <c r="S24">
        <f>_xll.acq_options_bachelier_greeks(S$3,$R24,$C$5,$C$6,$C$8,$C$7,FALSE)</f>
        <v>29.036244876207263</v>
      </c>
      <c r="T24">
        <f>_xll.acq_options_bachelier_greeks(T$3,$R24,$C$5,$C$6,$C$8,$C$7,FALSE)</f>
        <v>-0.7312450034092558</v>
      </c>
      <c r="U24">
        <f>_xll.acq_options_bachelier_greeks(U$3,$R24,$C$5,$C$6,$C$8,$C$7,FALSE)</f>
        <v>7.0988947739295885E-3</v>
      </c>
      <c r="V24">
        <f>_xll.acq_options_bachelier_greeks(V$3,$R24,$C$5,$C$6,$C$8,$C$7,FALSE)</f>
        <v>0.35494473869647947</v>
      </c>
      <c r="W24">
        <f>_xll.acq_options_bachelier_greeks(W$3,$R24,$C$5,$C$6,$C$8,$C$7,FALSE)</f>
        <v>1.5972513241341576E-2</v>
      </c>
      <c r="X24">
        <f>_xll.acq_options_bachelier_greeks(X$3,$R24,$C$5,$C$6,$C$8,$C$7,FALSE)</f>
        <v>1.0648342160894383E-2</v>
      </c>
      <c r="Y24">
        <f>_xll.acq_options_bachelier_greeks(Y$3,$R24,$C$5,$C$6,$C$8,$C$7,FALSE)</f>
        <v>-72.590612190518144</v>
      </c>
      <c r="Z24">
        <f>_xll.acq_options_bachelier_greeks(Z$3,$R24,$C$5,$C$6,$C$8,$C$7,FALSE)</f>
        <v>3.2033289024445466E-2</v>
      </c>
      <c r="AB24" s="3" t="s">
        <v>115</v>
      </c>
      <c r="AF24" s="3" t="s">
        <v>117</v>
      </c>
    </row>
    <row r="25" spans="6:43" x14ac:dyDescent="0.25">
      <c r="L25" s="12">
        <v>42</v>
      </c>
      <c r="M25">
        <f>_xll.acq_options_bachelier_price($C$4,$C$5,$C$6,$C$8,L25,TRUE)</f>
        <v>19.231988560615267</v>
      </c>
      <c r="N25">
        <f>_xll.acq_options_bachelier_price($C$4,$C$5,$C$6,$C$8,L25,FALSE)</f>
        <v>28.056957586461223</v>
      </c>
      <c r="O25">
        <f>_xll.acq_options_bachelier_vol($C$4,$C$5,$C$6,$C$8,M25,TRUE)</f>
        <v>41.999999999989804</v>
      </c>
      <c r="P25">
        <f>_xll.acq_options_bachelier_vol($C$4,$C$5,$C$6,$C$8,N25,FALSE)</f>
        <v>41.999999999989804</v>
      </c>
      <c r="R25" s="13">
        <v>70</v>
      </c>
      <c r="S25">
        <f>_xll.acq_options_bachelier_greeks(S$3,$R25,$C$5,$C$6,$C$8,$C$7,FALSE)</f>
        <v>22.113553006114746</v>
      </c>
      <c r="T25">
        <f>_xll.acq_options_bachelier_greeks(T$3,$R25,$C$5,$C$6,$C$8,$C$7,FALSE)</f>
        <v>-0.64991958429986862</v>
      </c>
      <c r="U25">
        <f>_xll.acq_options_bachelier_greeks(U$3,$R25,$C$5,$C$6,$C$8,$C$7,FALSE)</f>
        <v>9.1151613201173702E-3</v>
      </c>
      <c r="V25">
        <f>_xll.acq_options_bachelier_greeks(V$3,$R25,$C$5,$C$6,$C$8,$C$7,FALSE)</f>
        <v>0.45575806600586855</v>
      </c>
      <c r="W25">
        <f>_xll.acq_options_bachelier_greeks(W$3,$R25,$C$5,$C$6,$C$8,$C$7,FALSE)</f>
        <v>9.1151613201173702E-3</v>
      </c>
      <c r="X25">
        <f>_xll.acq_options_bachelier_greeks(X$3,$R25,$C$5,$C$6,$C$8,$C$7,FALSE)</f>
        <v>9.1151613201173702E-3</v>
      </c>
      <c r="Y25">
        <f>_xll.acq_options_bachelier_greeks(Y$3,$R25,$C$5,$C$6,$C$8,$C$7,FALSE)</f>
        <v>-55.283882515286862</v>
      </c>
      <c r="Z25">
        <f>_xll.acq_options_bachelier_greeks(Z$3,$R25,$C$5,$C$6,$C$8,$C$7,FALSE)</f>
        <v>-0.71735461371773668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44</v>
      </c>
      <c r="M26">
        <f>_xll.acq_options_bachelier_price($C$4,$C$5,$C$6,$C$8,L26,TRUE)</f>
        <v>20.333332882812851</v>
      </c>
      <c r="N26">
        <f>_xll.acq_options_bachelier_price($C$4,$C$5,$C$6,$C$8,L26,FALSE)</f>
        <v>29.158301908658807</v>
      </c>
      <c r="O26">
        <f>_xll.acq_options_bachelier_vol($C$4,$C$5,$C$6,$C$8,M26,TRUE)</f>
        <v>43.99999999999644</v>
      </c>
      <c r="P26">
        <f>_xll.acq_options_bachelier_vol($C$4,$C$5,$C$6,$C$8,N26,FALSE)</f>
        <v>43.999999999996454</v>
      </c>
      <c r="R26" s="13">
        <v>80</v>
      </c>
      <c r="S26">
        <f>_xll.acq_options_bachelier_greeks(S$3,$R26,$C$5,$C$6,$C$8,$C$7,FALSE)</f>
        <v>16.097838958966797</v>
      </c>
      <c r="T26">
        <f>_xll.acq_options_bachelier_greeks(T$3,$R26,$C$5,$C$6,$C$8,$C$7,FALSE)</f>
        <v>-0.55075324092620948</v>
      </c>
      <c r="U26">
        <f>_xll.acq_options_bachelier_greeks(U$3,$R26,$C$5,$C$6,$C$8,$C$7,FALSE)</f>
        <v>1.0590306549704701E-2</v>
      </c>
      <c r="V26">
        <f>_xll.acq_options_bachelier_greeks(V$3,$R26,$C$5,$C$6,$C$8,$C$7,FALSE)</f>
        <v>0.52951532748523511</v>
      </c>
      <c r="W26">
        <f>_xll.acq_options_bachelier_greeks(W$3,$R26,$C$5,$C$6,$C$8,$C$7,FALSE)</f>
        <v>2.6475766374261748E-3</v>
      </c>
      <c r="X26">
        <f>_xll.acq_options_bachelier_greeks(X$3,$R26,$C$5,$C$6,$C$8,$C$7,FALSE)</f>
        <v>5.2951532748523504E-3</v>
      </c>
      <c r="Y26">
        <f>_xll.acq_options_bachelier_greeks(Y$3,$R26,$C$5,$C$6,$C$8,$C$7,FALSE)</f>
        <v>-40.244597397416996</v>
      </c>
      <c r="Z26">
        <f>_xll.acq_options_bachelier_greeks(Z$3,$R26,$C$5,$C$6,$C$8,$C$7,FALSE)</f>
        <v>-1.3131693619926001</v>
      </c>
    </row>
    <row r="27" spans="6:43" x14ac:dyDescent="0.25">
      <c r="L27" s="12">
        <v>46</v>
      </c>
      <c r="M27">
        <f>_xll.acq_options_bachelier_price($C$4,$C$5,$C$6,$C$8,L27,TRUE)</f>
        <v>21.435714143551927</v>
      </c>
      <c r="N27">
        <f>_xll.acq_options_bachelier_price($C$4,$C$5,$C$6,$C$8,L27,FALSE)</f>
        <v>30.260683169397883</v>
      </c>
      <c r="O27">
        <f>_xll.acq_options_bachelier_vol($C$4,$C$5,$C$6,$C$8,M27,TRUE)</f>
        <v>45.999999999998806</v>
      </c>
      <c r="P27">
        <f>_xll.acq_options_bachelier_vol($C$4,$C$5,$C$6,$C$8,N27,FALSE)</f>
        <v>45.99999999999882</v>
      </c>
      <c r="R27" s="13">
        <v>90</v>
      </c>
      <c r="S27">
        <f>_xll.acq_options_bachelier_greeks(S$3,$R27,$C$5,$C$6,$C$8,$C$7,FALSE)</f>
        <v>11.13328317746625</v>
      </c>
      <c r="T27">
        <f>_xll.acq_options_bachelier_greeks(T$3,$R27,$C$5,$C$6,$C$8,$C$7,FALSE)</f>
        <v>-0.44124845129229773</v>
      </c>
      <c r="U27">
        <f>_xll.acq_options_bachelier_greeks(U$3,$R27,$C$5,$C$6,$C$8,$C$7,FALSE)</f>
        <v>1.1133283177466249E-2</v>
      </c>
      <c r="V27">
        <f>_xll.acq_options_bachelier_greeks(V$3,$R27,$C$5,$C$6,$C$8,$C$7,FALSE)</f>
        <v>0.55666415887331255</v>
      </c>
      <c r="W27">
        <f>_xll.acq_options_bachelier_greeks(W$3,$R27,$C$5,$C$6,$C$8,$C$7,FALSE)</f>
        <v>0</v>
      </c>
      <c r="X27">
        <f>_xll.acq_options_bachelier_greeks(X$3,$R27,$C$5,$C$6,$C$8,$C$7,FALSE)</f>
        <v>0</v>
      </c>
      <c r="Y27">
        <f>_xll.acq_options_bachelier_greeks(Y$3,$R27,$C$5,$C$6,$C$8,$C$7,FALSE)</f>
        <v>-27.833207943665627</v>
      </c>
      <c r="Z27">
        <f>_xll.acq_options_bachelier_greeks(Z$3,$R27,$C$5,$C$6,$C$8,$C$7,FALSE)</f>
        <v>-1.6699924766199372</v>
      </c>
      <c r="AB27" s="15">
        <f>AB28-AC31</f>
        <v>4.9999000000000002E-2</v>
      </c>
      <c r="AC27">
        <f>_xll.acq_options_bachelier_greeks(AC$25,$C$4,$C$5,$C$6,$AB27,$C$7,$C$9)</f>
        <v>7.2728881153184046</v>
      </c>
      <c r="AD27">
        <f>_xll.acq_options_bachelier_greeks(AD$25,$C$4,$C$5,$C$6,$AB27,$C$7,$C$9)</f>
        <v>-18.182220288296008</v>
      </c>
      <c r="AE27" s="13"/>
      <c r="AF27" s="15">
        <f>AF28-AG31</f>
        <v>2.4999899999999999</v>
      </c>
      <c r="AG27">
        <f>_xll.acq_options_bachelier_greeks(AG$25,$C$4,$C$5,$AF27,$C$8,$C$7,$C$9)</f>
        <v>7.2728523889139636</v>
      </c>
      <c r="AH27">
        <f>_xll.acq_options_bachelier_greeks(AH$25,$C$4,$C$5,$AF27,$C$8,$C$7,$C$9)</f>
        <v>-1.7544235620486348</v>
      </c>
    </row>
    <row r="28" spans="6:43" x14ac:dyDescent="0.25">
      <c r="R28" s="13">
        <v>100</v>
      </c>
      <c r="S28">
        <f>_xll.acq_options_bachelier_greeks(S$3,$R28,$C$5,$C$6,$C$8,$C$7,FALSE)</f>
        <v>7.2728699331208437</v>
      </c>
      <c r="T28">
        <f>_xll.acq_options_bachelier_greeks(T$3,$R28,$C$5,$C$6,$C$8,$C$7,FALSE)</f>
        <v>-0.33174366165838592</v>
      </c>
      <c r="U28">
        <f>_xll.acq_options_bachelier_greeks(U$3,$R28,$C$5,$C$6,$C$8,$C$7,FALSE)</f>
        <v>1.0590306549704701E-2</v>
      </c>
      <c r="V28">
        <f>_xll.acq_options_bachelier_greeks(V$3,$R28,$C$5,$C$6,$C$8,$C$7,FALSE)</f>
        <v>0.52951532748523511</v>
      </c>
      <c r="W28">
        <f>_xll.acq_options_bachelier_greeks(W$3,$R28,$C$5,$C$6,$C$8,$C$7,FALSE)</f>
        <v>2.6475766374261748E-3</v>
      </c>
      <c r="X28">
        <f>_xll.acq_options_bachelier_greeks(X$3,$R28,$C$5,$C$6,$C$8,$C$7,FALSE)</f>
        <v>-5.2951532748523504E-3</v>
      </c>
      <c r="Y28">
        <f>_xll.acq_options_bachelier_greeks(Y$3,$R28,$C$5,$C$6,$C$8,$C$7,FALSE)</f>
        <v>-18.182174832802108</v>
      </c>
      <c r="Z28">
        <f>_xll.acq_options_bachelier_greeks(Z$3,$R28,$C$5,$C$6,$C$8,$C$7,FALSE)</f>
        <v>-1.7544178132848978</v>
      </c>
      <c r="AB28" s="16">
        <f>C8</f>
        <v>0.05</v>
      </c>
      <c r="AC28">
        <f>_xll.acq_options_bachelier_greeks(AC$25,$C$4,$C$5,$C$6,$AB28,$C$7,$C$9)</f>
        <v>7.2728699331208437</v>
      </c>
      <c r="AD28">
        <f>_xll.acq_options_bachelier_greeks(AD$25,$C$4,$C$5,$C$6,$AB28,$C$7,$C$9)</f>
        <v>-18.182174832802108</v>
      </c>
      <c r="AE28" s="13"/>
      <c r="AF28" s="16">
        <f>C6</f>
        <v>2.5</v>
      </c>
      <c r="AG28">
        <f>_xll.acq_options_bachelier_greeks(AG$25,$C$4,$C$5,$AF28,$C$8,$C$7,$C$9)</f>
        <v>7.2728699331208437</v>
      </c>
      <c r="AH28">
        <f>_xll.acq_options_bachelier_greeks(AH$25,$C$4,$C$5,$AF28,$C$8,$C$7,$C$9)</f>
        <v>-1.7544178132848978</v>
      </c>
    </row>
    <row r="29" spans="6:43" x14ac:dyDescent="0.25">
      <c r="R29" s="13">
        <v>110</v>
      </c>
      <c r="S29">
        <f>_xll.acq_options_bachelier_greeks(S$3,$R29,$C$5,$C$6,$C$8,$C$7,FALSE)</f>
        <v>4.4636149544228356</v>
      </c>
      <c r="T29">
        <f>_xll.acq_options_bachelier_greeks(T$3,$R29,$C$5,$C$6,$C$8,$C$7,FALSE)</f>
        <v>-0.2325773182847268</v>
      </c>
      <c r="U29">
        <f>_xll.acq_options_bachelier_greeks(U$3,$R29,$C$5,$C$6,$C$8,$C$7,FALSE)</f>
        <v>9.1151613201173702E-3</v>
      </c>
      <c r="V29">
        <f>_xll.acq_options_bachelier_greeks(V$3,$R29,$C$5,$C$6,$C$8,$C$7,FALSE)</f>
        <v>0.45575806600586855</v>
      </c>
      <c r="W29">
        <f>_xll.acq_options_bachelier_greeks(W$3,$R29,$C$5,$C$6,$C$8,$C$7,FALSE)</f>
        <v>9.1151613201173702E-3</v>
      </c>
      <c r="X29">
        <f>_xll.acq_options_bachelier_greeks(X$3,$R29,$C$5,$C$6,$C$8,$C$7,FALSE)</f>
        <v>-9.1151613201173702E-3</v>
      </c>
      <c r="Y29">
        <f>_xll.acq_options_bachelier_greeks(Y$3,$R29,$C$5,$C$6,$C$8,$C$7,FALSE)</f>
        <v>-11.15903738605709</v>
      </c>
      <c r="Z29">
        <f>_xll.acq_options_bachelier_greeks(Z$3,$R29,$C$5,$C$6,$C$8,$C$7,FALSE)</f>
        <v>-1.5998515163023321</v>
      </c>
      <c r="AB29" s="15">
        <f>AB28+AC31</f>
        <v>5.0001000000000004E-2</v>
      </c>
      <c r="AC29">
        <f>_xll.acq_options_bachelier_greeks(AC$25,$C$4,$C$5,$C$6,$AB29,$C$7,$C$9)</f>
        <v>7.272851750968738</v>
      </c>
      <c r="AD29">
        <f>_xll.acq_options_bachelier_greeks(AD$25,$C$4,$C$5,$C$6,$AB29,$C$7,$C$9)</f>
        <v>-18.182129377421845</v>
      </c>
      <c r="AE29" s="13"/>
      <c r="AF29" s="15">
        <f>AF28+AG31</f>
        <v>2.5000100000000001</v>
      </c>
      <c r="AG29">
        <f>_xll.acq_options_bachelier_greeks(AG$25,$C$4,$C$5,$AF29,$C$8,$C$7,$C$9)</f>
        <v>7.2728874772702312</v>
      </c>
      <c r="AH29">
        <f>_xll.acq_options_bachelier_greeks(AH$25,$C$4,$C$5,$AF29,$C$8,$C$7,$C$9)</f>
        <v>-1.7544120645487959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9.9999999999999995E-7</v>
      </c>
      <c r="AD31" s="17">
        <f>_xll.acq_diff1_c3pt(AB27:AB29,AC27:AC29)</f>
        <v>-18.182174833274026</v>
      </c>
      <c r="AF31" t="s">
        <v>118</v>
      </c>
      <c r="AG31" s="14">
        <v>1.0000000000000001E-5</v>
      </c>
      <c r="AH31" s="17">
        <f>-_xll.acq_diff1_c3pt(AF27:AF29,AG27:AG29)</f>
        <v>-1.7544178133706541</v>
      </c>
    </row>
    <row r="32" spans="6:43" ht="15.75" thickBot="1" x14ac:dyDescent="0.3">
      <c r="L32" s="45" t="s">
        <v>131</v>
      </c>
      <c r="M32" s="45"/>
      <c r="N32" s="45"/>
      <c r="O32" s="45"/>
      <c r="P32" s="45"/>
      <c r="Q32" s="45"/>
      <c r="AB32" t="s">
        <v>111</v>
      </c>
      <c r="AD32" s="36">
        <f>AD28-AD31</f>
        <v>4.7191761609610694E-10</v>
      </c>
      <c r="AE32" s="11"/>
      <c r="AF32" t="s">
        <v>111</v>
      </c>
      <c r="AH32" s="36">
        <f>AH28-AH31</f>
        <v>8.5756290957306192E-11</v>
      </c>
    </row>
    <row r="33" spans="12:43" x14ac:dyDescent="0.25">
      <c r="L33" t="s">
        <v>96</v>
      </c>
      <c r="M33" t="s">
        <v>109</v>
      </c>
      <c r="N33" t="s">
        <v>99</v>
      </c>
      <c r="O33" t="s">
        <v>96</v>
      </c>
      <c r="P33" t="s">
        <v>132</v>
      </c>
      <c r="Q33" t="s">
        <v>133</v>
      </c>
      <c r="R33" s="11" t="s">
        <v>134</v>
      </c>
      <c r="S33" s="11" t="s">
        <v>111</v>
      </c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2:43" x14ac:dyDescent="0.25">
      <c r="L34" s="13">
        <v>15</v>
      </c>
      <c r="M34">
        <v>10</v>
      </c>
      <c r="N34">
        <f>_xll.acq_options_bachelier_price(M34,$C$5,$C$6,$C$8,L34,$C$9)</f>
        <v>2.0131592811431349E-3</v>
      </c>
      <c r="O34">
        <f>_xll.acq_options_bachelier_vol(M34,$C$5,$C$6,$C$8,N34,$C$9)</f>
        <v>14.999999999999959</v>
      </c>
      <c r="P34">
        <f>_xll.acq_options_black_vol(M34,$C$5,$C$6,$C$8,N34,$C$9)</f>
        <v>0.41925341293792379</v>
      </c>
      <c r="Q34">
        <f>P34*M34</f>
        <v>4.1925341293792382</v>
      </c>
      <c r="R34">
        <f>_xll.acq_options_black_price(M34,$C$5,$C$6,$C$8,P34,$C$9)</f>
        <v>2.0131592811394945E-3</v>
      </c>
      <c r="S34">
        <f>R34-N34</f>
        <v>-3.6403172143373297E-15</v>
      </c>
      <c r="T34" s="12"/>
    </row>
    <row r="35" spans="12:43" ht="15.75" thickBot="1" x14ac:dyDescent="0.3">
      <c r="L35" s="13">
        <v>15</v>
      </c>
      <c r="M35">
        <v>20</v>
      </c>
      <c r="N35">
        <f>_xll.acq_options_bachelier_price(M35,$C$5,$C$6,$C$8,L35,$C$9)</f>
        <v>9.4848058973276278E-3</v>
      </c>
      <c r="O35">
        <f>_xll.acq_options_bachelier_vol(M35,$C$5,$C$6,$C$8,N35,$C$9)</f>
        <v>14.999999999999984</v>
      </c>
      <c r="P35">
        <f>_xll.acq_options_black_vol(M35,$C$5,$C$6,$C$8,N35,$C$9)</f>
        <v>0.32580495500447754</v>
      </c>
      <c r="Q35">
        <f t="shared" ref="Q35:Q44" si="1">P35*M35</f>
        <v>6.5160991000895505</v>
      </c>
      <c r="R35">
        <f>_xll.acq_options_black_price(M35,$C$5,$C$6,$C$8,P35,$C$9)</f>
        <v>9.4848058971470205E-3</v>
      </c>
      <c r="S35">
        <f t="shared" ref="S35:S44" si="2">R35-N35</f>
        <v>-1.8060726525437332E-13</v>
      </c>
      <c r="T35" s="12"/>
      <c r="AB35" s="3" t="s">
        <v>119</v>
      </c>
    </row>
    <row r="36" spans="12:43" x14ac:dyDescent="0.25">
      <c r="L36" s="13">
        <v>15</v>
      </c>
      <c r="M36">
        <v>30</v>
      </c>
      <c r="N36">
        <f>_xll.acq_options_bachelier_price(M36,$C$5,$C$6,$C$8,L36,$C$9)</f>
        <v>3.8230266986719816E-2</v>
      </c>
      <c r="O36">
        <f>_xll.acq_options_bachelier_vol(M36,$C$5,$C$6,$C$8,N36,$C$9)</f>
        <v>14.999999999999885</v>
      </c>
      <c r="P36">
        <f>_xll.acq_options_black_vol(M36,$C$5,$C$6,$C$8,N36,$C$9)</f>
        <v>0.27682556757325288</v>
      </c>
      <c r="Q36">
        <f t="shared" si="1"/>
        <v>8.3047670271975864</v>
      </c>
      <c r="R36">
        <f>_xll.acq_options_black_price(M36,$C$5,$C$6,$C$8,P36,$C$9)</f>
        <v>3.8230266986681312E-2</v>
      </c>
      <c r="S36">
        <f t="shared" si="2"/>
        <v>-3.850392227278121E-14</v>
      </c>
      <c r="T36" s="12"/>
      <c r="AG36" t="s">
        <v>100</v>
      </c>
      <c r="AK36" t="s">
        <v>102</v>
      </c>
      <c r="AO36" t="s">
        <v>104</v>
      </c>
    </row>
    <row r="37" spans="12:43" x14ac:dyDescent="0.25">
      <c r="L37" s="13">
        <v>15</v>
      </c>
      <c r="M37">
        <v>40</v>
      </c>
      <c r="N37">
        <f>_xll.acq_options_bachelier_price(M37,$C$5,$C$6,$C$8,L37,$C$9)</f>
        <v>0.13235361008593996</v>
      </c>
      <c r="O37">
        <f>_xll.acq_options_bachelier_vol(M37,$C$5,$C$6,$C$8,N37,$C$9)</f>
        <v>14.999999999999996</v>
      </c>
      <c r="P37">
        <f>_xll.acq_options_black_vol(M37,$C$5,$C$6,$C$8,N37,$C$9)</f>
        <v>0.2447902851221436</v>
      </c>
      <c r="Q37">
        <f t="shared" si="1"/>
        <v>9.7916114048857441</v>
      </c>
      <c r="R37">
        <f>_xll.acq_options_black_price(M37,$C$5,$C$6,$C$8,P37,$C$9)</f>
        <v>0.13235361008600149</v>
      </c>
      <c r="S37">
        <f t="shared" si="2"/>
        <v>6.1534111139849301E-14</v>
      </c>
      <c r="T37" s="12"/>
      <c r="AB37" s="29" t="s">
        <v>120</v>
      </c>
      <c r="AC37" s="30">
        <f>AD37-AC42</f>
        <v>19.9999</v>
      </c>
      <c r="AD37" s="31">
        <f>C7</f>
        <v>20</v>
      </c>
      <c r="AE37" s="32">
        <f>AD37+AC42</f>
        <v>20.0001</v>
      </c>
    </row>
    <row r="38" spans="12:43" x14ac:dyDescent="0.25">
      <c r="L38" s="13">
        <v>15</v>
      </c>
      <c r="M38">
        <v>50</v>
      </c>
      <c r="N38">
        <f>_xll.acq_options_bachelier_price(M38,$C$5,$C$6,$C$8,L38,$C$9)</f>
        <v>0.39549502137976517</v>
      </c>
      <c r="O38">
        <f>_xll.acq_options_bachelier_vol(M38,$C$5,$C$6,$C$8,N38,$C$9)</f>
        <v>14.999999999981359</v>
      </c>
      <c r="P38">
        <f>_xll.acq_options_black_vol(M38,$C$5,$C$6,$C$8,N38,$C$9)</f>
        <v>0.22154428179353367</v>
      </c>
      <c r="Q38">
        <f t="shared" si="1"/>
        <v>11.077214089676684</v>
      </c>
      <c r="R38">
        <f>_xll.acq_options_black_price(M38,$C$5,$C$6,$C$8,P38,$C$9)</f>
        <v>0.39549502116753965</v>
      </c>
      <c r="S38">
        <f t="shared" si="2"/>
        <v>-2.1222551493949027E-10</v>
      </c>
      <c r="T38" s="12"/>
      <c r="AB38" s="26">
        <f>AB39-AC42</f>
        <v>79.999899999999997</v>
      </c>
      <c r="AC38" s="20">
        <f>_xll.acq_options_bachelier_price($AB38,$C$5,$C$6,$C$8,AC$37,$C$9)</f>
        <v>7.2727838073410682</v>
      </c>
      <c r="AD38" s="21">
        <f>_xll.acq_options_bachelier_price($AB38,$C$5,$C$6,$C$8,AD$37,$C$9)</f>
        <v>7.2728367588076281</v>
      </c>
      <c r="AE38" s="33">
        <f>_xll.acq_options_bachelier_price($AB38,$C$5,$C$6,$C$8,AE$37,$C$9)</f>
        <v>7.272889710300662</v>
      </c>
      <c r="AG38">
        <f>_xll.acq_options_bachelier_greeks($AG$36,$AB38,$C$5,$C$6,$C$8,AC$37,$C$9)</f>
        <v>0.33174207310565207</v>
      </c>
      <c r="AH38">
        <f>_xll.acq_options_bachelier_greeks($AG$36,$AB38,$C$5,$C$6,$C$8,AD$37,$C$9)</f>
        <v>0.3317426026282605</v>
      </c>
      <c r="AI38">
        <f>_xll.acq_options_bachelier_greeks($AG$36,$AB38,$C$5,$C$6,$C$8,AE$37,$C$9)</f>
        <v>0.33174313214583839</v>
      </c>
      <c r="AK38">
        <f>_xll.acq_options_bachelier_greeks($AK$36,$AB38,$C$5,$C$6,$C$8,AC$37,$C$9)</f>
        <v>0.52951453320291109</v>
      </c>
      <c r="AL38" s="19">
        <f>_xll.acq_options_bachelier_greeks($AK$36,$AB38,$C$5,$C$6,$C$8,AD$37,$C$9)</f>
        <v>0.52951479796752488</v>
      </c>
      <c r="AM38">
        <f>_xll.acq_options_bachelier_greeks($AK$36,$AB38,$C$5,$C$6,$C$8,AE$37,$C$9)</f>
        <v>0.5295150627282994</v>
      </c>
      <c r="AO38">
        <f>_xll.acq_options_bachelier_greeks($AO$36,$AB38,$C$5,$C$6,$C$8,AC$37,$C$9)</f>
        <v>5.2952512358624103E-3</v>
      </c>
      <c r="AP38">
        <f>_xll.acq_options_bachelier_greeks($AO$36,$AB38,$C$5,$C$6,$C$8,AD$37,$C$9)</f>
        <v>5.2952009311550462E-3</v>
      </c>
      <c r="AQ38">
        <f>_xll.acq_options_bachelier_greeks($AO$36,$AB38,$C$5,$C$6,$C$8,AE$37,$C$9)</f>
        <v>5.295150627150619E-3</v>
      </c>
    </row>
    <row r="39" spans="12:43" x14ac:dyDescent="0.25">
      <c r="L39" s="13">
        <v>15</v>
      </c>
      <c r="M39">
        <v>60</v>
      </c>
      <c r="N39">
        <f>_xll.acq_options_bachelier_price(M39,$C$5,$C$6,$C$8,L39,$C$9)</f>
        <v>1.0262457624668468</v>
      </c>
      <c r="O39">
        <f>_xll.acq_options_bachelier_vol(M39,$C$5,$C$6,$C$8,N39,$C$9)</f>
        <v>14.99999999780432</v>
      </c>
      <c r="P39">
        <f>_xll.acq_options_black_vol(M39,$C$5,$C$6,$C$8,N39,$C$9)</f>
        <v>0.20360719697408136</v>
      </c>
      <c r="Q39">
        <f t="shared" si="1"/>
        <v>12.216431818444882</v>
      </c>
      <c r="R39">
        <f>_xll.acq_options_black_price(M39,$C$5,$C$6,$C$8,P39,$C$9)</f>
        <v>1.0262457624660521</v>
      </c>
      <c r="S39">
        <f t="shared" si="2"/>
        <v>-7.9469764102668705E-13</v>
      </c>
      <c r="T39" s="12"/>
      <c r="AB39" s="27">
        <f>C4</f>
        <v>80</v>
      </c>
      <c r="AC39" s="34">
        <f>_xll.acq_options_bachelier_price($AB39,$C$5,$C$6,$C$8,AC$37,$C$9)</f>
        <v>7.2728169816013324</v>
      </c>
      <c r="AD39" s="22">
        <f>_xll.acq_options_bachelier_price($AB39,$C$5,$C$6,$C$8,AD$37,$C$9)</f>
        <v>7.2728699331208437</v>
      </c>
      <c r="AE39" s="23">
        <f>_xll.acq_options_bachelier_price($AB39,$C$5,$C$6,$C$8,AE$37,$C$9)</f>
        <v>7.272922884666829</v>
      </c>
      <c r="AG39">
        <f>_xll.acq_options_bachelier_greeks($AG$36,$AB39,$C$5,$C$6,$C$8,AC$37,$C$9)</f>
        <v>0.3317431321405433</v>
      </c>
      <c r="AH39">
        <f>_xll.acq_options_bachelier_greeks($AG$36,$AB39,$C$5,$C$6,$C$8,AD$37,$C$9)</f>
        <v>0.33174366165838592</v>
      </c>
      <c r="AI39">
        <f>_xll.acq_options_bachelier_greeks($AG$36,$AB39,$C$5,$C$6,$C$8,AE$37,$C$9)</f>
        <v>0.33174419117119824</v>
      </c>
      <c r="AK39">
        <f>_xll.acq_options_bachelier_greeks($AK$36,$AB39,$C$5,$C$6,$C$8,AC$37,$C$9)</f>
        <v>0.52951506272565185</v>
      </c>
      <c r="AL39" s="19">
        <f>_xll.acq_options_bachelier_greeks($AK$36,$AB39,$C$5,$C$6,$C$8,AD$37,$C$9)</f>
        <v>0.52951532748523511</v>
      </c>
      <c r="AM39">
        <f>_xll.acq_options_bachelier_greeks($AK$36,$AB39,$C$5,$C$6,$C$8,AE$37,$C$9)</f>
        <v>0.52951559224097933</v>
      </c>
      <c r="AO39">
        <f>_xll.acq_options_bachelier_greeks($AO$36,$AB39,$C$5,$C$6,$C$8,AC$37,$C$9)</f>
        <v>5.2952035791599301E-3</v>
      </c>
      <c r="AP39" s="19">
        <f>_xll.acq_options_bachelier_greeks($AO$36,$AB39,$C$5,$C$6,$C$8,AD$37,$C$9)</f>
        <v>5.2951532748523504E-3</v>
      </c>
      <c r="AQ39">
        <f>_xll.acq_options_bachelier_greeks($AO$36,$AB39,$C$5,$C$6,$C$8,AE$37,$C$9)</f>
        <v>5.2951029712477032E-3</v>
      </c>
    </row>
    <row r="40" spans="12:43" x14ac:dyDescent="0.25">
      <c r="L40" s="13">
        <v>15</v>
      </c>
      <c r="M40">
        <v>70</v>
      </c>
      <c r="N40">
        <f>_xll.acq_options_bachelier_price(M40,$C$5,$C$6,$C$8,L40,$C$9)</f>
        <v>2.3296938786038028</v>
      </c>
      <c r="O40">
        <f>_xll.acq_options_bachelier_vol(M40,$C$5,$C$6,$C$8,N40,$C$9)</f>
        <v>14.999999999999131</v>
      </c>
      <c r="P40">
        <f>_xll.acq_options_black_vol(M40,$C$5,$C$6,$C$8,N40,$C$9)</f>
        <v>0.18918845529277484</v>
      </c>
      <c r="Q40">
        <f t="shared" si="1"/>
        <v>13.243191870494238</v>
      </c>
      <c r="R40">
        <f>_xll.acq_options_black_price(M40,$C$5,$C$6,$C$8,P40,$C$9)</f>
        <v>2.3296938786038002</v>
      </c>
      <c r="S40">
        <f t="shared" si="2"/>
        <v>0</v>
      </c>
      <c r="T40" s="12"/>
      <c r="AB40" s="28">
        <f>AB39+AC42</f>
        <v>80.000100000000003</v>
      </c>
      <c r="AC40" s="35">
        <f>_xll.acq_options_bachelier_price($AB40,$C$5,$C$6,$C$8,AC$37,$C$9)</f>
        <v>7.2728501559674976</v>
      </c>
      <c r="AD40" s="24">
        <f>_xll.acq_options_bachelier_price($AB40,$C$5,$C$6,$C$8,AD$37,$C$9)</f>
        <v>7.2729031075399622</v>
      </c>
      <c r="AE40" s="25">
        <f>_xll.acq_options_bachelier_price($AB40,$C$5,$C$6,$C$8,AE$37,$C$9)</f>
        <v>7.2729560591388971</v>
      </c>
      <c r="AG40">
        <f>_xll.acq_options_bachelier_greeks($AG$36,$AB40,$C$5,$C$6,$C$8,AC$37,$C$9)</f>
        <v>0.33174419117649345</v>
      </c>
      <c r="AH40">
        <f>_xll.acq_options_bachelier_greeks($AG$36,$AB40,$C$5,$C$6,$C$8,AD$37,$C$9)</f>
        <v>0.33174472068957045</v>
      </c>
      <c r="AI40">
        <f>_xll.acq_options_bachelier_greeks($AG$36,$AB40,$C$5,$C$6,$C$8,AE$37,$C$9)</f>
        <v>0.33174525019761714</v>
      </c>
      <c r="AK40">
        <f>_xll.acq_options_bachelier_greeks($AK$36,$AB40,$C$5,$C$6,$C$8,AC$37,$C$9)</f>
        <v>0.52951559224362699</v>
      </c>
      <c r="AL40" s="19">
        <f>_xll.acq_options_bachelier_greeks($AK$36,$AB40,$C$5,$C$6,$C$8,AD$37,$C$9)</f>
        <v>0.52951585699817971</v>
      </c>
      <c r="AM40">
        <f>_xll.acq_options_bachelier_greeks($AK$36,$AB40,$C$5,$C$6,$C$8,AE$37,$C$9)</f>
        <v>0.52951612174889373</v>
      </c>
      <c r="AO40">
        <f>_xll.acq_options_bachelier_greeks($AO$36,$AB40,$C$5,$C$6,$C$8,AC$37,$C$9)</f>
        <v>5.2951559223038862E-3</v>
      </c>
      <c r="AP40">
        <f>_xll.acq_options_bachelier_greeks($AO$36,$AB40,$C$5,$C$6,$C$8,AD$37,$C$9)</f>
        <v>5.2951056183960952E-3</v>
      </c>
      <c r="AQ40">
        <f>_xll.acq_options_bachelier_greeks($AO$36,$AB40,$C$5,$C$6,$C$8,AE$37,$C$9)</f>
        <v>5.2950553151912315E-3</v>
      </c>
    </row>
    <row r="41" spans="12:43" x14ac:dyDescent="0.25">
      <c r="L41" s="13">
        <v>15</v>
      </c>
      <c r="M41">
        <v>80</v>
      </c>
      <c r="N41">
        <f>_xll.acq_options_bachelier_price(M41,$C$5,$C$6,$C$8,L41,$C$9)</f>
        <v>4.6688933344611057</v>
      </c>
      <c r="O41">
        <f>_xll.acq_options_bachelier_vol(M41,$C$5,$C$6,$C$8,N41,$C$9)</f>
        <v>14.999999999983274</v>
      </c>
      <c r="P41">
        <f>_xll.acq_options_black_vol(M41,$C$5,$C$6,$C$8,N41,$C$9)</f>
        <v>0.17725288997274491</v>
      </c>
      <c r="Q41">
        <f t="shared" si="1"/>
        <v>14.180231197819593</v>
      </c>
      <c r="R41">
        <f>_xll.acq_options_black_price(M41,$C$5,$C$6,$C$8,P41,$C$9)</f>
        <v>4.6688933344573389</v>
      </c>
      <c r="S41">
        <f t="shared" si="2"/>
        <v>-3.7667646779482311E-12</v>
      </c>
      <c r="T41" s="12"/>
    </row>
    <row r="42" spans="12:43" x14ac:dyDescent="0.25">
      <c r="L42" s="13">
        <v>15</v>
      </c>
      <c r="M42">
        <v>90</v>
      </c>
      <c r="N42">
        <f>_xll.acq_options_bachelier_price(M42,$C$5,$C$6,$C$8,L42,$C$9)</f>
        <v>8.3499623830996867</v>
      </c>
      <c r="O42">
        <f>_xll.acq_options_bachelier_vol(M42,$C$5,$C$6,$C$8,N42,$C$9)</f>
        <v>14.999999999999998</v>
      </c>
      <c r="P42">
        <f>_xll.acq_options_black_vol(M42,$C$5,$C$6,$C$8,N42,$C$9)</f>
        <v>0.16715187227076364</v>
      </c>
      <c r="Q42">
        <f t="shared" si="1"/>
        <v>15.043668504368728</v>
      </c>
      <c r="R42">
        <f>_xll.acq_options_black_price(M42,$C$5,$C$6,$C$8,P42,$C$9)</f>
        <v>8.349962383108144</v>
      </c>
      <c r="S42">
        <f t="shared" si="2"/>
        <v>8.4572349123845925E-12</v>
      </c>
      <c r="T42" s="12"/>
      <c r="AB42" t="s">
        <v>110</v>
      </c>
      <c r="AC42" s="14">
        <v>1E-4</v>
      </c>
      <c r="AD42" s="17">
        <f>_xll.acq_diff1_c3pt(AC37:AE37,AG39:AI39)</f>
        <v>5.2951532747548442E-3</v>
      </c>
      <c r="AE42" s="17">
        <f>_xll.acq_diff1_c3pt(AB38:AB40,AL38:AL40)</f>
        <v>5.2951532740116106E-3</v>
      </c>
    </row>
    <row r="43" spans="12:43" x14ac:dyDescent="0.25">
      <c r="L43" s="13">
        <v>15</v>
      </c>
      <c r="M43">
        <v>100</v>
      </c>
      <c r="N43">
        <f>_xll.acq_options_bachelier_price(M43,$C$5,$C$6,$C$8,L43,$C$9)</f>
        <v>13.493862360307061</v>
      </c>
      <c r="O43">
        <f>_xll.acq_options_bachelier_vol(M43,$C$5,$C$6,$C$8,N43,$C$9)</f>
        <v>14.999999999983274</v>
      </c>
      <c r="P43">
        <f>_xll.acq_options_black_vol(M43,$C$5,$C$6,$C$8,N43,$C$9)</f>
        <v>0.15845418088831126</v>
      </c>
      <c r="Q43">
        <f t="shared" si="1"/>
        <v>15.845418088831126</v>
      </c>
      <c r="R43">
        <f>_xll.acq_options_black_price(M43,$C$5,$C$6,$C$8,P43,$C$9)</f>
        <v>13.49386236030082</v>
      </c>
      <c r="S43">
        <f t="shared" si="2"/>
        <v>-6.2403415768130799E-12</v>
      </c>
      <c r="AB43" t="s">
        <v>111</v>
      </c>
      <c r="AD43" s="36">
        <f>AP39-AD42</f>
        <v>9.7506204499442362E-14</v>
      </c>
      <c r="AE43" s="36">
        <f>AP39-AE42</f>
        <v>8.4073980416432548E-13</v>
      </c>
      <c r="AF43" s="11"/>
    </row>
    <row r="44" spans="12:43" x14ac:dyDescent="0.25">
      <c r="L44" s="13">
        <v>15</v>
      </c>
      <c r="M44">
        <v>110</v>
      </c>
      <c r="N44">
        <f>_xll.acq_options_bachelier_price(M44,$C$5,$C$6,$C$8,L44,$C$9)</f>
        <v>19.979631930295714</v>
      </c>
      <c r="O44">
        <f>_xll.acq_options_bachelier_vol(M44,$C$5,$C$6,$C$8,N44,$C$9)</f>
        <v>14.999999999999133</v>
      </c>
      <c r="P44">
        <f>_xll.acq_options_black_vol(M44,$C$5,$C$6,$C$8,N44,$C$9)</f>
        <v>0.15085978296624955</v>
      </c>
      <c r="Q44">
        <f t="shared" si="1"/>
        <v>16.59457612628745</v>
      </c>
      <c r="R44">
        <f>_xll.acq_options_black_price(M44,$C$5,$C$6,$C$8,P44,$C$9)</f>
        <v>19.979631930295717</v>
      </c>
      <c r="S44">
        <f t="shared" si="2"/>
        <v>0</v>
      </c>
    </row>
  </sheetData>
  <mergeCells count="6">
    <mergeCell ref="A1:D1"/>
    <mergeCell ref="L32:Q32"/>
    <mergeCell ref="F2:I2"/>
    <mergeCell ref="L2:P2"/>
    <mergeCell ref="S2:Z2"/>
    <mergeCell ref="S17:Z1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0C1E-5BFB-47EF-8AD5-509FD4075E48}">
  <sheetPr codeName="Sheet4"/>
  <dimension ref="A1:AS56"/>
  <sheetViews>
    <sheetView workbookViewId="0">
      <selection activeCell="G4" sqref="G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9" max="29" width="12" bestFit="1" customWidth="1"/>
    <col min="30" max="30" width="19.42578125" bestFit="1" customWidth="1"/>
    <col min="31" max="31" width="11" bestFit="1" customWidth="1"/>
    <col min="34" max="34" width="11.42578125" bestFit="1" customWidth="1"/>
  </cols>
  <sheetData>
    <row r="1" spans="1:45" ht="20.25" thickBot="1" x14ac:dyDescent="0.35">
      <c r="A1" s="46" t="s">
        <v>130</v>
      </c>
      <c r="B1" s="46"/>
      <c r="C1" s="46"/>
      <c r="D1" s="46"/>
    </row>
    <row r="2" spans="1:45" ht="16.5" thickTop="1" thickBot="1" x14ac:dyDescent="0.3">
      <c r="F2" s="45" t="s">
        <v>97</v>
      </c>
      <c r="G2" s="45"/>
      <c r="H2" s="45"/>
      <c r="I2" s="45"/>
      <c r="L2" s="45" t="s">
        <v>98</v>
      </c>
      <c r="M2" s="45"/>
      <c r="N2" s="45"/>
      <c r="O2" s="45"/>
      <c r="P2" s="45"/>
      <c r="S2" s="45" t="s">
        <v>107</v>
      </c>
      <c r="T2" s="45"/>
      <c r="U2" s="45"/>
      <c r="V2" s="45"/>
      <c r="W2" s="45"/>
      <c r="X2" s="45"/>
      <c r="Y2" s="45"/>
      <c r="Z2" s="45"/>
      <c r="AA2" s="38"/>
      <c r="AB2" s="38"/>
      <c r="AD2" s="3" t="s">
        <v>112</v>
      </c>
      <c r="AE2" s="3"/>
      <c r="AF2" s="3"/>
      <c r="AG2" s="3"/>
    </row>
    <row r="3" spans="1:45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125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126</v>
      </c>
      <c r="AB3" t="s">
        <v>127</v>
      </c>
      <c r="AD3" t="s">
        <v>109</v>
      </c>
      <c r="AE3" t="s">
        <v>99</v>
      </c>
      <c r="AF3" t="s">
        <v>100</v>
      </c>
      <c r="AG3" t="s">
        <v>101</v>
      </c>
    </row>
    <row r="4" spans="1:45" x14ac:dyDescent="0.25">
      <c r="B4" t="s">
        <v>124</v>
      </c>
      <c r="C4" s="5">
        <v>90</v>
      </c>
      <c r="F4">
        <v>10</v>
      </c>
      <c r="G4">
        <f>_xll.acq_options_blackscholes_price($C$4,F4,$C$6,$C$8,$C$9,$C$7,TRUE)</f>
        <v>67.951423633268391</v>
      </c>
      <c r="H4">
        <f>_xll.acq_options_blackscholes_price($C$4,F4,$C$6,$C$8,$C$9,$C$7,FALSE)</f>
        <v>2.0306811757882426E-11</v>
      </c>
      <c r="I4">
        <f>G4-H4 +(F4-$C$4 *EXP(-$C$6*($C$9-$C$8)))*EXP(-$C$6*$C$8)</f>
        <v>0</v>
      </c>
      <c r="L4" s="11">
        <v>1E-10</v>
      </c>
      <c r="M4">
        <f>_xll.acq_options_blackscholes_price($C$4,$C$5,$C$6,$C$8,$C$9,$L4,TRUE)</f>
        <v>0</v>
      </c>
      <c r="N4">
        <f>_xll.acq_options_blackscholes_price($C$4,$C$5,$C$6,$C$8,$C$9,$L4,FALSE)</f>
        <v>17.659224571816196</v>
      </c>
      <c r="O4" s="12">
        <f>_xll.acq_options_blackscholes_vol($C$4,$C$5,$C$6,$C$8,$C$9,$M4,TRUE)</f>
        <v>1.0000000000000001E-15</v>
      </c>
      <c r="P4" s="12">
        <f>_xll.acq_options_blackscholes_vol($C$4,$C$5,$C$6,$C$8,$C$9,$N4,FALSE)</f>
        <v>1.0000000000000001E-15</v>
      </c>
      <c r="Q4" s="11"/>
      <c r="R4" s="13">
        <v>10</v>
      </c>
      <c r="S4">
        <f>_xll.acq_options_blackscholes_greeks(S$3,$R4,$C$5,$C$6,$C$8,$C$9,$C$7,TRUE)</f>
        <v>1.7174549662701876E-14</v>
      </c>
      <c r="T4">
        <f>_xll.acq_options_blackscholes_greeks(T$3,$R4,$C$5,$C$6,$C$8,$C$9,$C$7,TRUE)</f>
        <v>4.3485648347602963E-14</v>
      </c>
      <c r="U4">
        <f>_xll.acq_options_blackscholes_greeks(U$3,$R4,$C$5,$C$6,$C$8,$C$9,$C$7,TRUE)</f>
        <v>1.0409065647611264E-13</v>
      </c>
      <c r="V4">
        <f>_xll.acq_options_blackscholes_greeks(V$3,$R4,$C$5,$C$6,$C$8,$C$9,$C$7,TRUE)</f>
        <v>5.2045328238056334E-12</v>
      </c>
      <c r="W4">
        <f>_xll.acq_options_blackscholes_greeks(W$3,$R4,$C$5,$C$6,$C$8,$C$9,$C$7,TRUE)</f>
        <v>1.5014856339927515E-9</v>
      </c>
      <c r="X4">
        <f>_xll.acq_options_blackscholes_greeks(X$3,$R4,$C$5,$C$6,$C$8,$C$9,$C$7,TRUE)</f>
        <v>1.2764559619663899E-11</v>
      </c>
      <c r="Y4">
        <f>_xll.acq_options_blackscholes_greeks(Y$3,$R4,$C$5,$C$6,$C$8,$C$9,$C$7,TRUE)</f>
        <v>1.0442048345333191E-12</v>
      </c>
      <c r="Z4">
        <f>_xll.acq_options_blackscholes_greeks(Z$3,$R4,$C$5,$C$6,$C$8,$C$9,$C$7,TRUE)</f>
        <v>-1.9044356261993011E-13</v>
      </c>
      <c r="AA4">
        <f>_xll.acq_options_blackscholes_greeks(AA$3,$R4,$C$5,$C$6,$C$8,$C$9,$C$7,TRUE)</f>
        <v>-4.6633698329525484E-13</v>
      </c>
      <c r="AB4">
        <f>_xll.acq_options_blackscholes_greeks(AB$3,$R4,$C$5,$C$6,$C$8,$C$9,$C$7,TRUE)</f>
        <v>-1.087141208690074E-12</v>
      </c>
      <c r="AJ4" s="11"/>
      <c r="AK4" s="11"/>
      <c r="AM4" s="11"/>
      <c r="AN4" s="11"/>
      <c r="AO4" s="11"/>
      <c r="AP4" s="11"/>
      <c r="AQ4" s="11"/>
      <c r="AR4" s="11"/>
      <c r="AS4" s="11"/>
    </row>
    <row r="5" spans="1:45" x14ac:dyDescent="0.25">
      <c r="B5" t="s">
        <v>87</v>
      </c>
      <c r="C5" s="5">
        <v>100</v>
      </c>
      <c r="F5">
        <v>20</v>
      </c>
      <c r="G5">
        <f>_xll.acq_options_blackscholes_price($C$4,F5,$C$6,$C$8,$C$9,$C$7,TRUE)</f>
        <v>58.439140539429779</v>
      </c>
      <c r="H5">
        <f>_xll.acq_options_blackscholes_price($C$4,F5,$C$6,$C$8,$C$9,$C$7,FALSE)</f>
        <v>1.1151188853304376E-5</v>
      </c>
      <c r="I5">
        <f t="shared" ref="I5:I20" si="0">G5-H5 +(F5-$C$4 *EXP(-$C$6*($C$9-$C$8)))*EXP(-$C$6*$C$8)</f>
        <v>0</v>
      </c>
      <c r="L5" s="12">
        <v>0.05</v>
      </c>
      <c r="M5">
        <f>_xll.acq_options_blackscholes_price($C$4,$C$5,$C$6,$C$8,$C$9,$L5,TRUE)</f>
        <v>1.0003036023051914E-2</v>
      </c>
      <c r="N5">
        <f>_xll.acq_options_blackscholes_price($C$4,$C$5,$C$6,$C$8,$C$9,$L5,FALSE)</f>
        <v>17.669227607839247</v>
      </c>
      <c r="O5" s="12">
        <f>_xll.acq_options_blackscholes_vol($C$4,$C$5,$C$6,$C$8,$C$9,$M5,TRUE)</f>
        <v>4.9999999999985709E-2</v>
      </c>
      <c r="P5" s="12">
        <f>_xll.acq_options_blackscholes_vol($C$4,$C$5,$C$6,$C$8,$C$9,$N5,FALSE)</f>
        <v>4.9999999999985993E-2</v>
      </c>
      <c r="Q5" s="11"/>
      <c r="R5" s="13">
        <v>20</v>
      </c>
      <c r="S5">
        <f>_xll.acq_options_blackscholes_greeks(S$3,$R5,$C$5,$C$6,$C$8,$C$9,$C$7,TRUE)</f>
        <v>7.1049837428961078E-8</v>
      </c>
      <c r="T5">
        <f>_xll.acq_options_blackscholes_greeks(T$3,$R5,$C$5,$C$6,$C$8,$C$9,$C$7,TRUE)</f>
        <v>6.6313476760244137E-8</v>
      </c>
      <c r="U5">
        <f>_xll.acq_options_blackscholes_greeks(U$3,$R5,$C$5,$C$6,$C$8,$C$9,$C$7,TRUE)</f>
        <v>5.6895522682973573E-8</v>
      </c>
      <c r="V5">
        <f>_xll.acq_options_blackscholes_greeks(V$3,$R5,$C$5,$C$6,$C$8,$C$9,$C$7,TRUE)</f>
        <v>1.1379104536594717E-5</v>
      </c>
      <c r="W5">
        <f>_xll.acq_options_blackscholes_greeks(W$3,$R5,$C$5,$C$6,$C$8,$C$9,$C$7,TRUE)</f>
        <v>1.6611660453705963E-3</v>
      </c>
      <c r="X5">
        <f>_xll.acq_options_blackscholes_greeks(X$3,$R5,$C$5,$C$6,$C$8,$C$9,$C$7,TRUE)</f>
        <v>1.0010413965617799E-5</v>
      </c>
      <c r="Y5">
        <f>_xll.acq_options_blackscholes_greeks(Y$3,$R5,$C$5,$C$6,$C$8,$C$9,$C$7,TRUE)</f>
        <v>3.1380492444398038E-6</v>
      </c>
      <c r="Z5">
        <f>_xll.acq_options_blackscholes_greeks(Z$3,$R5,$C$5,$C$6,$C$8,$C$9,$C$7,TRUE)</f>
        <v>-4.0069240330701408E-7</v>
      </c>
      <c r="AA5">
        <f>_xll.acq_options_blackscholes_greeks(AA$3,$R5,$C$5,$C$6,$C$8,$C$9,$C$7,TRUE)</f>
        <v>-3.5092133187271857E-7</v>
      </c>
      <c r="AB5">
        <f>_xll.acq_options_blackscholes_greeks(AB$3,$R5,$C$5,$C$6,$C$8,$C$9,$C$7,TRUE)</f>
        <v>-3.3156738380122071E-6</v>
      </c>
      <c r="AD5" s="15">
        <f>AD6-AE9</f>
        <v>89.999899999999997</v>
      </c>
      <c r="AE5" s="13">
        <f>_xll.acq_options_blackscholes_price($AD5,$C$5,$C$6,$C$8,$C$9,$C$7,$C$10)</f>
        <v>4.1927240301498756</v>
      </c>
      <c r="AF5" s="13">
        <f>_xll.acq_options_blackscholes_delta($AD5,$C$5,$C$6,$C$8,$C$9,$C$7,$C$10)</f>
        <v>0.26820378510747978</v>
      </c>
      <c r="AG5" s="13">
        <f>_xll.acq_options_blackscholes_gamma($AD5,$C$5,$C$6,$C$8,$C$9,$C$7)</f>
        <v>1.0693269851087026E-2</v>
      </c>
      <c r="AH5" s="11"/>
      <c r="AJ5" s="11"/>
      <c r="AK5" s="11"/>
      <c r="AM5" s="11"/>
      <c r="AN5" s="11"/>
      <c r="AO5" s="11"/>
      <c r="AP5" s="11"/>
      <c r="AQ5" s="11"/>
      <c r="AR5" s="11"/>
      <c r="AS5" s="11"/>
    </row>
    <row r="6" spans="1:45" x14ac:dyDescent="0.25">
      <c r="B6" t="s">
        <v>88</v>
      </c>
      <c r="C6" s="5">
        <v>2.5</v>
      </c>
      <c r="F6">
        <v>30</v>
      </c>
      <c r="G6">
        <f>_xll.acq_options_blackscholes_price($C$4,F6,$C$6,$C$8,$C$9,$C$7,TRUE)</f>
        <v>48.930017522733479</v>
      </c>
      <c r="H6">
        <f>_xll.acq_options_blackscholes_price($C$4,F6,$C$6,$C$8,$C$9,$C$7,FALSE)</f>
        <v>3.1823794996912805E-3</v>
      </c>
      <c r="I6">
        <f t="shared" si="0"/>
        <v>0</v>
      </c>
      <c r="L6" s="12">
        <v>0.1</v>
      </c>
      <c r="M6">
        <f>_xll.acq_options_blackscholes_price($C$4,$C$5,$C$6,$C$8,$C$9,$L6,TRUE)</f>
        <v>0.61815455200157921</v>
      </c>
      <c r="N6">
        <f>_xll.acq_options_blackscholes_price($C$4,$C$5,$C$6,$C$8,$C$9,$L6,FALSE)</f>
        <v>18.277379123817781</v>
      </c>
      <c r="O6" s="12">
        <f>_xll.acq_options_blackscholes_vol($C$4,$C$5,$C$6,$C$8,$C$9,$M6,TRUE)</f>
        <v>0.10000000000021597</v>
      </c>
      <c r="P6" s="12">
        <f>_xll.acq_options_blackscholes_vol($C$4,$C$5,$C$6,$C$8,$C$9,$N6,FALSE)</f>
        <v>0.10000000000021661</v>
      </c>
      <c r="Q6" s="11"/>
      <c r="R6" s="13">
        <v>30</v>
      </c>
      <c r="S6">
        <f>_xll.acq_options_blackscholes_greeks(S$3,$R6,$C$5,$C$6,$C$8,$C$9,$C$7,TRUE)</f>
        <v>6.3585971240243729E-5</v>
      </c>
      <c r="T6">
        <f>_xll.acq_options_blackscholes_greeks(T$3,$R6,$C$5,$C$6,$C$8,$C$9,$C$7,TRUE)</f>
        <v>3.1531966962990215E-5</v>
      </c>
      <c r="U6">
        <f>_xll.acq_options_blackscholes_greeks(U$3,$R6,$C$5,$C$6,$C$8,$C$9,$C$7,TRUE)</f>
        <v>1.3935342229900053E-5</v>
      </c>
      <c r="V6">
        <f>_xll.acq_options_blackscholes_greeks(V$3,$R6,$C$5,$C$6,$C$8,$C$9,$C$7,TRUE)</f>
        <v>6.2709040034550261E-3</v>
      </c>
      <c r="W6">
        <f>_xll.acq_options_blackscholes_greeks(W$3,$R6,$C$5,$C$6,$C$8,$C$9,$C$7,TRUE)</f>
        <v>0.53235117372185448</v>
      </c>
      <c r="X6">
        <f>_xll.acq_options_blackscholes_greeks(X$3,$R6,$C$5,$C$6,$C$8,$C$9,$C$7,TRUE)</f>
        <v>2.8302111597389122E-3</v>
      </c>
      <c r="Y6">
        <f>_xll.acq_options_blackscholes_greeks(Y$3,$R6,$C$5,$C$6,$C$8,$C$9,$C$7,TRUE)</f>
        <v>2.2059325941236568E-3</v>
      </c>
      <c r="Z6">
        <f>_xll.acq_options_blackscholes_greeks(Z$3,$R6,$C$5,$C$6,$C$8,$C$9,$C$7,TRUE)</f>
        <v>-2.1172608035780789E-4</v>
      </c>
      <c r="AA6">
        <f>_xll.acq_options_blackscholes_greeks(AA$3,$R6,$C$5,$C$6,$C$8,$C$9,$C$7,TRUE)</f>
        <v>-9.4594117695897037E-5</v>
      </c>
      <c r="AB6">
        <f>_xll.acq_options_blackscholes_greeks(AB$3,$R6,$C$5,$C$6,$C$8,$C$9,$C$7,TRUE)</f>
        <v>-2.3648975222242659E-3</v>
      </c>
      <c r="AD6" s="16">
        <f>C4</f>
        <v>90</v>
      </c>
      <c r="AE6" s="13">
        <f>_xll.acq_options_blackscholes_price($AD6,$C$5,$C$6,$C$8,$C$9,$C$7,$C$10)</f>
        <v>4.1927508505818558</v>
      </c>
      <c r="AF6" s="13">
        <f>_xll.acq_options_blackscholes_delta($AD6,$C$5,$C$6,$C$8,$C$9,$C$7,$C$10)</f>
        <v>0.2682048544347938</v>
      </c>
      <c r="AG6" s="13">
        <f>_xll.acq_options_blackscholes_gamma($AD6,$C$5,$C$6,$C$8,$C$9,$C$7)</f>
        <v>1.0693276428769077E-2</v>
      </c>
      <c r="AH6" s="11"/>
      <c r="AJ6" s="11"/>
      <c r="AK6" s="11"/>
      <c r="AN6" s="11"/>
    </row>
    <row r="7" spans="1:45" x14ac:dyDescent="0.25">
      <c r="B7" t="s">
        <v>89</v>
      </c>
      <c r="C7" s="5">
        <v>0.2</v>
      </c>
      <c r="F7">
        <v>40</v>
      </c>
      <c r="G7">
        <f>_xll.acq_options_blackscholes_price($C$4,F7,$C$6,$C$8,$C$9,$C$7,TRUE)</f>
        <v>39.486891153219823</v>
      </c>
      <c r="H7">
        <f>_xll.acq_options_blackscholes_price($C$4,F7,$C$6,$C$8,$C$9,$C$7,FALSE)</f>
        <v>7.2350254993173713E-2</v>
      </c>
      <c r="I7">
        <f t="shared" si="0"/>
        <v>0</v>
      </c>
      <c r="L7" s="12">
        <v>0.15</v>
      </c>
      <c r="M7">
        <f>_xll.acq_options_blackscholes_price($C$4,$C$5,$C$6,$C$8,$C$9,$L7,TRUE)</f>
        <v>2.1664801998320637</v>
      </c>
      <c r="N7">
        <f>_xll.acq_options_blackscholes_price($C$4,$C$5,$C$6,$C$8,$C$9,$L7,FALSE)</f>
        <v>19.825704771648255</v>
      </c>
      <c r="O7" s="12">
        <f>_xll.acq_options_blackscholes_vol($C$4,$C$5,$C$6,$C$8,$C$9,$M7,TRUE)</f>
        <v>0.15000000000000033</v>
      </c>
      <c r="P7" s="12">
        <f>_xll.acq_options_blackscholes_vol($C$4,$C$5,$C$6,$C$8,$C$9,$N7,FALSE)</f>
        <v>0.15</v>
      </c>
      <c r="Q7" s="11"/>
      <c r="R7" s="13">
        <v>40</v>
      </c>
      <c r="S7">
        <f>_xll.acq_options_blackscholes_greeks(S$3,$R7,$C$5,$C$6,$C$8,$C$9,$C$7,TRUE)</f>
        <v>3.1501546432001204E-3</v>
      </c>
      <c r="T7">
        <f>_xll.acq_options_blackscholes_greeks(T$3,$R7,$C$5,$C$6,$C$8,$C$9,$C$7,TRUE)</f>
        <v>9.6636450953083792E-4</v>
      </c>
      <c r="U7">
        <f>_xll.acq_options_blackscholes_greeks(U$3,$R7,$C$5,$C$6,$C$8,$C$9,$C$7,TRUE)</f>
        <v>2.5477892914448335E-4</v>
      </c>
      <c r="V7">
        <f>_xll.acq_options_blackscholes_greeks(V$3,$R7,$C$5,$C$6,$C$8,$C$9,$C$7,TRUE)</f>
        <v>0.20382314331558676</v>
      </c>
      <c r="W7">
        <f>_xll.acq_options_blackscholes_greeks(W$3,$R7,$C$5,$C$6,$C$8,$C$9,$C$7,TRUE)</f>
        <v>10.500426700872406</v>
      </c>
      <c r="X7">
        <f>_xll.acq_options_blackscholes_greeks(X$3,$R7,$C$5,$C$6,$C$8,$C$9,$C$7,TRUE)</f>
        <v>5.4333682164716929E-2</v>
      </c>
      <c r="Y7">
        <f>_xll.acq_options_blackscholes_greeks(Y$3,$R7,$C$5,$C$6,$C$8,$C$9,$C$7,TRUE)</f>
        <v>8.876106434508349E-2</v>
      </c>
      <c r="Z7">
        <f>_xll.acq_options_blackscholes_greeks(Z$3,$R7,$C$5,$C$6,$C$8,$C$9,$C$7,TRUE)</f>
        <v>-6.5437394245101265E-3</v>
      </c>
      <c r="AA7">
        <f>_xll.acq_options_blackscholes_greeks(AA$3,$R7,$C$5,$C$6,$C$8,$C$9,$C$7,TRUE)</f>
        <v>-1.7077191293856538E-3</v>
      </c>
      <c r="AB7">
        <f>_xll.acq_options_blackscholes_greeks(AB$3,$R7,$C$5,$C$6,$C$8,$C$9,$C$7,TRUE)</f>
        <v>-9.6636450953083791E-2</v>
      </c>
      <c r="AD7" s="15">
        <f>AD6+AE9</f>
        <v>90.000100000000003</v>
      </c>
      <c r="AE7" s="13">
        <f>_xll.acq_options_blackscholes_price($AD7,$C$5,$C$6,$C$8,$C$9,$C$7,$C$10)</f>
        <v>4.1927776711207656</v>
      </c>
      <c r="AF7" s="13">
        <f>_xll.acq_options_blackscholes_delta($AD7,$C$5,$C$6,$C$8,$C$9,$C$7,$C$10)</f>
        <v>0.26820592376276564</v>
      </c>
      <c r="AG7" s="13">
        <f>_xll.acq_options_blackscholes_gamma($AD7,$C$5,$C$6,$C$8,$C$9,$C$7)</f>
        <v>1.0693283006315852E-2</v>
      </c>
      <c r="AJ7" s="11"/>
      <c r="AK7" s="11"/>
    </row>
    <row r="8" spans="1:45" x14ac:dyDescent="0.25">
      <c r="B8" t="s">
        <v>90</v>
      </c>
      <c r="C8" s="5">
        <v>0.02</v>
      </c>
      <c r="F8">
        <v>50</v>
      </c>
      <c r="G8">
        <f>_xll.acq_options_blackscholes_price($C$4,F8,$C$6,$C$8,$C$9,$C$7,TRUE)</f>
        <v>30.407825878286992</v>
      </c>
      <c r="H8">
        <f>_xll.acq_options_blackscholes_price($C$4,F8,$C$6,$C$8,$C$9,$C$7,FALSE)</f>
        <v>0.50557922506749309</v>
      </c>
      <c r="I8">
        <f t="shared" si="0"/>
        <v>0</v>
      </c>
      <c r="L8" s="12">
        <v>0.2</v>
      </c>
      <c r="M8">
        <f>_xll.acq_options_blackscholes_price($C$4,$C$5,$C$6,$C$8,$C$9,$L8,TRUE)</f>
        <v>4.1927508505818558</v>
      </c>
      <c r="N8">
        <f>_xll.acq_options_blackscholes_price($C$4,$C$5,$C$6,$C$8,$C$9,$L8,FALSE)</f>
        <v>21.851975422398048</v>
      </c>
      <c r="O8" s="12">
        <f>_xll.acq_options_blackscholes_vol($C$4,$C$5,$C$6,$C$8,$C$9,$M8,TRUE)</f>
        <v>0.2</v>
      </c>
      <c r="P8" s="12">
        <f>_xll.acq_options_blackscholes_vol($C$4,$C$5,$C$6,$C$8,$C$9,$N8,FALSE)</f>
        <v>0.19999999999999993</v>
      </c>
      <c r="Q8" s="11"/>
      <c r="R8" s="13">
        <v>50</v>
      </c>
      <c r="S8">
        <f>_xll.acq_options_blackscholes_greeks(S$3,$R8,$C$5,$C$6,$C$8,$C$9,$C$7,TRUE)</f>
        <v>3.9127490781788676E-2</v>
      </c>
      <c r="T8">
        <f>_xll.acq_options_blackscholes_greeks(T$3,$R8,$C$5,$C$6,$C$8,$C$9,$C$7,TRUE)</f>
        <v>8.0783934716701679E-3</v>
      </c>
      <c r="U8">
        <f>_xll.acq_options_blackscholes_greeks(U$3,$R8,$C$5,$C$6,$C$8,$C$9,$C$7,TRUE)</f>
        <v>1.3726561068346085E-3</v>
      </c>
      <c r="V8">
        <f>_xll.acq_options_blackscholes_greeks(V$3,$R8,$C$5,$C$6,$C$8,$C$9,$C$7,TRUE)</f>
        <v>1.7158201335432612</v>
      </c>
      <c r="W8">
        <f>_xll.acq_options_blackscholes_greeks(W$3,$R8,$C$5,$C$6,$C$8,$C$9,$C$7,TRUE)</f>
        <v>53.755139154333236</v>
      </c>
      <c r="X8">
        <f>_xll.acq_options_blackscholes_greeks(X$3,$R8,$C$5,$C$6,$C$8,$C$9,$C$7,TRUE)</f>
        <v>0.28933778158899776</v>
      </c>
      <c r="Y8">
        <f>_xll.acq_options_blackscholes_greeks(Y$3,$R8,$C$5,$C$6,$C$8,$C$9,$C$7,TRUE)</f>
        <v>0.91198045700429908</v>
      </c>
      <c r="Z8">
        <f>_xll.acq_options_blackscholes_greeks(Z$3,$R8,$C$5,$C$6,$C$8,$C$9,$C$7,TRUE)</f>
        <v>-5.169346858275433E-2</v>
      </c>
      <c r="AA8">
        <f>_xll.acq_options_blackscholes_greeks(AA$3,$R8,$C$5,$C$6,$C$8,$C$9,$C$7,TRUE)</f>
        <v>-8.343495441590484E-3</v>
      </c>
      <c r="AB8">
        <f>_xll.acq_options_blackscholes_greeks(AB$3,$R8,$C$5,$C$6,$C$8,$C$9,$C$7,TRUE)</f>
        <v>-1.009799183958771</v>
      </c>
      <c r="AF8" s="11"/>
      <c r="AG8" s="11"/>
      <c r="AJ8" s="11"/>
      <c r="AK8" s="11"/>
    </row>
    <row r="9" spans="1:45" x14ac:dyDescent="0.25">
      <c r="B9" t="s">
        <v>123</v>
      </c>
      <c r="C9" s="37">
        <v>0.06</v>
      </c>
      <c r="F9">
        <v>60</v>
      </c>
      <c r="G9">
        <f>_xll.acq_options_blackscholes_price($C$4,F9,$C$6,$C$8,$C$9,$C$7,TRUE)</f>
        <v>22.243713555485982</v>
      </c>
      <c r="H9">
        <f>_xll.acq_options_blackscholes_price($C$4,F9,$C$6,$C$8,$C$9,$C$7,FALSE)</f>
        <v>1.8537611472736195</v>
      </c>
      <c r="I9">
        <f t="shared" si="0"/>
        <v>0</v>
      </c>
      <c r="L9" s="12">
        <v>0.25</v>
      </c>
      <c r="M9">
        <f>_xll.acq_options_blackscholes_price($C$4,$C$5,$C$6,$C$8,$C$9,$L9,TRUE)</f>
        <v>6.4442183619940856</v>
      </c>
      <c r="N9">
        <f>_xll.acq_options_blackscholes_price($C$4,$C$5,$C$6,$C$8,$C$9,$L9,FALSE)</f>
        <v>24.103442933810278</v>
      </c>
      <c r="O9" s="12">
        <f>_xll.acq_options_blackscholes_vol($C$4,$C$5,$C$6,$C$8,$C$9,$M9,TRUE)</f>
        <v>0.25000000000000017</v>
      </c>
      <c r="P9" s="12">
        <f>_xll.acq_options_blackscholes_vol($C$4,$C$5,$C$6,$C$8,$C$9,$N9,FALSE)</f>
        <v>0.24999999999999997</v>
      </c>
      <c r="Q9" s="11"/>
      <c r="R9" s="13">
        <v>60</v>
      </c>
      <c r="S9">
        <f>_xll.acq_options_blackscholes_greeks(S$3,$R9,$C$5,$C$6,$C$8,$C$9,$C$7,TRUE)</f>
        <v>0.22342143855094831</v>
      </c>
      <c r="T9">
        <f>_xll.acq_options_blackscholes_greeks(T$3,$R9,$C$5,$C$6,$C$8,$C$9,$C$7,TRUE)</f>
        <v>3.2770661427279184E-2</v>
      </c>
      <c r="U9">
        <f>_xll.acq_options_blackscholes_greeks(U$3,$R9,$C$5,$C$6,$C$8,$C$9,$C$7,TRUE)</f>
        <v>3.7551860403523467E-3</v>
      </c>
      <c r="V9">
        <f>_xll.acq_options_blackscholes_greeks(V$3,$R9,$C$5,$C$6,$C$8,$C$9,$C$7,TRUE)</f>
        <v>6.7593348726342262</v>
      </c>
      <c r="W9">
        <f>_xll.acq_options_blackscholes_greeks(W$3,$R9,$C$5,$C$6,$C$8,$C$9,$C$7,TRUE)</f>
        <v>125.25315954116823</v>
      </c>
      <c r="X9">
        <f>_xll.acq_options_blackscholes_greeks(X$3,$R9,$C$5,$C$6,$C$8,$C$9,$C$7,TRUE)</f>
        <v>0.7444569472419541</v>
      </c>
      <c r="Y9">
        <f>_xll.acq_options_blackscholes_greeks(Y$3,$R9,$C$5,$C$6,$C$8,$C$9,$C$7,TRUE)</f>
        <v>4.3570456177145074</v>
      </c>
      <c r="Z9">
        <f>_xll.acq_options_blackscholes_greeks(Z$3,$R9,$C$5,$C$6,$C$8,$C$9,$C$7,TRUE)</f>
        <v>-0.18725537870887998</v>
      </c>
      <c r="AA9">
        <f>_xll.acq_options_blackscholes_greeks(AA$3,$R9,$C$5,$C$6,$C$8,$C$9,$C$7,TRUE)</f>
        <v>-1.8799591707195785E-2</v>
      </c>
      <c r="AB9">
        <f>_xll.acq_options_blackscholes_greeks(AB$3,$R9,$C$5,$C$6,$C$8,$C$9,$C$7,TRUE)</f>
        <v>-4.9155992140918778</v>
      </c>
      <c r="AD9" t="s">
        <v>110</v>
      </c>
      <c r="AE9" s="14">
        <v>1E-4</v>
      </c>
      <c r="AF9" s="17">
        <f>_xll.acq_diff1_c3pt(AD5:AD7,AE5:AE7)</f>
        <v>0.26820485444110143</v>
      </c>
      <c r="AG9" s="17">
        <f>_xll.acq_diff2_c3pt(AD5:AD7,AE5:AE7)</f>
        <v>1.0692957629543667E-2</v>
      </c>
      <c r="AH9" s="17">
        <f>_xll.acq_diff1_c3pt(AD5:AD7,AF5:AF7)</f>
        <v>1.0693276428974954E-2</v>
      </c>
      <c r="AJ9" s="11"/>
      <c r="AK9" s="11"/>
    </row>
    <row r="10" spans="1:45" x14ac:dyDescent="0.25">
      <c r="B10" t="s">
        <v>91</v>
      </c>
      <c r="C10" s="5" t="b">
        <v>1</v>
      </c>
      <c r="F10">
        <v>70</v>
      </c>
      <c r="G10">
        <f>_xll.acq_options_blackscholes_price($C$4,F10,$C$6,$C$8,$C$9,$C$7,TRUE)</f>
        <v>15.493266899479522</v>
      </c>
      <c r="H10">
        <f>_xll.acq_options_blackscholes_price($C$4,F10,$C$6,$C$8,$C$9,$C$7,FALSE)</f>
        <v>4.6156087362742966</v>
      </c>
      <c r="I10">
        <f t="shared" si="0"/>
        <v>0</v>
      </c>
      <c r="L10" s="12">
        <v>0.3</v>
      </c>
      <c r="M10">
        <f>_xll.acq_options_blackscholes_price($C$4,$C$5,$C$6,$C$8,$C$9,$L10,TRUE)</f>
        <v>8.8070232237120756</v>
      </c>
      <c r="N10">
        <f>_xll.acq_options_blackscholes_price($C$4,$C$5,$C$6,$C$8,$C$9,$L10,FALSE)</f>
        <v>26.466247795528261</v>
      </c>
      <c r="O10" s="12">
        <f>_xll.acq_options_blackscholes_vol($C$4,$C$5,$C$6,$C$8,$C$9,$M10,TRUE)</f>
        <v>0.2999999999999941</v>
      </c>
      <c r="P10" s="12">
        <f>_xll.acq_options_blackscholes_vol($C$4,$C$5,$C$6,$C$8,$C$9,$N10,FALSE)</f>
        <v>0.29999999999999388</v>
      </c>
      <c r="Q10" s="11"/>
      <c r="R10" s="13">
        <v>70</v>
      </c>
      <c r="S10">
        <f>_xll.acq_options_blackscholes_greeks(S$3,$R10,$C$5,$C$6,$C$8,$C$9,$C$7,TRUE)</f>
        <v>0.78884709856604118</v>
      </c>
      <c r="T10">
        <f>_xll.acq_options_blackscholes_greeks(T$3,$R10,$C$5,$C$6,$C$8,$C$9,$C$7,TRUE)</f>
        <v>8.5397895859194065E-2</v>
      </c>
      <c r="U10">
        <f>_xll.acq_options_blackscholes_greeks(U$3,$R10,$C$5,$C$6,$C$8,$C$9,$C$7,TRUE)</f>
        <v>6.7848453499034789E-3</v>
      </c>
      <c r="V10">
        <f>_xll.acq_options_blackscholes_greeks(V$3,$R10,$C$5,$C$6,$C$8,$C$9,$C$7,TRUE)</f>
        <v>16.622871107263528</v>
      </c>
      <c r="W10">
        <f>_xll.acq_options_blackscholes_greeks(W$3,$R10,$C$5,$C$6,$C$8,$C$9,$C$7,TRUE)</f>
        <v>171.25879554454812</v>
      </c>
      <c r="X10">
        <f>_xll.acq_options_blackscholes_greeks(X$3,$R10,$C$5,$C$6,$C$8,$C$9,$C$7,TRUE)</f>
        <v>1.2031988980533599</v>
      </c>
      <c r="Y10">
        <f>_xll.acq_options_blackscholes_greeks(Y$3,$R10,$C$5,$C$6,$C$8,$C$9,$C$7,TRUE)</f>
        <v>12.972514028943859</v>
      </c>
      <c r="Z10">
        <f>_xll.acq_options_blackscholes_greeks(Z$3,$R10,$C$5,$C$6,$C$8,$C$9,$C$7,TRUE)</f>
        <v>-0.41002379391347687</v>
      </c>
      <c r="AA10">
        <f>_xll.acq_options_blackscholes_greeks(AA$3,$R10,$C$5,$C$6,$C$8,$C$9,$C$7,TRUE)</f>
        <v>-2.400651519085302E-2</v>
      </c>
      <c r="AB10">
        <f>_xll.acq_options_blackscholes_greeks(AB$3,$R10,$C$5,$C$6,$C$8,$C$9,$C$7,TRUE)</f>
        <v>-14.944631775358962</v>
      </c>
      <c r="AD10" t="s">
        <v>111</v>
      </c>
      <c r="AF10" s="36">
        <f>AF6-AF9</f>
        <v>-6.3076210921053644E-12</v>
      </c>
      <c r="AG10" s="36">
        <f>AG6-AG9</f>
        <v>3.1879922541069861E-7</v>
      </c>
      <c r="AH10" s="36">
        <f>AG6-AH9</f>
        <v>-2.0587698212892747E-13</v>
      </c>
      <c r="AJ10" s="11"/>
      <c r="AK10" s="11"/>
    </row>
    <row r="11" spans="1:45" x14ac:dyDescent="0.25">
      <c r="F11">
        <v>80</v>
      </c>
      <c r="G11">
        <f>_xll.acq_options_blackscholes_price($C$4,F11,$C$6,$C$8,$C$9,$C$7,TRUE)</f>
        <v>10.344030423896939</v>
      </c>
      <c r="H11">
        <f>_xll.acq_options_blackscholes_price($C$4,F11,$C$6,$C$8,$C$9,$C$7,FALSE)</f>
        <v>8.9786665056988539</v>
      </c>
      <c r="I11">
        <f t="shared" si="0"/>
        <v>4.8849813083506888E-15</v>
      </c>
      <c r="L11" s="12">
        <v>0.35</v>
      </c>
      <c r="M11">
        <f>_xll.acq_options_blackscholes_price($C$4,$C$5,$C$6,$C$8,$C$9,$L11,TRUE)</f>
        <v>11.22412967011266</v>
      </c>
      <c r="N11">
        <f>_xll.acq_options_blackscholes_price($C$4,$C$5,$C$6,$C$8,$C$9,$L11,FALSE)</f>
        <v>28.883354241928863</v>
      </c>
      <c r="O11" s="12">
        <f>_xll.acq_options_blackscholes_vol($C$4,$C$5,$C$6,$C$8,$C$9,$M11,TRUE)</f>
        <v>0.35</v>
      </c>
      <c r="P11" s="12">
        <f>_xll.acq_options_blackscholes_vol($C$4,$C$5,$C$6,$C$8,$C$9,$N11,FALSE)</f>
        <v>0.35000000000000026</v>
      </c>
      <c r="Q11" s="11"/>
      <c r="R11" s="13">
        <v>80</v>
      </c>
      <c r="S11">
        <f>_xll.acq_options_blackscholes_greeks(S$3,$R11,$C$5,$C$6,$C$8,$C$9,$C$7,TRUE)</f>
        <v>2.0286673083600917</v>
      </c>
      <c r="T11">
        <f>_xll.acq_options_blackscholes_greeks(T$3,$R11,$C$5,$C$6,$C$8,$C$9,$C$7,TRUE)</f>
        <v>0.16685774370420753</v>
      </c>
      <c r="U11">
        <f>_xll.acq_options_blackscholes_greeks(U$3,$R11,$C$5,$C$6,$C$8,$C$9,$C$7,TRUE)</f>
        <v>9.3469086174212037E-3</v>
      </c>
      <c r="V11">
        <f>_xll.acq_options_blackscholes_greeks(V$3,$R11,$C$5,$C$6,$C$8,$C$9,$C$7,TRUE)</f>
        <v>29.910107575747858</v>
      </c>
      <c r="W11">
        <f>_xll.acq_options_blackscholes_greeks(W$3,$R11,$C$5,$C$6,$C$8,$C$9,$C$7,TRUE)</f>
        <v>152.42453245298654</v>
      </c>
      <c r="X11">
        <f>_xll.acq_options_blackscholes_greeks(X$3,$R11,$C$5,$C$6,$C$8,$C$9,$C$7,TRUE)</f>
        <v>1.3950954701255749</v>
      </c>
      <c r="Y11">
        <f>_xll.acq_options_blackscholes_greeks(Y$3,$R11,$C$5,$C$6,$C$8,$C$9,$C$7,TRUE)</f>
        <v>28.299880469941275</v>
      </c>
      <c r="Z11">
        <f>_xll.acq_options_blackscholes_greeks(Z$3,$R11,$C$5,$C$6,$C$8,$C$9,$C$7,TRUE)</f>
        <v>-0.62188617700924842</v>
      </c>
      <c r="AA11">
        <f>_xll.acq_options_blackscholes_greeks(AA$3,$R11,$C$5,$C$6,$C$8,$C$9,$C$7,TRUE)</f>
        <v>-1.5882246607022699E-2</v>
      </c>
      <c r="AB11">
        <f>_xll.acq_options_blackscholes_greeks(AB$3,$R11,$C$5,$C$6,$C$8,$C$9,$C$7,TRUE)</f>
        <v>-33.371548740841504</v>
      </c>
      <c r="AF11" s="11"/>
      <c r="AG11" s="11"/>
      <c r="AJ11" s="11"/>
      <c r="AK11" s="11"/>
    </row>
    <row r="12" spans="1:45" x14ac:dyDescent="0.25">
      <c r="F12">
        <v>90</v>
      </c>
      <c r="G12">
        <f>_xll.acq_options_blackscholes_price($C$4,F12,$C$6,$C$8,$C$9,$C$7,TRUE)</f>
        <v>6.6735100356443873</v>
      </c>
      <c r="H12">
        <f>_xll.acq_options_blackscholes_price($C$4,F12,$C$6,$C$8,$C$9,$C$7,FALSE)</f>
        <v>14.820440362453446</v>
      </c>
      <c r="I12">
        <f t="shared" si="0"/>
        <v>0</v>
      </c>
      <c r="L12" s="12">
        <v>0.4</v>
      </c>
      <c r="M12">
        <f>_xll.acq_options_blackscholes_price($C$4,$C$5,$C$6,$C$8,$C$9,$L12,TRUE)</f>
        <v>13.66342170710076</v>
      </c>
      <c r="N12">
        <f>_xll.acq_options_blackscholes_price($C$4,$C$5,$C$6,$C$8,$C$9,$L12,FALSE)</f>
        <v>31.322646278916956</v>
      </c>
      <c r="O12" s="12">
        <f>_xll.acq_options_blackscholes_vol($C$4,$C$5,$C$6,$C$8,$C$9,$M12,TRUE)</f>
        <v>0.39999999999999891</v>
      </c>
      <c r="P12" s="12">
        <f>_xll.acq_options_blackscholes_vol($C$4,$C$5,$C$6,$C$8,$C$9,$N12,FALSE)</f>
        <v>0.39999999999999891</v>
      </c>
      <c r="Q12" s="11"/>
      <c r="R12" s="13">
        <v>90</v>
      </c>
      <c r="S12">
        <f>_xll.acq_options_blackscholes_greeks(S$3,$R12,$C$5,$C$6,$C$8,$C$9,$C$7,TRUE)</f>
        <v>4.1927508505818558</v>
      </c>
      <c r="T12">
        <f>_xll.acq_options_blackscholes_greeks(T$3,$R12,$C$5,$C$6,$C$8,$C$9,$C$7,TRUE)</f>
        <v>0.2682048544347938</v>
      </c>
      <c r="U12">
        <f>_xll.acq_options_blackscholes_greeks(U$3,$R12,$C$5,$C$6,$C$8,$C$9,$C$7,TRUE)</f>
        <v>1.0693276428769077E-2</v>
      </c>
      <c r="V12">
        <f>_xll.acq_options_blackscholes_greeks(V$3,$R12,$C$5,$C$6,$C$8,$C$9,$C$7,TRUE)</f>
        <v>43.307769536514776</v>
      </c>
      <c r="W12">
        <f>_xll.acq_options_blackscholes_greeks(W$3,$R12,$C$5,$C$6,$C$8,$C$9,$C$7,TRUE)</f>
        <v>85.907330130391927</v>
      </c>
      <c r="X12">
        <f>_xll.acq_options_blackscholes_greeks(X$3,$R12,$C$5,$C$6,$C$8,$C$9,$C$7,TRUE)</f>
        <v>1.2287882623149675</v>
      </c>
      <c r="Y12">
        <f>_xll.acq_options_blackscholes_greeks(Y$3,$R12,$C$5,$C$6,$C$8,$C$9,$C$7,TRUE)</f>
        <v>49.864215121373967</v>
      </c>
      <c r="Z12">
        <f>_xll.acq_options_blackscholes_greeks(Z$3,$R12,$C$5,$C$6,$C$8,$C$9,$C$7,TRUE)</f>
        <v>-0.68291828848369618</v>
      </c>
      <c r="AA12">
        <f>_xll.acq_options_blackscholes_greeks(AA$3,$R12,$C$5,$C$6,$C$8,$C$9,$C$7,TRUE)</f>
        <v>5.4365559170575922E-3</v>
      </c>
      <c r="AB12">
        <f>_xll.acq_options_blackscholes_greeks(AB$3,$R12,$C$5,$C$6,$C$8,$C$9,$C$7,TRUE)</f>
        <v>-60.346092247828608</v>
      </c>
      <c r="AF12" s="11"/>
      <c r="AG12" s="11"/>
      <c r="AJ12" s="11"/>
      <c r="AK12" s="11"/>
      <c r="AN12" s="11"/>
    </row>
    <row r="13" spans="1:45" ht="15.75" thickBot="1" x14ac:dyDescent="0.3">
      <c r="F13">
        <v>100</v>
      </c>
      <c r="G13">
        <f>_xll.acq_options_blackscholes_price($C$4,F13,$C$6,$C$8,$C$9,$C$7,TRUE)</f>
        <v>4.1927508505818558</v>
      </c>
      <c r="H13">
        <f>_xll.acq_options_blackscholes_price($C$4,F13,$C$6,$C$8,$C$9,$C$7,FALSE)</f>
        <v>21.851975422398048</v>
      </c>
      <c r="I13">
        <f t="shared" si="0"/>
        <v>0</v>
      </c>
      <c r="L13" s="12">
        <v>0.45</v>
      </c>
      <c r="M13">
        <f>_xll.acq_options_blackscholes_price($C$4,$C$5,$C$6,$C$8,$C$9,$L13,TRUE)</f>
        <v>16.1048798934135</v>
      </c>
      <c r="N13">
        <f>_xll.acq_options_blackscholes_price($C$4,$C$5,$C$6,$C$8,$C$9,$L13,FALSE)</f>
        <v>33.7641044652297</v>
      </c>
      <c r="O13" s="12">
        <f>_xll.acq_options_blackscholes_vol($C$4,$C$5,$C$6,$C$8,$C$9,$M13,TRUE)</f>
        <v>0.45000000000001383</v>
      </c>
      <c r="P13" s="12">
        <f>_xll.acq_options_blackscholes_vol($C$4,$C$5,$C$6,$C$8,$C$9,$N13,FALSE)</f>
        <v>0.45000000000001394</v>
      </c>
      <c r="R13" s="13">
        <v>100</v>
      </c>
      <c r="S13">
        <f>_xll.acq_options_blackscholes_greeks(S$3,$R13,$C$5,$C$6,$C$8,$C$9,$C$7,TRUE)</f>
        <v>7.415011150715987</v>
      </c>
      <c r="T13">
        <f>_xll.acq_options_blackscholes_greeks(T$3,$R13,$C$5,$C$6,$C$8,$C$9,$C$7,TRUE)</f>
        <v>0.37628735193311874</v>
      </c>
      <c r="U13">
        <f>_xll.acq_options_blackscholes_greeks(U$3,$R13,$C$5,$C$6,$C$8,$C$9,$C$7,TRUE)</f>
        <v>1.0723516207440623E-2</v>
      </c>
      <c r="V13">
        <f>_xll.acq_options_blackscholes_greeks(V$3,$R13,$C$5,$C$6,$C$8,$C$9,$C$7,TRUE)</f>
        <v>53.617581037203124</v>
      </c>
      <c r="W13">
        <f>_xll.acq_options_blackscholes_greeks(W$3,$R13,$C$5,$C$6,$C$8,$C$9,$C$7,TRUE)</f>
        <v>20.106592888951145</v>
      </c>
      <c r="X13">
        <f>_xll.acq_options_blackscholes_greeks(X$3,$R13,$C$5,$C$6,$C$8,$C$9,$C$7,TRUE)</f>
        <v>0.80426371555804654</v>
      </c>
      <c r="Y13">
        <f>_xll.acq_options_blackscholes_greeks(Y$3,$R13,$C$5,$C$6,$C$8,$C$9,$C$7,TRUE)</f>
        <v>75.534310106489713</v>
      </c>
      <c r="Z13">
        <f>_xll.acq_options_blackscholes_greeks(Z$3,$R13,$C$5,$C$6,$C$8,$C$9,$C$7,TRUE)</f>
        <v>-0.49125361074132989</v>
      </c>
      <c r="AA13">
        <f>_xll.acq_options_blackscholes_greeks(AA$3,$R13,$C$5,$C$6,$C$8,$C$9,$C$7,TRUE)</f>
        <v>3.3300757323427736E-2</v>
      </c>
      <c r="AB13">
        <f>_xll.acq_options_blackscholes_greeks(AB$3,$R13,$C$5,$C$6,$C$8,$C$9,$C$7,TRUE)</f>
        <v>-94.071837983279693</v>
      </c>
      <c r="AD13" s="3" t="s">
        <v>114</v>
      </c>
      <c r="AE13" s="3"/>
      <c r="AF13" s="3"/>
      <c r="AG13" s="3"/>
      <c r="AJ13" s="11"/>
      <c r="AK13" s="11"/>
      <c r="AN13" s="11"/>
    </row>
    <row r="14" spans="1:45" x14ac:dyDescent="0.25">
      <c r="F14">
        <v>110</v>
      </c>
      <c r="G14">
        <f>_xll.acq_options_blackscholes_price($C$4,F14,$C$6,$C$8,$C$9,$C$7,TRUE)</f>
        <v>2.5824603613674348</v>
      </c>
      <c r="H14">
        <f>_xll.acq_options_blackscholes_price($C$4,F14,$C$6,$C$8,$C$9,$C$7,FALSE)</f>
        <v>29.753979178190775</v>
      </c>
      <c r="I14">
        <f t="shared" si="0"/>
        <v>0</v>
      </c>
      <c r="L14" s="12">
        <v>0.5</v>
      </c>
      <c r="M14">
        <f>_xll.acq_options_blackscholes_price($C$4,$C$5,$C$6,$C$8,$C$9,$L14,TRUE)</f>
        <v>18.534917015705204</v>
      </c>
      <c r="N14">
        <f>_xll.acq_options_blackscholes_price($C$4,$C$5,$C$6,$C$8,$C$9,$L14,FALSE)</f>
        <v>36.194141587521401</v>
      </c>
      <c r="O14" s="12">
        <f>_xll.acq_options_blackscholes_vol($C$4,$C$5,$C$6,$C$8,$C$9,$M14,TRUE)</f>
        <v>0.50000000000001532</v>
      </c>
      <c r="P14" s="12">
        <f>_xll.acq_options_blackscholes_vol($C$4,$C$5,$C$6,$C$8,$C$9,$N14,FALSE)</f>
        <v>0.50000000000001543</v>
      </c>
      <c r="R14" s="13">
        <v>110</v>
      </c>
      <c r="S14">
        <f>_xll.acq_options_blackscholes_greeks(S$3,$R14,$C$5,$C$6,$C$8,$C$9,$C$7,TRUE)</f>
        <v>11.701385112654819</v>
      </c>
      <c r="T14">
        <f>_xll.acq_options_blackscholes_greeks(T$3,$R14,$C$5,$C$6,$C$8,$C$9,$C$7,TRUE)</f>
        <v>0.47938577182957259</v>
      </c>
      <c r="U14">
        <f>_xll.acq_options_blackscholes_greeks(U$3,$R14,$C$5,$C$6,$C$8,$C$9,$C$7,TRUE)</f>
        <v>9.7704630939083499E-3</v>
      </c>
      <c r="V14">
        <f>_xll.acq_options_blackscholes_greeks(V$3,$R14,$C$5,$C$6,$C$8,$C$9,$C$7,TRUE)</f>
        <v>59.111301718145533</v>
      </c>
      <c r="W14">
        <f>_xll.acq_options_blackscholes_greeks(W$3,$R14,$C$5,$C$6,$C$8,$C$9,$C$7,TRUE)</f>
        <v>-7.3239067942378693</v>
      </c>
      <c r="X14">
        <f>_xll.acq_options_blackscholes_greeks(X$3,$R14,$C$5,$C$6,$C$8,$C$9,$C$7,TRUE)</f>
        <v>0.29388967840887975</v>
      </c>
      <c r="Y14">
        <f>_xll.acq_options_blackscholes_greeks(Y$3,$R14,$C$5,$C$6,$C$8,$C$9,$C$7,TRUE)</f>
        <v>102.57762447149538</v>
      </c>
      <c r="Z14">
        <f>_xll.acq_options_blackscholes_greeks(Z$3,$R14,$C$5,$C$6,$C$8,$C$9,$C$7,TRUE)</f>
        <v>-2.112697042260514E-2</v>
      </c>
      <c r="AA14">
        <f>_xll.acq_options_blackscholes_greeks(AA$3,$R14,$C$5,$C$6,$C$8,$C$9,$C$7,TRUE)</f>
        <v>5.9997596786615898E-2</v>
      </c>
      <c r="AB14">
        <f>_xll.acq_options_blackscholes_greeks(AB$3,$R14,$C$5,$C$6,$C$8,$C$9,$C$7,TRUE)</f>
        <v>-131.83108725313247</v>
      </c>
      <c r="AD14" t="s">
        <v>96</v>
      </c>
      <c r="AE14" t="s">
        <v>99</v>
      </c>
      <c r="AF14" t="s">
        <v>102</v>
      </c>
      <c r="AG14" t="s">
        <v>103</v>
      </c>
      <c r="AN14" s="11"/>
    </row>
    <row r="15" spans="1:45" x14ac:dyDescent="0.25">
      <c r="F15">
        <v>120</v>
      </c>
      <c r="G15">
        <f>_xll.acq_options_blackscholes_price($C$4,F15,$C$6,$C$8,$C$9,$C$7,TRUE)</f>
        <v>1.5680166226316086</v>
      </c>
      <c r="H15">
        <f>_xll.acq_options_blackscholes_price($C$4,F15,$C$6,$C$8,$C$9,$C$7,FALSE)</f>
        <v>38.251829684462081</v>
      </c>
      <c r="I15">
        <f t="shared" si="0"/>
        <v>0</v>
      </c>
      <c r="L15" s="12">
        <v>0.55000000000000004</v>
      </c>
      <c r="M15">
        <f>_xll.acq_options_blackscholes_price($C$4,$C$5,$C$6,$C$8,$C$9,$L15,TRUE)</f>
        <v>20.943647876486793</v>
      </c>
      <c r="N15">
        <f>_xll.acq_options_blackscholes_price($C$4,$C$5,$C$6,$C$8,$C$9,$L15,FALSE)</f>
        <v>38.602872448302996</v>
      </c>
      <c r="O15" s="12">
        <f>_xll.acq_options_blackscholes_vol($C$4,$C$5,$C$6,$C$8,$C$9,$M15,TRUE)</f>
        <v>0.55000000000000049</v>
      </c>
      <c r="P15" s="12">
        <f>_xll.acq_options_blackscholes_vol($C$4,$C$5,$C$6,$C$8,$C$9,$N15,FALSE)</f>
        <v>0.55000000000000071</v>
      </c>
    </row>
    <row r="16" spans="1:45" x14ac:dyDescent="0.25">
      <c r="F16">
        <v>130</v>
      </c>
      <c r="G16">
        <f>_xll.acq_options_blackscholes_price($C$4,F16,$C$6,$C$8,$C$9,$C$7,TRUE)</f>
        <v>0.94268348074284525</v>
      </c>
      <c r="H16">
        <f>_xll.acq_options_blackscholes_price($C$4,F16,$C$6,$C$8,$C$9,$C$7,FALSE)</f>
        <v>47.138790787580461</v>
      </c>
      <c r="I16">
        <f t="shared" si="0"/>
        <v>0</v>
      </c>
      <c r="L16" s="12">
        <v>0.6</v>
      </c>
      <c r="M16">
        <f>_xll.acq_options_blackscholes_price($C$4,$C$5,$C$6,$C$8,$C$9,$L16,TRUE)</f>
        <v>23.323473779889238</v>
      </c>
      <c r="N16">
        <f>_xll.acq_options_blackscholes_price($C$4,$C$5,$C$6,$C$8,$C$9,$L16,FALSE)</f>
        <v>40.982698351705444</v>
      </c>
      <c r="O16" s="12">
        <f>_xll.acq_options_blackscholes_vol($C$4,$C$5,$C$6,$C$8,$C$9,$M16,TRUE)</f>
        <v>0.60000000000000009</v>
      </c>
      <c r="P16" s="12">
        <f>_xll.acq_options_blackscholes_vol($C$4,$C$5,$C$6,$C$8,$C$9,$N16,FALSE)</f>
        <v>0.60000000000000042</v>
      </c>
      <c r="AD16" s="15">
        <f>AD17-AE20</f>
        <v>0.19990000000000002</v>
      </c>
      <c r="AE16">
        <f>_xll.acq_options_blackscholes_price($C$4,$C$5,$C$6,$C$9,$C$8,AD16,$C$10)</f>
        <v>10.550537451075833</v>
      </c>
      <c r="AF16" s="13">
        <f>_xll.acq_options_blackscholes_vega($C$4,$C$5,$C$6,$C$9,$C$8,AD16)</f>
        <v>53.467042623037301</v>
      </c>
      <c r="AG16" s="13">
        <f>_xll.acq_options_blackscholes_vomma($C$4,$C$5,$C$6,$C$9,$C$8,AD16)</f>
        <v>-6.6031041777243216</v>
      </c>
      <c r="AH16" s="11"/>
    </row>
    <row r="17" spans="6:45" ht="15.75" thickBot="1" x14ac:dyDescent="0.3">
      <c r="F17">
        <v>140</v>
      </c>
      <c r="G17">
        <f>_xll.acq_options_blackscholes_price($C$4,F17,$C$6,$C$8,$C$9,$C$7,TRUE)</f>
        <v>0.56310882469903589</v>
      </c>
      <c r="H17">
        <f>_xll.acq_options_blackscholes_price($C$4,F17,$C$6,$C$8,$C$9,$C$7,FALSE)</f>
        <v>56.271510376543773</v>
      </c>
      <c r="I17">
        <f t="shared" si="0"/>
        <v>0</v>
      </c>
      <c r="L17" s="12">
        <v>0.65</v>
      </c>
      <c r="M17">
        <f>_xll.acq_options_blackscholes_price($C$4,$C$5,$C$6,$C$8,$C$9,$L17,TRUE)</f>
        <v>25.668303263252522</v>
      </c>
      <c r="N17">
        <f>_xll.acq_options_blackscholes_price($C$4,$C$5,$C$6,$C$8,$C$9,$L17,FALSE)</f>
        <v>43.327527835068707</v>
      </c>
      <c r="O17" s="12">
        <f>_xll.acq_options_blackscholes_vol($C$4,$C$5,$C$6,$C$8,$C$9,$M17,TRUE)</f>
        <v>0.65000000000000047</v>
      </c>
      <c r="P17" s="12">
        <f>_xll.acq_options_blackscholes_vol($C$4,$C$5,$C$6,$C$8,$C$9,$N17,FALSE)</f>
        <v>0.65</v>
      </c>
      <c r="S17" s="45" t="s">
        <v>108</v>
      </c>
      <c r="T17" s="45"/>
      <c r="U17" s="45"/>
      <c r="V17" s="45"/>
      <c r="W17" s="45"/>
      <c r="X17" s="45"/>
      <c r="Y17" s="45"/>
      <c r="Z17" s="45"/>
      <c r="AA17" s="38"/>
      <c r="AB17" s="38"/>
      <c r="AD17" s="16">
        <f>C7</f>
        <v>0.2</v>
      </c>
      <c r="AE17">
        <f>_xll.acq_options_blackscholes_price($C$4,$C$5,$C$6,$C$9,$C$8,AD17,$C$10)</f>
        <v>10.555884122316996</v>
      </c>
      <c r="AF17" s="13">
        <f>_xll.acq_options_blackscholes_vega($C$4,$C$5,$C$6,$C$9,$C$8,AD17)</f>
        <v>53.466382143845387</v>
      </c>
      <c r="AG17" s="13">
        <f t="shared" ref="AG17:AG18" si="1">_xll.acq_options_blackscholes_vomma($C$4,$C$5,$C$6,$C$9,$C$8,AD17)</f>
        <v>-6.6064796009357405</v>
      </c>
      <c r="AH17" s="11"/>
    </row>
    <row r="18" spans="6:45" x14ac:dyDescent="0.25">
      <c r="F18">
        <v>150</v>
      </c>
      <c r="G18">
        <f>_xll.acq_options_blackscholes_price($C$4,F18,$C$6,$C$8,$C$9,$C$7,TRUE)</f>
        <v>0.33513215782642281</v>
      </c>
      <c r="H18">
        <f>_xll.acq_options_blackscholes_price($C$4,F18,$C$6,$C$8,$C$9,$C$7,FALSE)</f>
        <v>65.555827954678307</v>
      </c>
      <c r="I18">
        <f t="shared" si="0"/>
        <v>0</v>
      </c>
      <c r="L18" s="12">
        <v>0.7</v>
      </c>
      <c r="M18">
        <f>_xll.acq_options_blackscholes_price($C$4,$C$5,$C$6,$C$8,$C$9,$L18,TRUE)</f>
        <v>27.973101273051945</v>
      </c>
      <c r="N18">
        <f>_xll.acq_options_blackscholes_price($C$4,$C$5,$C$6,$C$8,$C$9,$L18,FALSE)</f>
        <v>45.632325844868149</v>
      </c>
      <c r="O18" s="12">
        <f>_xll.acq_options_blackscholes_vol($C$4,$C$5,$C$6,$C$8,$C$9,$M18,TRUE)</f>
        <v>0.69999999999999962</v>
      </c>
      <c r="P18" s="12">
        <f>_xll.acq_options_blackscholes_vol($C$4,$C$5,$C$6,$C$8,$C$9,$N18,FALSE)</f>
        <v>0.70000000000000007</v>
      </c>
      <c r="R18" t="s">
        <v>125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A18" t="s">
        <v>126</v>
      </c>
      <c r="AB18" t="s">
        <v>127</v>
      </c>
      <c r="AD18" s="15">
        <f>AD17+AE20</f>
        <v>0.2001</v>
      </c>
      <c r="AE18">
        <f>_xll.acq_options_blackscholes_price($C$4,$C$5,$C$6,$C$9,$C$8,AD18,$C$10)</f>
        <v>10.561230727493346</v>
      </c>
      <c r="AF18" s="13">
        <f>_xll.acq_options_blackscholes_vega($C$4,$C$5,$C$6,$C$9,$C$8,AD18)</f>
        <v>53.465721327129046</v>
      </c>
      <c r="AG18" s="13">
        <f t="shared" si="1"/>
        <v>-6.6098546665583333</v>
      </c>
      <c r="AJ18" s="11"/>
      <c r="AK18" s="11"/>
      <c r="AM18" s="11"/>
      <c r="AN18" s="11"/>
      <c r="AO18" s="11"/>
      <c r="AP18" s="11"/>
      <c r="AQ18" s="11"/>
      <c r="AR18" s="11"/>
      <c r="AS18" s="11"/>
    </row>
    <row r="19" spans="6:45" x14ac:dyDescent="0.25">
      <c r="F19">
        <v>160</v>
      </c>
      <c r="G19">
        <f>_xll.acq_options_blackscholes_price($C$4,F19,$C$6,$C$8,$C$9,$C$7,TRUE)</f>
        <v>0.19914227463693535</v>
      </c>
      <c r="H19">
        <f>_xll.acq_options_blackscholes_price($C$4,F19,$C$6,$C$8,$C$9,$C$7,FALSE)</f>
        <v>74.932132316495967</v>
      </c>
      <c r="I19">
        <f t="shared" si="0"/>
        <v>0</v>
      </c>
      <c r="L19" s="12">
        <v>0.75</v>
      </c>
      <c r="M19">
        <f>_xll.acq_options_blackscholes_price($C$4,$C$5,$C$6,$C$8,$C$9,$L19,TRUE)</f>
        <v>30.233617254186736</v>
      </c>
      <c r="N19">
        <f>_xll.acq_options_blackscholes_price($C$4,$C$5,$C$6,$C$8,$C$9,$L19,FALSE)</f>
        <v>47.892841826002929</v>
      </c>
      <c r="O19" s="12">
        <f>_xll.acq_options_blackscholes_vol($C$4,$C$5,$C$6,$C$8,$C$9,$M19,TRUE)</f>
        <v>0.75</v>
      </c>
      <c r="P19" s="12">
        <f>_xll.acq_options_blackscholes_vol($C$4,$C$5,$C$6,$C$8,$C$9,$N19,FALSE)</f>
        <v>0.75</v>
      </c>
      <c r="R19" s="13">
        <v>10</v>
      </c>
      <c r="S19">
        <f>_xll.acq_options_blackscholes_greeks(S$3,$R4,$C$5,$C$6,$C$8,$C$9,$C$7,FALSE)</f>
        <v>86.515862685820835</v>
      </c>
      <c r="T19">
        <f>_xll.acq_options_blackscholes_greeks(T$3,$R4,$C$5,$C$6,$C$8,$C$9,$C$7,FALSE)</f>
        <v>-0.86070797642501429</v>
      </c>
      <c r="U19">
        <f>_xll.acq_options_blackscholes_greeks(U$3,$R4,$C$5,$C$6,$C$8,$C$9,$C$7,FALSE)</f>
        <v>1.0409065647611264E-13</v>
      </c>
      <c r="V19">
        <f>_xll.acq_options_blackscholes_greeks(V$3,$R4,$C$5,$C$6,$C$8,$C$9,$C$7,FALSE)</f>
        <v>5.2045328238056334E-12</v>
      </c>
      <c r="W19">
        <f>_xll.acq_options_blackscholes_greeks(W$3,$R4,$C$5,$C$6,$C$8,$C$9,$C$7,FALSE)</f>
        <v>1.5014856339927515E-9</v>
      </c>
      <c r="X19">
        <f>_xll.acq_options_blackscholes_greeks(X$3,$R4,$C$5,$C$6,$C$8,$C$9,$C$7,FALSE)</f>
        <v>1.2764559619663899E-11</v>
      </c>
      <c r="Y19">
        <f>_xll.acq_options_blackscholes_greeks(Y$3,$R4,$C$5,$C$6,$C$8,$C$9,$C$7,FALSE)</f>
        <v>-237.80735612517745</v>
      </c>
      <c r="Z19">
        <f>_xll.acq_options_blackscholes_greeks(Z$3,$R4,$C$5,$C$6,$C$8,$C$9,$C$7,FALSE)</f>
        <v>1.3860340631462027</v>
      </c>
      <c r="AA19">
        <f>_xll.acq_options_blackscholes_greeks(AA$3,$R4,$C$5,$C$6,$C$8,$C$9,$C$7,FALSE)</f>
        <v>-5.1642478585969799E-2</v>
      </c>
      <c r="AB19">
        <f>_xll.acq_options_blackscholes_greeks(AB$3,$R4,$C$5,$C$6,$C$8,$C$9,$C$7,FALSE)</f>
        <v>21.517699410625358</v>
      </c>
      <c r="AF19" s="11"/>
      <c r="AG19" s="11"/>
    </row>
    <row r="20" spans="6:45" x14ac:dyDescent="0.25">
      <c r="F20">
        <v>170</v>
      </c>
      <c r="G20">
        <f>_xll.acq_options_blackscholes_price($C$4,F20,$C$6,$C$8,$C$9,$C$7,TRUE)</f>
        <v>0.11834665039209358</v>
      </c>
      <c r="H20">
        <f>_xll.acq_options_blackscholes_price($C$4,F20,$C$6,$C$8,$C$9,$C$7,FALSE)</f>
        <v>84.363630937258236</v>
      </c>
      <c r="I20">
        <f t="shared" si="0"/>
        <v>0</v>
      </c>
      <c r="L20" s="12">
        <v>0.8</v>
      </c>
      <c r="M20">
        <f>_xll.acq_options_blackscholes_price($C$4,$C$5,$C$6,$C$8,$C$9,$L20,TRUE)</f>
        <v>32.446215141327841</v>
      </c>
      <c r="N20">
        <f>_xll.acq_options_blackscholes_price($C$4,$C$5,$C$6,$C$8,$C$9,$L20,FALSE)</f>
        <v>50.105439713144037</v>
      </c>
      <c r="O20" s="12">
        <f>_xll.acq_options_blackscholes_vol($C$4,$C$5,$C$6,$C$8,$C$9,$M20,TRUE)</f>
        <v>0.79999999999996807</v>
      </c>
      <c r="P20" s="12">
        <f>_xll.acq_options_blackscholes_vol($C$4,$C$5,$C$6,$C$8,$C$9,$N20,FALSE)</f>
        <v>0.79999999999996818</v>
      </c>
      <c r="R20" s="13">
        <v>20</v>
      </c>
      <c r="S20">
        <f>_xll.acq_options_blackscholes_greeks(S$3,$R5,$C$5,$C$6,$C$8,$C$9,$C$7,FALSE)</f>
        <v>77.90878299262009</v>
      </c>
      <c r="T20">
        <f>_xll.acq_options_blackscholes_greeks(T$3,$R5,$C$5,$C$6,$C$8,$C$9,$C$7,FALSE)</f>
        <v>-0.8607079101115811</v>
      </c>
      <c r="U20">
        <f>_xll.acq_options_blackscholes_greeks(U$3,$R5,$C$5,$C$6,$C$8,$C$9,$C$7,FALSE)</f>
        <v>5.6895522682973573E-8</v>
      </c>
      <c r="V20">
        <f>_xll.acq_options_blackscholes_greeks(V$3,$R5,$C$5,$C$6,$C$8,$C$9,$C$7,FALSE)</f>
        <v>1.1379104536594717E-5</v>
      </c>
      <c r="W20">
        <f>_xll.acq_options_blackscholes_greeks(W$3,$R5,$C$5,$C$6,$C$8,$C$9,$C$7,FALSE)</f>
        <v>1.6611660453705963E-3</v>
      </c>
      <c r="X20">
        <f>_xll.acq_options_blackscholes_greeks(X$3,$R5,$C$5,$C$6,$C$8,$C$9,$C$7,FALSE)</f>
        <v>1.0010413965617799E-5</v>
      </c>
      <c r="Y20">
        <f>_xll.acq_options_blackscholes_greeks(Y$3,$R5,$C$5,$C$6,$C$8,$C$9,$C$7,FALSE)</f>
        <v>-237.80735298712924</v>
      </c>
      <c r="Z20">
        <f>_xll.acq_options_blackscholes_greeks(Z$3,$R5,$C$5,$C$6,$C$8,$C$9,$C$7,FALSE)</f>
        <v>0.86960887659895514</v>
      </c>
      <c r="AA20">
        <f>_xll.acq_options_blackscholes_greeks(AA$3,$R5,$C$5,$C$6,$C$8,$C$9,$C$7,FALSE)</f>
        <v>-5.1642829506835332E-2</v>
      </c>
      <c r="AB20">
        <f>_xll.acq_options_blackscholes_greeks(AB$3,$R5,$C$5,$C$6,$C$8,$C$9,$C$7,FALSE)</f>
        <v>43.035395505579054</v>
      </c>
      <c r="AD20" t="s">
        <v>113</v>
      </c>
      <c r="AE20" s="14">
        <v>1E-4</v>
      </c>
      <c r="AF20" s="17">
        <f>_xll.acq_diff1_c3pt(AD16:AD18,AE16:AE18)</f>
        <v>53.466382087569492</v>
      </c>
      <c r="AG20" s="17">
        <f>_xll.acq_diff2_c3pt(AD16:AD18,AE16:AE18)</f>
        <v>-6.6064814063800439</v>
      </c>
      <c r="AH20" s="17">
        <f>_xll.acq_diff1_c3pt(AD16:AD18,AF16:AF18)</f>
        <v>-6.6064795412764168</v>
      </c>
    </row>
    <row r="21" spans="6:45" x14ac:dyDescent="0.25">
      <c r="L21" s="12">
        <v>0.85</v>
      </c>
      <c r="M21">
        <f>_xll.acq_options_blackscholes_price($C$4,$C$5,$C$6,$C$8,$C$9,$L21,TRUE)</f>
        <v>34.607763555457403</v>
      </c>
      <c r="N21">
        <f>_xll.acq_options_blackscholes_price($C$4,$C$5,$C$6,$C$8,$C$9,$L21,FALSE)</f>
        <v>52.266988127273599</v>
      </c>
      <c r="O21" s="12">
        <f>_xll.acq_options_blackscholes_vol($C$4,$C$5,$C$6,$C$8,$C$9,$M21,TRUE)</f>
        <v>0.84999999999999987</v>
      </c>
      <c r="P21" s="12">
        <f>_xll.acq_options_blackscholes_vol($C$4,$C$5,$C$6,$C$8,$C$9,$N21,FALSE)</f>
        <v>0.84999999999999964</v>
      </c>
      <c r="R21" s="13">
        <v>30</v>
      </c>
      <c r="S21">
        <f>_xll.acq_options_blackscholes_greeks(S$3,$R6,$C$5,$C$6,$C$8,$C$9,$C$7,FALSE)</f>
        <v>69.301766743290912</v>
      </c>
      <c r="T21">
        <f>_xll.acq_options_blackscholes_greeks(T$3,$R6,$C$5,$C$6,$C$8,$C$9,$C$7,FALSE)</f>
        <v>-0.86067644445809477</v>
      </c>
      <c r="U21">
        <f>_xll.acq_options_blackscholes_greeks(U$3,$R6,$C$5,$C$6,$C$8,$C$9,$C$7,FALSE)</f>
        <v>1.3935342229900053E-5</v>
      </c>
      <c r="V21">
        <f>_xll.acq_options_blackscholes_greeks(V$3,$R6,$C$5,$C$6,$C$8,$C$9,$C$7,FALSE)</f>
        <v>6.2709040034550261E-3</v>
      </c>
      <c r="W21">
        <f>_xll.acq_options_blackscholes_greeks(W$3,$R6,$C$5,$C$6,$C$8,$C$9,$C$7,FALSE)</f>
        <v>0.53235117372185448</v>
      </c>
      <c r="X21">
        <f>_xll.acq_options_blackscholes_greeks(X$3,$R6,$C$5,$C$6,$C$8,$C$9,$C$7,FALSE)</f>
        <v>2.8302111597389122E-3</v>
      </c>
      <c r="Y21">
        <f>_xll.acq_options_blackscholes_greeks(Y$3,$R6,$C$5,$C$6,$C$8,$C$9,$C$7,FALSE)</f>
        <v>-237.80515019258436</v>
      </c>
      <c r="Z21">
        <f>_xll.acq_options_blackscholes_greeks(Z$3,$R6,$C$5,$C$6,$C$8,$C$9,$C$7,FALSE)</f>
        <v>0.35297276535596622</v>
      </c>
      <c r="AA21">
        <f>_xll.acq_options_blackscholes_greeks(AA$3,$R6,$C$5,$C$6,$C$8,$C$9,$C$7,FALSE)</f>
        <v>-5.1737072703199355E-2</v>
      </c>
      <c r="AB21">
        <f>_xll.acq_options_blackscholes_greeks(AB$3,$R6,$C$5,$C$6,$C$8,$C$9,$C$7,FALSE)</f>
        <v>64.550733334357105</v>
      </c>
      <c r="AD21" t="s">
        <v>111</v>
      </c>
      <c r="AF21" s="36">
        <f>AF17-AF20</f>
        <v>5.6275894166901708E-8</v>
      </c>
      <c r="AG21" s="36">
        <f>AG17-AG20</f>
        <v>1.8054443033932444E-6</v>
      </c>
      <c r="AH21" s="36">
        <f>AG17-AH20</f>
        <v>-5.9659323703442624E-8</v>
      </c>
    </row>
    <row r="22" spans="6:45" x14ac:dyDescent="0.25">
      <c r="L22" s="12">
        <v>0.9</v>
      </c>
      <c r="M22">
        <f>_xll.acq_options_blackscholes_price($C$4,$C$5,$C$6,$C$8,$C$9,$L22,TRUE)</f>
        <v>36.715562635899843</v>
      </c>
      <c r="N22">
        <f>_xll.acq_options_blackscholes_price($C$4,$C$5,$C$6,$C$8,$C$9,$L22,FALSE)</f>
        <v>54.374787207716039</v>
      </c>
      <c r="O22" s="12">
        <f>_xll.acq_options_blackscholes_vol($C$4,$C$5,$C$6,$C$8,$C$9,$M22,TRUE)</f>
        <v>0.90000000000002345</v>
      </c>
      <c r="P22" s="12">
        <f>_xll.acq_options_blackscholes_vol($C$4,$C$5,$C$6,$C$8,$C$9,$N22,FALSE)</f>
        <v>0.90000000000002356</v>
      </c>
      <c r="R22" s="13">
        <v>40</v>
      </c>
      <c r="S22">
        <f>_xll.acq_options_blackscholes_greeks(S$3,$R7,$C$5,$C$6,$C$8,$C$9,$C$7,FALSE)</f>
        <v>60.697773547712288</v>
      </c>
      <c r="T22">
        <f>_xll.acq_options_blackscholes_greeks(T$3,$R7,$C$5,$C$6,$C$8,$C$9,$C$7,FALSE)</f>
        <v>-0.859741611915527</v>
      </c>
      <c r="U22">
        <f>_xll.acq_options_blackscholes_greeks(U$3,$R7,$C$5,$C$6,$C$8,$C$9,$C$7,FALSE)</f>
        <v>2.5477892914448335E-4</v>
      </c>
      <c r="V22">
        <f>_xll.acq_options_blackscholes_greeks(V$3,$R7,$C$5,$C$6,$C$8,$C$9,$C$7,FALSE)</f>
        <v>0.20382314331558676</v>
      </c>
      <c r="W22">
        <f>_xll.acq_options_blackscholes_greeks(W$3,$R7,$C$5,$C$6,$C$8,$C$9,$C$7,FALSE)</f>
        <v>10.500426700872406</v>
      </c>
      <c r="X22">
        <f>_xll.acq_options_blackscholes_greeks(X$3,$R7,$C$5,$C$6,$C$8,$C$9,$C$7,FALSE)</f>
        <v>5.4333682164716929E-2</v>
      </c>
      <c r="Y22">
        <f>_xll.acq_options_blackscholes_greeks(Y$3,$R7,$C$5,$C$6,$C$8,$C$9,$C$7,FALSE)</f>
        <v>-237.71859506083342</v>
      </c>
      <c r="Z22">
        <f>_xll.acq_options_blackscholes_greeks(Z$3,$R7,$C$5,$C$6,$C$8,$C$9,$C$7,FALSE)</f>
        <v>-0.16978403384322105</v>
      </c>
      <c r="AA22">
        <f>_xll.acq_options_blackscholes_greeks(AA$3,$R7,$C$5,$C$6,$C$8,$C$9,$C$7,FALSE)</f>
        <v>-5.3350197714889115E-2</v>
      </c>
      <c r="AB22">
        <f>_xll.acq_options_blackscholes_greeks(AB$3,$R7,$C$5,$C$6,$C$8,$C$9,$C$7,FALSE)</f>
        <v>85.974161191552696</v>
      </c>
    </row>
    <row r="23" spans="6:45" x14ac:dyDescent="0.25">
      <c r="L23" s="12">
        <v>0.95000000000000095</v>
      </c>
      <c r="M23">
        <f>_xll.acq_options_blackscholes_price($C$4,$C$5,$C$6,$C$8,$C$9,$L23,TRUE)</f>
        <v>38.767293680103087</v>
      </c>
      <c r="N23">
        <f>_xll.acq_options_blackscholes_price($C$4,$C$5,$C$6,$C$8,$C$9,$L23,FALSE)</f>
        <v>56.42651825191929</v>
      </c>
      <c r="O23" s="12">
        <f>_xll.acq_options_blackscholes_vol($C$4,$C$5,$C$6,$C$8,$C$9,$M23,TRUE)</f>
        <v>0.95000000000002072</v>
      </c>
      <c r="P23" s="12">
        <f>_xll.acq_options_blackscholes_vol($C$4,$C$5,$C$6,$C$8,$C$9,$N23,FALSE)</f>
        <v>0.95000000000002061</v>
      </c>
      <c r="R23" s="13">
        <v>50</v>
      </c>
      <c r="S23">
        <f>_xll.acq_options_blackscholes_greeks(S$3,$R8,$C$5,$C$6,$C$8,$C$9,$C$7,FALSE)</f>
        <v>52.126671119600303</v>
      </c>
      <c r="T23">
        <f>_xll.acq_options_blackscholes_greeks(T$3,$R8,$C$5,$C$6,$C$8,$C$9,$C$7,FALSE)</f>
        <v>-0.85262958295338764</v>
      </c>
      <c r="U23">
        <f>_xll.acq_options_blackscholes_greeks(U$3,$R8,$C$5,$C$6,$C$8,$C$9,$C$7,FALSE)</f>
        <v>1.3726561068346085E-3</v>
      </c>
      <c r="V23">
        <f>_xll.acq_options_blackscholes_greeks(V$3,$R8,$C$5,$C$6,$C$8,$C$9,$C$7,FALSE)</f>
        <v>1.7158201335432612</v>
      </c>
      <c r="W23">
        <f>_xll.acq_options_blackscholes_greeks(W$3,$R8,$C$5,$C$6,$C$8,$C$9,$C$7,FALSE)</f>
        <v>53.755139154333236</v>
      </c>
      <c r="X23">
        <f>_xll.acq_options_blackscholes_greeks(X$3,$R8,$C$5,$C$6,$C$8,$C$9,$C$7,FALSE)</f>
        <v>0.28933778158899776</v>
      </c>
      <c r="Y23">
        <f>_xll.acq_options_blackscholes_greeks(Y$3,$R8,$C$5,$C$6,$C$8,$C$9,$C$7,FALSE)</f>
        <v>-236.89537566817418</v>
      </c>
      <c r="Z23">
        <f>_xll.acq_options_blackscholes_greeks(Z$3,$R8,$C$5,$C$6,$C$8,$C$9,$C$7,FALSE)</f>
        <v>-0.73135854885649976</v>
      </c>
      <c r="AA23">
        <f>_xll.acq_options_blackscholes_greeks(AA$3,$R8,$C$5,$C$6,$C$8,$C$9,$C$7,FALSE)</f>
        <v>-5.998597402709395E-2</v>
      </c>
      <c r="AB23">
        <f>_xll.acq_options_blackscholes_greeks(AB$3,$R8,$C$5,$C$6,$C$8,$C$9,$C$7,FALSE)</f>
        <v>106.57869786917345</v>
      </c>
    </row>
    <row r="24" spans="6:45" ht="15.75" thickBot="1" x14ac:dyDescent="0.3">
      <c r="L24" s="12">
        <v>1</v>
      </c>
      <c r="M24">
        <f>_xll.acq_options_blackscholes_price($C$4,$C$5,$C$6,$C$8,$C$9,$L24,TRUE)</f>
        <v>40.760983214566338</v>
      </c>
      <c r="N24">
        <f>_xll.acq_options_blackscholes_price($C$4,$C$5,$C$6,$C$8,$C$9,$L24,FALSE)</f>
        <v>58.420207786382534</v>
      </c>
      <c r="O24" s="12">
        <f>_xll.acq_options_blackscholes_vol($C$4,$C$5,$C$6,$C$8,$C$9,$M24,TRUE)</f>
        <v>1</v>
      </c>
      <c r="P24" s="12">
        <f>_xll.acq_options_blackscholes_vol($C$4,$C$5,$C$6,$C$8,$C$9,$N24,FALSE)</f>
        <v>1</v>
      </c>
      <c r="R24" s="13">
        <v>60</v>
      </c>
      <c r="S24">
        <f>_xll.acq_options_blackscholes_greeks(S$3,$R9,$C$5,$C$6,$C$8,$C$9,$C$7,FALSE)</f>
        <v>43.703885303118895</v>
      </c>
      <c r="T24">
        <f>_xll.acq_options_blackscholes_greeks(T$3,$R9,$C$5,$C$6,$C$8,$C$9,$C$7,FALSE)</f>
        <v>-0.82793731499777867</v>
      </c>
      <c r="U24">
        <f>_xll.acq_options_blackscholes_greeks(U$3,$R9,$C$5,$C$6,$C$8,$C$9,$C$7,FALSE)</f>
        <v>3.7551860403523467E-3</v>
      </c>
      <c r="V24">
        <f>_xll.acq_options_blackscholes_greeks(V$3,$R9,$C$5,$C$6,$C$8,$C$9,$C$7,FALSE)</f>
        <v>6.7593348726342262</v>
      </c>
      <c r="W24">
        <f>_xll.acq_options_blackscholes_greeks(W$3,$R9,$C$5,$C$6,$C$8,$C$9,$C$7,FALSE)</f>
        <v>125.25315954116823</v>
      </c>
      <c r="X24">
        <f>_xll.acq_options_blackscholes_greeks(X$3,$R9,$C$5,$C$6,$C$8,$C$9,$C$7,FALSE)</f>
        <v>0.7444569472419541</v>
      </c>
      <c r="Y24">
        <f>_xll.acq_options_blackscholes_greeks(Y$3,$R9,$C$5,$C$6,$C$8,$C$9,$C$7,FALSE)</f>
        <v>-233.450310507464</v>
      </c>
      <c r="Z24">
        <f>_xll.acq_options_blackscholes_greeks(Z$3,$R9,$C$5,$C$6,$C$8,$C$9,$C$7,FALSE)</f>
        <v>-1.3833452448376602</v>
      </c>
      <c r="AA24">
        <f>_xll.acq_options_blackscholes_greeks(AA$3,$R9,$C$5,$C$6,$C$8,$C$9,$C$7,FALSE)</f>
        <v>-7.0442070292699249E-2</v>
      </c>
      <c r="AB24">
        <f>_xll.acq_options_blackscholes_greeks(AB$3,$R9,$C$5,$C$6,$C$8,$C$9,$C$7,FALSE)</f>
        <v>124.19059724966679</v>
      </c>
      <c r="AD24" s="3" t="s">
        <v>115</v>
      </c>
      <c r="AH24" s="3" t="s">
        <v>117</v>
      </c>
    </row>
    <row r="25" spans="6:45" x14ac:dyDescent="0.25">
      <c r="L25" s="12">
        <v>1.05</v>
      </c>
      <c r="M25">
        <f>_xll.acq_options_blackscholes_price($C$4,$C$5,$C$6,$C$8,$C$9,$L25,TRUE)</f>
        <v>42.694976281667934</v>
      </c>
      <c r="N25">
        <f>_xll.acq_options_blackscholes_price($C$4,$C$5,$C$6,$C$8,$C$9,$L25,FALSE)</f>
        <v>60.35420085348413</v>
      </c>
      <c r="O25" s="12">
        <f>_xll.acq_options_blackscholes_vol($C$4,$C$5,$C$6,$C$8,$C$9,$M25,TRUE)</f>
        <v>1.0500000000001026</v>
      </c>
      <c r="P25" s="12">
        <f>_xll.acq_options_blackscholes_vol($C$4,$C$5,$C$6,$C$8,$C$9,$N25,FALSE)</f>
        <v>1.0500000000001024</v>
      </c>
      <c r="R25" s="13">
        <v>70</v>
      </c>
      <c r="S25">
        <f>_xll.acq_options_blackscholes_greeks(S$3,$R10,$C$5,$C$6,$C$8,$C$9,$C$7,FALSE)</f>
        <v>35.662231198883404</v>
      </c>
      <c r="T25">
        <f>_xll.acq_options_blackscholes_greeks(T$3,$R10,$C$5,$C$6,$C$8,$C$9,$C$7,FALSE)</f>
        <v>-0.7753100805658637</v>
      </c>
      <c r="U25">
        <f>_xll.acq_options_blackscholes_greeks(U$3,$R10,$C$5,$C$6,$C$8,$C$9,$C$7,FALSE)</f>
        <v>6.7848453499034789E-3</v>
      </c>
      <c r="V25">
        <f>_xll.acq_options_blackscholes_greeks(V$3,$R10,$C$5,$C$6,$C$8,$C$9,$C$7,FALSE)</f>
        <v>16.622871107263528</v>
      </c>
      <c r="W25">
        <f>_xll.acq_options_blackscholes_greeks(W$3,$R10,$C$5,$C$6,$C$8,$C$9,$C$7,FALSE)</f>
        <v>171.25879554454812</v>
      </c>
      <c r="X25">
        <f>_xll.acq_options_blackscholes_greeks(X$3,$R10,$C$5,$C$6,$C$8,$C$9,$C$7,FALSE)</f>
        <v>1.2031988980533599</v>
      </c>
      <c r="Y25">
        <f>_xll.acq_options_blackscholes_greeks(Y$3,$R10,$C$5,$C$6,$C$8,$C$9,$C$7,FALSE)</f>
        <v>-224.83484209623464</v>
      </c>
      <c r="Z25">
        <f>_xll.acq_options_blackscholes_greeks(Z$3,$R10,$C$5,$C$6,$C$8,$C$9,$C$7,FALSE)</f>
        <v>-2.122538445897292</v>
      </c>
      <c r="AA25">
        <f>_xll.acq_options_blackscholes_greeks(AA$3,$R10,$C$5,$C$6,$C$8,$C$9,$C$7,FALSE)</f>
        <v>-7.5648993776356491E-2</v>
      </c>
      <c r="AB25">
        <f>_xll.acq_options_blackscholes_greeks(AB$3,$R10,$C$5,$C$6,$C$8,$C$9,$C$7,FALSE)</f>
        <v>135.67926409902614</v>
      </c>
      <c r="AD25" t="s">
        <v>90</v>
      </c>
      <c r="AE25" t="s">
        <v>99</v>
      </c>
      <c r="AF25" t="s">
        <v>105</v>
      </c>
      <c r="AH25" t="s">
        <v>88</v>
      </c>
      <c r="AI25" t="s">
        <v>99</v>
      </c>
      <c r="AJ25" t="s">
        <v>106</v>
      </c>
    </row>
    <row r="26" spans="6:45" x14ac:dyDescent="0.25">
      <c r="L26" s="12">
        <v>1.1000000000000001</v>
      </c>
      <c r="M26">
        <f>_xll.acq_options_blackscholes_price($C$4,$C$5,$C$6,$C$8,$C$9,$L26,TRUE)</f>
        <v>44.567915620247405</v>
      </c>
      <c r="N26">
        <f>_xll.acq_options_blackscholes_price($C$4,$C$5,$C$6,$C$8,$C$9,$L26,FALSE)</f>
        <v>62.227140192063608</v>
      </c>
      <c r="O26" s="12">
        <f>_xll.acq_options_blackscholes_vol($C$4,$C$5,$C$6,$C$8,$C$9,$M26,TRUE)</f>
        <v>1.1000000000001766</v>
      </c>
      <c r="P26" s="12">
        <f>_xll.acq_options_blackscholes_vol($C$4,$C$5,$C$6,$C$8,$C$9,$N26,FALSE)</f>
        <v>1.1000000000001768</v>
      </c>
      <c r="R26" s="13">
        <v>80</v>
      </c>
      <c r="S26">
        <f>_xll.acq_options_blackscholes_greeks(S$3,$R11,$C$5,$C$6,$C$8,$C$9,$C$7,FALSE)</f>
        <v>28.294971644426873</v>
      </c>
      <c r="T26">
        <f>_xll.acq_options_blackscholes_greeks(T$3,$R11,$C$5,$C$6,$C$8,$C$9,$C$7,FALSE)</f>
        <v>-0.69385023272085034</v>
      </c>
      <c r="U26">
        <f>_xll.acq_options_blackscholes_greeks(U$3,$R11,$C$5,$C$6,$C$8,$C$9,$C$7,FALSE)</f>
        <v>9.3469086174212037E-3</v>
      </c>
      <c r="V26">
        <f>_xll.acq_options_blackscholes_greeks(V$3,$R11,$C$5,$C$6,$C$8,$C$9,$C$7,FALSE)</f>
        <v>29.910107575747858</v>
      </c>
      <c r="W26">
        <f>_xll.acq_options_blackscholes_greeks(W$3,$R11,$C$5,$C$6,$C$8,$C$9,$C$7,FALSE)</f>
        <v>152.42453245298654</v>
      </c>
      <c r="X26">
        <f>_xll.acq_options_blackscholes_greeks(X$3,$R11,$C$5,$C$6,$C$8,$C$9,$C$7,FALSE)</f>
        <v>1.3950954701255749</v>
      </c>
      <c r="Y26">
        <f>_xll.acq_options_blackscholes_greeks(Y$3,$R11,$C$5,$C$6,$C$8,$C$9,$C$7,FALSE)</f>
        <v>-209.50747565523722</v>
      </c>
      <c r="Z26">
        <f>_xll.acq_options_blackscholes_greeks(Z$3,$R11,$C$5,$C$6,$C$8,$C$9,$C$7,FALSE)</f>
        <v>-2.8508256148480982</v>
      </c>
      <c r="AA26">
        <f>_xll.acq_options_blackscholes_greeks(AA$3,$R11,$C$5,$C$6,$C$8,$C$9,$C$7,FALSE)</f>
        <v>-6.7524725192526169E-2</v>
      </c>
      <c r="AB26">
        <f>_xll.acq_options_blackscholes_greeks(AB$3,$R11,$C$5,$C$6,$C$8,$C$9,$C$7,FALSE)</f>
        <v>138.77004654417004</v>
      </c>
    </row>
    <row r="27" spans="6:45" x14ac:dyDescent="0.25">
      <c r="L27" s="12">
        <v>1.1499999999999999</v>
      </c>
      <c r="M27">
        <f>_xll.acq_options_blackscholes_price($C$4,$C$5,$C$6,$C$8,$C$9,$L27,TRUE)</f>
        <v>46.378724584701523</v>
      </c>
      <c r="N27">
        <f>_xll.acq_options_blackscholes_price($C$4,$C$5,$C$6,$C$8,$C$9,$L27,FALSE)</f>
        <v>64.037949156517712</v>
      </c>
      <c r="O27" s="12">
        <f>_xll.acq_options_blackscholes_vol($C$4,$C$5,$C$6,$C$8,$C$9,$M27,TRUE)</f>
        <v>1.1500000000002684</v>
      </c>
      <c r="P27" s="12">
        <f>_xll.acq_options_blackscholes_vol($C$4,$C$5,$C$6,$C$8,$C$9,$N27,FALSE)</f>
        <v>1.1500000000002681</v>
      </c>
      <c r="R27" s="13">
        <v>90</v>
      </c>
      <c r="S27">
        <f>_xll.acq_options_blackscholes_greeks(S$3,$R12,$C$5,$C$6,$C$8,$C$9,$C$7,FALSE)</f>
        <v>21.851975422398048</v>
      </c>
      <c r="T27">
        <f>_xll.acq_options_blackscholes_greeks(T$3,$R12,$C$5,$C$6,$C$8,$C$9,$C$7,FALSE)</f>
        <v>-0.592503121990264</v>
      </c>
      <c r="U27">
        <f>_xll.acq_options_blackscholes_greeks(U$3,$R12,$C$5,$C$6,$C$8,$C$9,$C$7,FALSE)</f>
        <v>1.0693276428769077E-2</v>
      </c>
      <c r="V27">
        <f>_xll.acq_options_blackscholes_greeks(V$3,$R12,$C$5,$C$6,$C$8,$C$9,$C$7,FALSE)</f>
        <v>43.307769536514776</v>
      </c>
      <c r="W27">
        <f>_xll.acq_options_blackscholes_greeks(W$3,$R12,$C$5,$C$6,$C$8,$C$9,$C$7,FALSE)</f>
        <v>85.907330130391927</v>
      </c>
      <c r="X27">
        <f>_xll.acq_options_blackscholes_greeks(X$3,$R12,$C$5,$C$6,$C$8,$C$9,$C$7,FALSE)</f>
        <v>1.2287882623149675</v>
      </c>
      <c r="Y27">
        <f>_xll.acq_options_blackscholes_greeks(Y$3,$R12,$C$5,$C$6,$C$8,$C$9,$C$7,FALSE)</f>
        <v>-187.94314100380453</v>
      </c>
      <c r="Z27">
        <f>_xll.acq_options_blackscholes_greeks(Z$3,$R12,$C$5,$C$6,$C$8,$C$9,$C$7,FALSE)</f>
        <v>-3.4282825121775797</v>
      </c>
      <c r="AA27">
        <f>_xll.acq_options_blackscholes_greeks(AA$3,$R12,$C$5,$C$6,$C$8,$C$9,$C$7,FALSE)</f>
        <v>-4.6205922668445872E-2</v>
      </c>
      <c r="AB27">
        <f>_xll.acq_options_blackscholes_greeks(AB$3,$R12,$C$5,$C$6,$C$8,$C$9,$C$7,FALSE)</f>
        <v>133.3132024478094</v>
      </c>
      <c r="AD27" s="15">
        <f>AD28-AE31</f>
        <v>1.9900000000000001E-2</v>
      </c>
      <c r="AE27">
        <f>_xll.acq_options_blackscholes_price($C$4,$C$5,$C$6,AD27,$C$9,$C$7,$C$10)</f>
        <v>4.1877665123257053</v>
      </c>
      <c r="AF27" s="13">
        <f>_xll.acq_options_blackscholes_rho($C$4,$C$5,$C$6,AD27,$C$9,$C$7,$C$10)</f>
        <v>49.822551772366097</v>
      </c>
      <c r="AG27" s="13"/>
      <c r="AH27" s="15">
        <f>AH28-AI31</f>
        <v>2.4998999999999998</v>
      </c>
      <c r="AI27">
        <f>_xll.acq_options_blackscholes_price($C$4,$C$5,AH27,$C$8,$C$9,$C$7,$C$10)</f>
        <v>4.1926825566795181</v>
      </c>
      <c r="AJ27" s="13">
        <f>_xll.acq_options_blackscholes_theta($C$4,$C$5,AH27,$C$8,$C$9,$C$7,$C$10)</f>
        <v>-0.68295975865340086</v>
      </c>
    </row>
    <row r="28" spans="6:45" x14ac:dyDescent="0.25">
      <c r="R28" s="13">
        <v>100</v>
      </c>
      <c r="S28">
        <f>_xll.acq_options_blackscholes_greeks(S$3,$R13,$C$5,$C$6,$C$8,$C$9,$C$7,FALSE)</f>
        <v>16.467155958281616</v>
      </c>
      <c r="T28">
        <f>_xll.acq_options_blackscholes_greeks(T$3,$R13,$C$5,$C$6,$C$8,$C$9,$C$7,FALSE)</f>
        <v>-0.48442062449193907</v>
      </c>
      <c r="U28">
        <f>_xll.acq_options_blackscholes_greeks(U$3,$R13,$C$5,$C$6,$C$8,$C$9,$C$7,FALSE)</f>
        <v>1.0723516207440623E-2</v>
      </c>
      <c r="V28">
        <f>_xll.acq_options_blackscholes_greeks(V$3,$R13,$C$5,$C$6,$C$8,$C$9,$C$7,FALSE)</f>
        <v>53.617581037203124</v>
      </c>
      <c r="W28">
        <f>_xll.acq_options_blackscholes_greeks(W$3,$R13,$C$5,$C$6,$C$8,$C$9,$C$7,FALSE)</f>
        <v>20.106592888951145</v>
      </c>
      <c r="X28">
        <f>_xll.acq_options_blackscholes_greeks(X$3,$R13,$C$5,$C$6,$C$8,$C$9,$C$7,FALSE)</f>
        <v>0.80426371555804654</v>
      </c>
      <c r="Y28">
        <f>_xll.acq_options_blackscholes_greeks(Y$3,$R13,$C$5,$C$6,$C$8,$C$9,$C$7,FALSE)</f>
        <v>-162.27304601868877</v>
      </c>
      <c r="Z28">
        <f>_xll.acq_options_blackscholes_greeks(Z$3,$R13,$C$5,$C$6,$C$8,$C$9,$C$7,FALSE)</f>
        <v>-3.7530426202902492</v>
      </c>
      <c r="AA28">
        <f>_xll.acq_options_blackscholes_greeks(AA$3,$R13,$C$5,$C$6,$C$8,$C$9,$C$7,FALSE)</f>
        <v>-1.8341721262075728E-2</v>
      </c>
      <c r="AB28">
        <f>_xll.acq_options_blackscholes_greeks(AB$3,$R13,$C$5,$C$6,$C$8,$C$9,$C$7,FALSE)</f>
        <v>121.10515612298477</v>
      </c>
      <c r="AD28" s="16">
        <f>C8</f>
        <v>0.02</v>
      </c>
      <c r="AE28">
        <f>_xll.acq_options_blackscholes_price($C$4,$C$5,$C$6,AD28,$C$9,$C$7,$C$10)</f>
        <v>4.1927508505818558</v>
      </c>
      <c r="AF28" s="13">
        <f>_xll.acq_options_blackscholes_rho($C$4,$C$5,$C$6,AD28,$C$9,$C$7,$C$10)</f>
        <v>49.864215121373967</v>
      </c>
      <c r="AG28" s="13"/>
      <c r="AH28" s="16">
        <f>C6</f>
        <v>2.5</v>
      </c>
      <c r="AI28">
        <f>_xll.acq_options_blackscholes_price($C$4,$C$5,AH28,$C$8,$C$9,$C$7,$C$10)</f>
        <v>4.1927508505818558</v>
      </c>
      <c r="AJ28" s="13">
        <f>_xll.acq_options_blackscholes_theta($C$4,$C$5,AH28,$C$8,$C$9,$C$7,$C$10)</f>
        <v>-0.68291828848369618</v>
      </c>
    </row>
    <row r="29" spans="6:45" x14ac:dyDescent="0.25">
      <c r="R29" s="13">
        <v>110</v>
      </c>
      <c r="S29">
        <f>_xll.acq_options_blackscholes_greeks(S$3,$R14,$C$5,$C$6,$C$8,$C$9,$C$7,FALSE)</f>
        <v>12.146450155969866</v>
      </c>
      <c r="T29">
        <f>_xll.acq_options_blackscholes_greeks(T$3,$R14,$C$5,$C$6,$C$8,$C$9,$C$7,FALSE)</f>
        <v>-0.38132220459548527</v>
      </c>
      <c r="U29">
        <f>_xll.acq_options_blackscholes_greeks(U$3,$R14,$C$5,$C$6,$C$8,$C$9,$C$7,FALSE)</f>
        <v>9.7704630939083499E-3</v>
      </c>
      <c r="V29">
        <f>_xll.acq_options_blackscholes_greeks(V$3,$R14,$C$5,$C$6,$C$8,$C$9,$C$7,FALSE)</f>
        <v>59.111301718145533</v>
      </c>
      <c r="W29">
        <f>_xll.acq_options_blackscholes_greeks(W$3,$R14,$C$5,$C$6,$C$8,$C$9,$C$7,FALSE)</f>
        <v>-7.3239067942378693</v>
      </c>
      <c r="X29">
        <f>_xll.acq_options_blackscholes_greeks(X$3,$R14,$C$5,$C$6,$C$8,$C$9,$C$7,FALSE)</f>
        <v>0.29388967840887975</v>
      </c>
      <c r="Y29">
        <f>_xll.acq_options_blackscholes_greeks(Y$3,$R14,$C$5,$C$6,$C$8,$C$9,$C$7,FALSE)</f>
        <v>-135.2297316536831</v>
      </c>
      <c r="Z29">
        <f>_xll.acq_options_blackscholes_greeks(Z$3,$R14,$C$5,$C$6,$C$8,$C$9,$C$7,FALSE)</f>
        <v>-3.7993407658265586</v>
      </c>
      <c r="AA29">
        <f>_xll.acq_options_blackscholes_greeks(AA$3,$R14,$C$5,$C$6,$C$8,$C$9,$C$7,FALSE)</f>
        <v>8.3551182011124304E-3</v>
      </c>
      <c r="AB29">
        <f>_xll.acq_options_blackscholes_greeks(AB$3,$R14,$C$5,$C$6,$C$8,$C$9,$C$7,FALSE)</f>
        <v>104.86360626375846</v>
      </c>
      <c r="AD29" s="15">
        <f>AD28+AE31</f>
        <v>2.01E-2</v>
      </c>
      <c r="AE29">
        <f>_xll.acq_options_blackscholes_price($C$4,$C$5,$C$6,AD29,$C$9,$C$7,$C$10)</f>
        <v>4.1977393557035931</v>
      </c>
      <c r="AF29" s="13">
        <f>_xll.acq_options_blackscholes_rho($C$4,$C$5,$C$6,AD29,$C$9,$C$7,$C$10)</f>
        <v>49.905889079206759</v>
      </c>
      <c r="AG29" s="13"/>
      <c r="AH29" s="15">
        <f>AH28+AI31</f>
        <v>2.5001000000000002</v>
      </c>
      <c r="AI29">
        <f>_xll.acq_options_blackscholes_price($C$4,$C$5,AH29,$C$8,$C$9,$C$7,$C$10)</f>
        <v>4.1928191403372992</v>
      </c>
      <c r="AJ29" s="13">
        <f>_xll.acq_options_blackscholes_theta($C$4,$C$5,AH29,$C$8,$C$9,$C$7,$C$10)</f>
        <v>-0.68287682086973445</v>
      </c>
    </row>
    <row r="30" spans="6:45" x14ac:dyDescent="0.25">
      <c r="AF30" s="11"/>
      <c r="AG30" s="11"/>
      <c r="AJ30" s="11"/>
    </row>
    <row r="31" spans="6:45" x14ac:dyDescent="0.25"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AD31" t="s">
        <v>116</v>
      </c>
      <c r="AE31" s="14">
        <v>1E-4</v>
      </c>
      <c r="AF31" s="17">
        <f>_xll.acq_diff1_c3pt(AD27:AD29,AE27:AE29)</f>
        <v>49.864216889439504</v>
      </c>
      <c r="AH31" t="s">
        <v>118</v>
      </c>
      <c r="AI31" s="14">
        <v>1E-4</v>
      </c>
      <c r="AJ31" s="17">
        <f>-_xll.acq_diff1_c3pt(AH27:AH29,AI27:AI29)</f>
        <v>-0.6829182889042128</v>
      </c>
    </row>
    <row r="32" spans="6:45" x14ac:dyDescent="0.25"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AD32" t="s">
        <v>111</v>
      </c>
      <c r="AF32" s="36">
        <f>AF28-AF31</f>
        <v>-1.7680655375329479E-6</v>
      </c>
      <c r="AG32" s="11"/>
      <c r="AH32" t="s">
        <v>111</v>
      </c>
      <c r="AJ32" s="36">
        <f>AJ28-AJ31</f>
        <v>4.205166215243139E-10</v>
      </c>
    </row>
    <row r="33" spans="12:45" x14ac:dyDescent="0.25"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2:45" x14ac:dyDescent="0.25"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2:45" ht="15.75" thickBot="1" x14ac:dyDescent="0.3"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AD35" s="3" t="s">
        <v>119</v>
      </c>
    </row>
    <row r="36" spans="12:45" x14ac:dyDescent="0.25"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AI36" t="s">
        <v>100</v>
      </c>
      <c r="AM36" t="s">
        <v>102</v>
      </c>
      <c r="AQ36" t="s">
        <v>104</v>
      </c>
    </row>
    <row r="37" spans="12:45" x14ac:dyDescent="0.25"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AD37" s="29" t="s">
        <v>120</v>
      </c>
      <c r="AE37" s="42">
        <f>AF37-AE42</f>
        <v>0.19990000000000002</v>
      </c>
      <c r="AF37" s="21">
        <f>C7</f>
        <v>0.2</v>
      </c>
      <c r="AG37" s="43">
        <f>AF37+AE42</f>
        <v>0.2001</v>
      </c>
    </row>
    <row r="38" spans="12:45" x14ac:dyDescent="0.25"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AD38" s="39">
        <f>AD39-AE42</f>
        <v>89.999899999999997</v>
      </c>
      <c r="AE38" s="20">
        <f>_xll.acq_options_blackscholes_price($AD38,$C$5,$C$6,$C$8,$C$9,AE$37,$C$10)</f>
        <v>4.1883936952289851</v>
      </c>
      <c r="AF38" s="21">
        <f>_xll.acq_options_blackscholes_price($AD38,$C$5,$C$6,$C$8,$C$9,AF$37,$C$10)</f>
        <v>4.1927240301498756</v>
      </c>
      <c r="AG38" s="33">
        <f>_xll.acq_options_blackscholes_price($AD38,$C$5,$C$6,$C$8,$C$9,AG$37,$C$10)</f>
        <v>4.1970552241516685</v>
      </c>
      <c r="AI38">
        <f>_xll.acq_options_blackscholes_delta($AD38,$C$5,$C$6,$C$8,$C$9,AE$37,$C$10)</f>
        <v>0.26808086872425324</v>
      </c>
      <c r="AJ38">
        <f>_xll.acq_options_blackscholes_delta($AD38,$C$5,$C$6,$C$8,$C$9,AF$37,$C$10)</f>
        <v>0.26820378510747978</v>
      </c>
      <c r="AK38">
        <f>_xll.acq_options_blackscholes_delta($AD38,$C$5,$C$6,$C$8,$C$9,AG$37,$C$10)</f>
        <v>0.26832662704654892</v>
      </c>
      <c r="AM38">
        <f>_xll.acq_options_blackscholes_vega($AD38,$C$5,$C$6,$C$8,$C$9,AE$37)</f>
        <v>43.299049714446767</v>
      </c>
      <c r="AN38" s="19">
        <f>_xll.acq_options_blackscholes_vega($AD38,$C$5,$C$6,$C$8,$C$9,AF$37)</f>
        <v>43.307646657527272</v>
      </c>
      <c r="AO38">
        <f>_xll.acq_options_blackscholes_vega($AD38,$C$5,$C$6,$C$8,$C$9,AG$37)</f>
        <v>43.316231335834985</v>
      </c>
      <c r="AQ38">
        <f>_xll.acq_options_blackscholes_vanna($AD38,$C$5,$C$6,$C$8,$C$9,AE$37)</f>
        <v>1.2295363005253457</v>
      </c>
      <c r="AR38">
        <f>_xll.acq_options_blackscholes_vanna($AD38,$C$5,$C$6,$C$8,$C$9,AF$37)</f>
        <v>1.2287914877713453</v>
      </c>
      <c r="AS38">
        <f>_xll.acq_options_blackscholes_vanna($AD38,$C$5,$C$6,$C$8,$C$9,AG$37)</f>
        <v>1.2280474172622813</v>
      </c>
    </row>
    <row r="39" spans="12:45" x14ac:dyDescent="0.25"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AD39" s="40">
        <f>C4</f>
        <v>90</v>
      </c>
      <c r="AE39" s="34">
        <f>_xll.acq_options_blackscholes_price($AD39,$C$5,$C$6,$C$8,$C$9,AE$37,$C$10)</f>
        <v>4.1884205033693505</v>
      </c>
      <c r="AF39" s="22">
        <f>_xll.acq_options_blackscholes_price($AD39,$C$5,$C$6,$C$8,$C$9,AF$37,$C$10)</f>
        <v>4.1927508505818558</v>
      </c>
      <c r="AG39" s="23">
        <f>_xll.acq_options_blackscholes_price($AD39,$C$5,$C$6,$C$8,$C$9,AG$37,$C$10)</f>
        <v>4.1970820568678278</v>
      </c>
      <c r="AI39">
        <f>_xll.acq_options_blackscholes_delta($AD39,$C$5,$C$6,$C$8,$C$9,AE$37,$C$10)</f>
        <v>0.2680819383741227</v>
      </c>
      <c r="AJ39">
        <f>_xll.acq_options_blackscholes_delta($AD39,$C$5,$C$6,$C$8,$C$9,AF$37,$C$10)</f>
        <v>0.2682048544347938</v>
      </c>
      <c r="AK39">
        <f>_xll.acq_options_blackscholes_delta($AD39,$C$5,$C$6,$C$8,$C$9,AG$37,$C$10)</f>
        <v>0.26832769605132722</v>
      </c>
      <c r="AM39">
        <f>_xll.acq_options_blackscholes_vega($AD39,$C$5,$C$6,$C$8,$C$9,AE$37)</f>
        <v>43.299172667915535</v>
      </c>
      <c r="AN39" s="19">
        <f>_xll.acq_options_blackscholes_vega($AD39,$C$5,$C$6,$C$8,$C$9,AF$37)</f>
        <v>43.307769536514776</v>
      </c>
      <c r="AO39">
        <f>_xll.acq_options_blackscholes_vega($AD39,$C$5,$C$6,$C$8,$C$9,AG$37)</f>
        <v>43.316354140415449</v>
      </c>
      <c r="AQ39">
        <f>_xll.acq_options_blackscholes_vanna($AD39,$C$5,$C$6,$C$8,$C$9,AE$37)</f>
        <v>1.2295330748740971</v>
      </c>
      <c r="AR39" s="19">
        <f>_xll.acq_options_blackscholes_vanna($AD39,$C$5,$C$6,$C$8,$C$9,AF$37)</f>
        <v>1.2287882623149675</v>
      </c>
      <c r="AS39">
        <f>_xll.acq_options_blackscholes_vanna($AD39,$C$5,$C$6,$C$8,$C$9,AG$37)</f>
        <v>1.2280441920052747</v>
      </c>
    </row>
    <row r="40" spans="12:45" x14ac:dyDescent="0.25"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AD40" s="41">
        <f>AD39+AE42</f>
        <v>90.000100000000003</v>
      </c>
      <c r="AE40" s="35">
        <f>_xll.acq_options_blackscholes_price($AD40,$C$5,$C$6,$C$8,$C$9,AE$37,$C$10)</f>
        <v>4.1884473116166703</v>
      </c>
      <c r="AF40" s="24">
        <f>_xll.acq_options_blackscholes_price($AD40,$C$5,$C$6,$C$8,$C$9,AF$37,$C$10)</f>
        <v>4.1927776711207656</v>
      </c>
      <c r="AG40" s="25">
        <f>_xll.acq_options_blackscholes_price($AD40,$C$5,$C$6,$C$8,$C$9,AG$37,$C$10)</f>
        <v>4.197108889690881</v>
      </c>
      <c r="AI40">
        <f>_xll.acq_options_blackscholes_delta($AD40,$C$5,$C$6,$C$8,$C$9,AE$37,$C$10)</f>
        <v>0.26808300802465251</v>
      </c>
      <c r="AJ40">
        <f>_xll.acq_options_blackscholes_delta($AD40,$C$5,$C$6,$C$8,$C$9,AF$37,$C$10)</f>
        <v>0.26820592376276564</v>
      </c>
      <c r="AK40">
        <f>_xll.acq_options_blackscholes_delta($AD40,$C$5,$C$6,$C$8,$C$9,AG$37,$C$10)</f>
        <v>0.26832876505676068</v>
      </c>
      <c r="AM40">
        <f>_xll.acq_options_blackscholes_vega($AD40,$C$5,$C$6,$C$8,$C$9,AE$37)</f>
        <v>43.299295621061738</v>
      </c>
      <c r="AN40" s="19">
        <f>_xll.acq_options_blackscholes_vega($AD40,$C$5,$C$6,$C$8,$C$9,AF$37)</f>
        <v>43.307892415179737</v>
      </c>
      <c r="AO40">
        <f>_xll.acq_options_blackscholes_vega($AD40,$C$5,$C$6,$C$8,$C$9,AG$37)</f>
        <v>43.31647694467339</v>
      </c>
      <c r="AQ40">
        <f>_xll.acq_options_blackscholes_vanna($AD40,$C$5,$C$6,$C$8,$C$9,AE$37)</f>
        <v>1.2295298491964135</v>
      </c>
      <c r="AR40">
        <f>_xll.acq_options_blackscholes_vanna($AD40,$C$5,$C$6,$C$8,$C$9,AF$37)</f>
        <v>1.2287850368322066</v>
      </c>
      <c r="AS40">
        <f>_xll.acq_options_blackscholes_vanna($AD40,$C$5,$C$6,$C$8,$C$9,AG$37)</f>
        <v>1.2280409667219361</v>
      </c>
    </row>
    <row r="41" spans="12:45" x14ac:dyDescent="0.25"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2:45" x14ac:dyDescent="0.25"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AD42" t="s">
        <v>110</v>
      </c>
      <c r="AE42" s="14">
        <v>1E-4</v>
      </c>
      <c r="AF42" s="17">
        <f>_xll.acq_diff1_c3pt(AE37:AG37,AI39:AK39)</f>
        <v>1.2287883860227744</v>
      </c>
      <c r="AG42" s="17">
        <f>_xll.acq_diff1_c3pt(AD38:AD40,AN38:AN40)</f>
        <v>1.228788262283296</v>
      </c>
    </row>
    <row r="43" spans="12:45" x14ac:dyDescent="0.25"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AD43" t="s">
        <v>111</v>
      </c>
      <c r="AF43" s="36">
        <f>AR39-AF42</f>
        <v>-1.2370780688719663E-7</v>
      </c>
      <c r="AG43" s="36">
        <f>AR39-AG42</f>
        <v>3.1671554268086766E-11</v>
      </c>
      <c r="AH43" s="11"/>
    </row>
    <row r="44" spans="12:45" x14ac:dyDescent="0.25"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2:45" x14ac:dyDescent="0.25"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2:45" x14ac:dyDescent="0.25"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2:45" x14ac:dyDescent="0.25"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2:45" x14ac:dyDescent="0.25"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2:25" x14ac:dyDescent="0.25"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2:25" x14ac:dyDescent="0.25">
      <c r="M50" s="11"/>
      <c r="N50" s="11"/>
      <c r="O50" s="11"/>
      <c r="P50" s="11"/>
      <c r="Q50" s="11"/>
      <c r="S50" s="11"/>
      <c r="U50" s="11"/>
      <c r="V50" s="11"/>
      <c r="W50" s="11"/>
      <c r="Y50" s="11"/>
    </row>
    <row r="51" spans="12:25" x14ac:dyDescent="0.25">
      <c r="M51" s="11"/>
      <c r="N51" s="11"/>
      <c r="O51" s="11"/>
      <c r="P51" s="11"/>
      <c r="Q51" s="11"/>
      <c r="S51" s="11"/>
      <c r="U51" s="11"/>
      <c r="V51" s="11"/>
      <c r="W51" s="11"/>
      <c r="Y51" s="11"/>
    </row>
    <row r="52" spans="12:25" x14ac:dyDescent="0.25">
      <c r="M52" s="11"/>
      <c r="N52" s="11"/>
      <c r="O52" s="11"/>
      <c r="P52" s="11"/>
      <c r="Q52" s="11"/>
      <c r="S52" s="11"/>
      <c r="U52" s="11"/>
      <c r="V52" s="11"/>
      <c r="W52" s="11"/>
      <c r="Y52" s="11"/>
    </row>
    <row r="53" spans="12:25" x14ac:dyDescent="0.25">
      <c r="M53" s="11"/>
      <c r="N53" s="11"/>
      <c r="O53" s="11"/>
      <c r="P53" s="11"/>
      <c r="Q53" s="11"/>
      <c r="S53" s="11"/>
      <c r="U53" s="11"/>
      <c r="V53" s="11"/>
      <c r="W53" s="11"/>
      <c r="Y53" s="11"/>
    </row>
    <row r="54" spans="12:25" x14ac:dyDescent="0.25">
      <c r="M54" s="11"/>
      <c r="N54" s="11"/>
      <c r="O54" s="11"/>
      <c r="P54" s="11"/>
      <c r="Q54" s="11"/>
      <c r="S54" s="11"/>
      <c r="U54" s="11"/>
      <c r="V54" s="11"/>
      <c r="W54" s="11"/>
      <c r="Y54" s="11"/>
    </row>
    <row r="55" spans="12:25" x14ac:dyDescent="0.25">
      <c r="M55" s="11"/>
      <c r="N55" s="11"/>
      <c r="O55" s="11"/>
      <c r="P55" s="11"/>
      <c r="Q55" s="11"/>
      <c r="S55" s="11"/>
      <c r="U55" s="11"/>
      <c r="V55" s="11"/>
      <c r="W55" s="11"/>
      <c r="Y55" s="11"/>
    </row>
    <row r="56" spans="12:25" x14ac:dyDescent="0.25">
      <c r="M56" s="11"/>
      <c r="N56" s="11"/>
      <c r="O56" s="11"/>
      <c r="P56" s="11"/>
      <c r="Q56" s="11"/>
      <c r="S56" s="11"/>
      <c r="U56" s="11"/>
      <c r="V56" s="11"/>
      <c r="W56" s="11"/>
      <c r="Y56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B880-8B2C-4D2D-B567-C1990F7A61F3}">
  <sheetPr codeName="Sheet5"/>
  <dimension ref="A1:AE45"/>
  <sheetViews>
    <sheetView tabSelected="1" workbookViewId="0">
      <selection activeCell="E6" sqref="E6"/>
    </sheetView>
  </sheetViews>
  <sheetFormatPr defaultRowHeight="15" x14ac:dyDescent="0.25"/>
  <cols>
    <col min="10" max="10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46" t="s">
        <v>135</v>
      </c>
      <c r="B1" s="46"/>
      <c r="C1" s="46"/>
      <c r="D1" s="46"/>
      <c r="E1" s="46"/>
      <c r="F1" s="46"/>
      <c r="G1" s="46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45" t="s">
        <v>139</v>
      </c>
      <c r="G3" s="45"/>
      <c r="H3" s="45"/>
      <c r="I3" s="45" t="s">
        <v>137</v>
      </c>
      <c r="J3" s="45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4">
        <v>120</v>
      </c>
      <c r="N4" s="44">
        <v>130</v>
      </c>
      <c r="O4" s="44">
        <v>140</v>
      </c>
      <c r="P4" s="44">
        <v>150</v>
      </c>
      <c r="Q4" s="44">
        <v>160</v>
      </c>
      <c r="R4" s="44">
        <v>170</v>
      </c>
      <c r="S4" s="44">
        <v>180</v>
      </c>
      <c r="U4" t="s">
        <v>136</v>
      </c>
      <c r="V4" s="44">
        <v>120</v>
      </c>
      <c r="W4" s="44">
        <v>130</v>
      </c>
      <c r="X4" s="44">
        <v>140</v>
      </c>
      <c r="Y4" s="44">
        <v>150</v>
      </c>
      <c r="Z4" s="44">
        <v>160</v>
      </c>
      <c r="AA4" s="44">
        <v>170</v>
      </c>
      <c r="AB4" s="44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_xll.acq_options_bjerksund_price_approx($C$4,F5,$C$6,$C$8,$C$9,$C$7,TRUE)</f>
        <v>60.249558470704109</v>
      </c>
      <c r="H5">
        <f>_xll.acq_options_bjerksund_price_approx($C$4,F5,$C$6,$C$8,$C$9,$C$7,FALSE)</f>
        <v>1.45451366506677E-8</v>
      </c>
      <c r="I5">
        <f>_xll.acq_options_blackscholes_price($C$4,F5,$C$6,$C$8,$C$9,$C$7,TRUE)</f>
        <v>60.249558470704109</v>
      </c>
      <c r="J5">
        <f>_xll.acq_options_blackscholes_price($C$4,G5,$C$6,$C$8,$C$9,$C$7,FALSE)</f>
        <v>3.2409702289365026</v>
      </c>
      <c r="L5" s="48">
        <v>0.05</v>
      </c>
      <c r="M5">
        <f>_xll.acq_options_bjerksund_price_approx(M$4,$C$5,$L5,$C$8,$C$9,$C$7,TRUE)</f>
        <v>5.5406465471966558E-5</v>
      </c>
      <c r="N5">
        <f>_xll.acq_options_bjerksund_price_approx(N$4,$C$5,$L5,$C$8,$C$9,$C$7,TRUE)</f>
        <v>1.2933090223175903E-2</v>
      </c>
      <c r="O5">
        <f>_xll.acq_options_bjerksund_price_approx(O$4,$C$5,$L5,$C$8,$C$9,$C$7,TRUE)</f>
        <v>0.42214400501387139</v>
      </c>
      <c r="P5">
        <f>_xll.acq_options_bjerksund_price_approx(P$4,$C$5,$L5,$C$8,$C$9,$C$7,TRUE)</f>
        <v>3.334777836621214</v>
      </c>
      <c r="Q5">
        <f>_xll.acq_options_bjerksund_price_approx(Q$4,$C$5,$L5,$C$8,$C$9,$C$7,TRUE)</f>
        <v>10.501286446631354</v>
      </c>
      <c r="R5">
        <f>_xll.acq_options_bjerksund_price_approx(R$4,$C$5,$L5,$C$8,$C$9,$C$7,TRUE)</f>
        <v>19.978981172055768</v>
      </c>
      <c r="S5">
        <f>_xll.acq_options_bjerksund_price_approx(S$4,$C$5,$L5,$C$8,$C$9,$C$7,TRUE)</f>
        <v>29.911482759239618</v>
      </c>
      <c r="U5" s="48">
        <v>0.05</v>
      </c>
      <c r="V5">
        <f>_xll.acq_options_bjerksund_price_approx(V$4,$C$5,$U5,$C$8,$C$9,$C$7,FALSE)</f>
        <v>30</v>
      </c>
      <c r="W5">
        <f>_xll.acq_options_bjerksund_price_approx(W$4,$C$5,$U5,$C$8,$C$9,$C$7,FALSE)</f>
        <v>20</v>
      </c>
      <c r="X5">
        <f>_xll.acq_options_bjerksund_price_approx(X$4,$C$5,$U5,$C$8,$C$9,$C$7,FALSE)</f>
        <v>10.18504362777812</v>
      </c>
      <c r="Y5">
        <f>_xll.acq_options_bjerksund_price_approx(Y$4,$C$5,$U5,$C$8,$C$9,$C$7,FALSE)</f>
        <v>3.1384221077732235</v>
      </c>
      <c r="Z5">
        <f>_xll.acq_options_bjerksund_price_approx(Z$4,$C$5,$U5,$C$8,$C$9,$C$7,FALSE)</f>
        <v>0.47775635971180463</v>
      </c>
      <c r="AA5">
        <f>_xll.acq_options_bjerksund_price_approx(AA$4,$C$5,$U5,$C$8,$C$9,$C$7,FALSE)</f>
        <v>3.3349932689986872E-2</v>
      </c>
      <c r="AB5">
        <f>_xll.acq_options_bjerksund_price_approx(AB$4,$C$5,$U5,$C$8,$C$9,$C$7,FALSE)</f>
        <v>1.1017056366426914E-3</v>
      </c>
    </row>
    <row r="6" spans="1:28" x14ac:dyDescent="0.25">
      <c r="B6" t="s">
        <v>88</v>
      </c>
      <c r="C6" s="5">
        <v>2.5</v>
      </c>
      <c r="F6">
        <v>20</v>
      </c>
      <c r="G6">
        <f>_xll.acq_options_bjerksund_price_approx($C$4,F6,$C$6,$C$8,$C$9,$C$7,TRUE)</f>
        <v>51.643238988719183</v>
      </c>
      <c r="H6">
        <f>_xll.acq_options_bjerksund_price_approx($C$4,F6,$C$6,$C$8,$C$9,$C$7,FALSE)</f>
        <v>1.7144366461252503E-4</v>
      </c>
      <c r="I6">
        <f>_xll.acq_options_blackscholes_price($C$4,F6,$C$6,$C$8,$C$9,$C$7,TRUE)</f>
        <v>51.643238988719183</v>
      </c>
      <c r="J6">
        <f>_xll.acq_options_blackscholes_price($C$4,G6,$C$6,$C$8,$C$9,$C$7,FALSE)</f>
        <v>1.4604738210067554</v>
      </c>
      <c r="L6" s="48">
        <v>0.1</v>
      </c>
      <c r="M6">
        <f>_xll.acq_options_bjerksund_price_approx(M$4,$C$5,$L6,$C$8,$C$9,$C$7,TRUE)</f>
        <v>7.4321492242979126E-3</v>
      </c>
      <c r="N6">
        <f>_xll.acq_options_bjerksund_price_approx(N$4,$C$5,$L6,$C$8,$C$9,$C$7,TRUE)</f>
        <v>0.15262645017283294</v>
      </c>
      <c r="O6">
        <f>_xll.acq_options_bjerksund_price_approx(O$4,$C$5,$L6,$C$8,$C$9,$C$7,TRUE)</f>
        <v>1.2014947001305352</v>
      </c>
      <c r="P6">
        <f>_xll.acq_options_bjerksund_price_approx(P$4,$C$5,$L6,$C$8,$C$9,$C$7,TRUE)</f>
        <v>4.7013488821066858</v>
      </c>
      <c r="Q6">
        <f>_xll.acq_options_bjerksund_price_approx(Q$4,$C$5,$L6,$C$8,$C$9,$C$7,TRUE)</f>
        <v>11.361232793456026</v>
      </c>
      <c r="R6">
        <f>_xll.acq_options_bjerksund_price_approx(R$4,$C$5,$L6,$C$8,$C$9,$C$7,TRUE)</f>
        <v>20.183594612760373</v>
      </c>
      <c r="S6">
        <f>_xll.acq_options_bjerksund_price_approx(S$4,$C$5,$L6,$C$8,$C$9,$C$7,TRUE)</f>
        <v>29.866937861547115</v>
      </c>
      <c r="U6" s="48">
        <v>0.1</v>
      </c>
      <c r="V6">
        <f>_xll.acq_options_bjerksund_price_approx(V$4,$C$5,$U6,$C$8,$C$9,$C$7,FALSE)</f>
        <v>30</v>
      </c>
      <c r="W6">
        <f>_xll.acq_options_bjerksund_price_approx(W$4,$C$5,$U6,$C$8,$C$9,$C$7,FALSE)</f>
        <v>20</v>
      </c>
      <c r="X6">
        <f>_xll.acq_options_bjerksund_price_approx(X$4,$C$5,$U6,$C$8,$C$9,$C$7,FALSE)</f>
        <v>10.70274525100454</v>
      </c>
      <c r="Y6">
        <f>_xll.acq_options_bjerksund_price_approx(Y$4,$C$5,$U6,$C$8,$C$9,$C$7,FALSE)</f>
        <v>4.323515151201903</v>
      </c>
      <c r="Z6">
        <f>_xll.acq_options_bjerksund_price_approx(Z$4,$C$5,$U6,$C$8,$C$9,$C$7,FALSE)</f>
        <v>1.2488238283683302</v>
      </c>
      <c r="AA6">
        <f>_xll.acq_options_bjerksund_price_approx(AA$4,$C$5,$U6,$C$8,$C$9,$C$7,FALSE)</f>
        <v>0.25445924170767853</v>
      </c>
      <c r="AB6">
        <f>_xll.acq_options_bjerksund_price_approx(AB$4,$C$5,$U6,$C$8,$C$9,$C$7,FALSE)</f>
        <v>3.7185007899296352E-2</v>
      </c>
    </row>
    <row r="7" spans="1:28" x14ac:dyDescent="0.25">
      <c r="B7" t="s">
        <v>89</v>
      </c>
      <c r="C7" s="5">
        <v>0.25</v>
      </c>
      <c r="F7">
        <v>30</v>
      </c>
      <c r="G7">
        <f>_xll.acq_options_bjerksund_price_approx($C$4,F7,$C$6,$C$8,$C$9,$C$7,TRUE)</f>
        <v>43.070218293843979</v>
      </c>
      <c r="H7">
        <f>_xll.acq_options_bjerksund_price_approx($C$4,F7,$C$6,$C$8,$C$9,$C$7,FALSE)</f>
        <v>1.1270787915449887E-2</v>
      </c>
      <c r="I7">
        <f>_xll.acq_options_blackscholes_price($C$4,F7,$C$6,$C$8,$C$9,$C$7,TRUE)</f>
        <v>43.070218293843979</v>
      </c>
      <c r="J7">
        <f>_xll.acq_options_blackscholes_price($C$4,G7,$C$6,$C$8,$C$9,$C$7,FALSE)</f>
        <v>0.49501536694438641</v>
      </c>
      <c r="L7" s="48">
        <v>0.15</v>
      </c>
      <c r="M7">
        <f>_xll.acq_options_bjerksund_price_approx(M$4,$C$5,$L7,$C$8,$C$9,$C$7,TRUE)</f>
        <v>4.6461255493347009E-2</v>
      </c>
      <c r="N7">
        <f>_xll.acq_options_bjerksund_price_approx(N$4,$C$5,$L7,$C$8,$C$9,$C$7,TRUE)</f>
        <v>0.41252916144221174</v>
      </c>
      <c r="O7">
        <f>_xll.acq_options_bjerksund_price_approx(O$4,$C$5,$L7,$C$8,$C$9,$C$7,TRUE)</f>
        <v>1.9436117065435283</v>
      </c>
      <c r="P7">
        <f>_xll.acq_options_bjerksund_price_approx(P$4,$C$5,$L7,$C$8,$C$9,$C$7,TRUE)</f>
        <v>5.7399577137358477</v>
      </c>
      <c r="Q7">
        <f>_xll.acq_options_bjerksund_price_approx(Q$4,$C$5,$L7,$C$8,$C$9,$C$7,TRUE)</f>
        <v>12.155858521118432</v>
      </c>
      <c r="R7">
        <f>_xll.acq_options_bjerksund_price_approx(R$4,$C$5,$L7,$C$8,$C$9,$C$7,TRUE)</f>
        <v>20.52879418638193</v>
      </c>
      <c r="S7">
        <f>_xll.acq_options_bjerksund_price_approx(S$4,$C$5,$L7,$C$8,$C$9,$C$7,TRUE)</f>
        <v>29.91318851001617</v>
      </c>
      <c r="U7" s="48">
        <v>0.15</v>
      </c>
      <c r="V7">
        <f>_xll.acq_options_bjerksund_price_approx(V$4,$C$5,$U7,$C$8,$C$9,$C$7,FALSE)</f>
        <v>30</v>
      </c>
      <c r="W7">
        <f>_xll.acq_options_bjerksund_price_approx(W$4,$C$5,$U7,$C$8,$C$9,$C$7,FALSE)</f>
        <v>20.001920467055228</v>
      </c>
      <c r="X7">
        <f>_xll.acq_options_bjerksund_price_approx(X$4,$C$5,$U7,$C$8,$C$9,$C$7,FALSE)</f>
        <v>11.215430755407048</v>
      </c>
      <c r="Y7">
        <f>_xll.acq_options_bjerksund_price_approx(Y$4,$C$5,$U7,$C$8,$C$9,$C$7,FALSE)</f>
        <v>5.190490800613432</v>
      </c>
      <c r="Z7">
        <f>_xll.acq_options_bjerksund_price_approx(Z$4,$C$5,$U7,$C$8,$C$9,$C$7,FALSE)</f>
        <v>1.9396936783394665</v>
      </c>
      <c r="AA7">
        <f>_xll.acq_options_bjerksund_price_approx(AA$4,$C$5,$U7,$C$8,$C$9,$C$7,FALSE)</f>
        <v>0.58423039563368206</v>
      </c>
      <c r="AB7">
        <f>_xll.acq_options_bjerksund_price_approx(AB$4,$C$5,$U7,$C$8,$C$9,$C$7,FALSE)</f>
        <v>0.14353303380678994</v>
      </c>
    </row>
    <row r="8" spans="1:28" x14ac:dyDescent="0.25">
      <c r="B8" t="s">
        <v>90</v>
      </c>
      <c r="C8" s="5">
        <v>0.06</v>
      </c>
      <c r="F8">
        <v>40</v>
      </c>
      <c r="G8">
        <f>_xll.acq_options_bjerksund_price_approx($C$4,F8,$C$6,$C$8,$C$9,$C$7,TRUE)</f>
        <v>34.732350696547442</v>
      </c>
      <c r="H8">
        <f>_xll.acq_options_bjerksund_price_approx($C$4,F8,$C$6,$C$8,$C$9,$C$7,FALSE)</f>
        <v>0.12687762656902635</v>
      </c>
      <c r="I8">
        <f>_xll.acq_options_blackscholes_price($C$4,F8,$C$6,$C$8,$C$9,$C$7,TRUE)</f>
        <v>34.732350696547442</v>
      </c>
      <c r="J8">
        <f>_xll.acq_options_blackscholes_price($C$4,G8,$C$6,$C$8,$C$9,$C$7,FALSE)</f>
        <v>0.11085764156847244</v>
      </c>
      <c r="L8" s="48">
        <v>0.2</v>
      </c>
      <c r="M8">
        <f>_xll.acq_options_bjerksund_price_approx(M$4,$C$5,$L8,$C$8,$C$9,$C$7,TRUE)</f>
        <v>0.12708917162981281</v>
      </c>
      <c r="N8">
        <f>_xll.acq_options_bjerksund_price_approx(N$4,$C$5,$L8,$C$8,$C$9,$C$7,TRUE)</f>
        <v>0.73204173962328056</v>
      </c>
      <c r="O8">
        <f>_xll.acq_options_bjerksund_price_approx(O$4,$C$5,$L8,$C$8,$C$9,$C$7,TRUE)</f>
        <v>2.6237251947986522</v>
      </c>
      <c r="P8">
        <f>_xll.acq_options_bjerksund_price_approx(P$4,$C$5,$L8,$C$8,$C$9,$C$7,TRUE)</f>
        <v>6.6072182042030931</v>
      </c>
      <c r="Q8">
        <f>_xll.acq_options_bjerksund_price_approx(Q$4,$C$5,$L8,$C$8,$C$9,$C$7,TRUE)</f>
        <v>12.873137023332717</v>
      </c>
      <c r="R8">
        <f>_xll.acq_options_bjerksund_price_approx(R$4,$C$5,$L8,$C$8,$C$9,$C$7,TRUE)</f>
        <v>20.924799488846745</v>
      </c>
      <c r="S8">
        <f>_xll.acq_options_bjerksund_price_approx(S$4,$C$5,$L8,$C$8,$C$9,$C$7,TRUE)</f>
        <v>30.033950291703007</v>
      </c>
      <c r="U8" s="48">
        <v>0.2</v>
      </c>
      <c r="V8">
        <f>_xll.acq_options_bjerksund_price_approx(V$4,$C$5,$U8,$C$8,$C$9,$C$7,FALSE)</f>
        <v>30</v>
      </c>
      <c r="W8">
        <f>_xll.acq_options_bjerksund_price_approx(W$4,$C$5,$U8,$C$8,$C$9,$C$7,FALSE)</f>
        <v>20.059879979875106</v>
      </c>
      <c r="X8">
        <f>_xll.acq_options_bjerksund_price_approx(X$4,$C$5,$U8,$C$8,$C$9,$C$7,FALSE)</f>
        <v>11.685170289085562</v>
      </c>
      <c r="Y8">
        <f>_xll.acq_options_bjerksund_price_approx(Y$4,$C$5,$U8,$C$8,$C$9,$C$7,FALSE)</f>
        <v>5.8941074536139695</v>
      </c>
      <c r="Z8">
        <f>_xll.acq_options_bjerksund_price_approx(Z$4,$C$5,$U8,$C$8,$C$9,$C$7,FALSE)</f>
        <v>2.5490123498013304</v>
      </c>
      <c r="AA8">
        <f>_xll.acq_options_bjerksund_price_approx(AA$4,$C$5,$U8,$C$8,$C$9,$C$7,FALSE)</f>
        <v>0.94675254931996733</v>
      </c>
      <c r="AB8">
        <f>_xll.acq_options_bjerksund_price_approx(AB$4,$C$5,$U8,$C$8,$C$9,$C$7,FALSE)</f>
        <v>0.30487700103364546</v>
      </c>
    </row>
    <row r="9" spans="1:28" x14ac:dyDescent="0.25">
      <c r="B9" t="s">
        <v>123</v>
      </c>
      <c r="C9" s="37">
        <v>0.06</v>
      </c>
      <c r="F9">
        <v>50</v>
      </c>
      <c r="G9">
        <f>_xll.acq_options_bjerksund_price_approx($C$4,F9,$C$6,$C$8,$C$9,$C$7,TRUE)</f>
        <v>27.039778414947577</v>
      </c>
      <c r="H9">
        <f>_xll.acq_options_bjerksund_price_approx($C$4,F9,$C$6,$C$8,$C$9,$C$7,FALSE)</f>
        <v>0.61844884365571318</v>
      </c>
      <c r="I9">
        <f>_xll.acq_options_blackscholes_price($C$4,F9,$C$6,$C$8,$C$9,$C$7,TRUE)</f>
        <v>27.039778414947577</v>
      </c>
      <c r="J9">
        <f>_xll.acq_options_blackscholes_price($C$4,G9,$C$6,$C$8,$C$9,$C$7,FALSE)</f>
        <v>1.426895703799709E-2</v>
      </c>
      <c r="L9" s="48">
        <v>0.25</v>
      </c>
      <c r="M9">
        <f>_xll.acq_options_bjerksund_price_approx(M$4,$C$5,$L9,$C$8,$C$9,$C$7,TRUE)</f>
        <v>0.24444161162469946</v>
      </c>
      <c r="N9">
        <f>_xll.acq_options_bjerksund_price_approx(N$4,$C$5,$L9,$C$8,$C$9,$C$7,TRUE)</f>
        <v>1.0777160954364895</v>
      </c>
      <c r="O9">
        <f>_xll.acq_options_bjerksund_price_approx(O$4,$C$5,$L9,$C$8,$C$9,$C$7,TRUE)</f>
        <v>3.248672450495846</v>
      </c>
      <c r="P9">
        <f>_xll.acq_options_bjerksund_price_approx(P$4,$C$5,$L9,$C$8,$C$9,$C$7,TRUE)</f>
        <v>7.364007980336666</v>
      </c>
      <c r="Q9">
        <f>_xll.acq_options_bjerksund_price_approx(Q$4,$C$5,$L9,$C$8,$C$9,$C$7,TRUE)</f>
        <v>13.525614789490845</v>
      </c>
      <c r="R9">
        <f>_xll.acq_options_bjerksund_price_approx(R$4,$C$5,$L9,$C$8,$C$9,$C$7,TRUE)</f>
        <v>21.334437719804967</v>
      </c>
      <c r="S9">
        <f>_xll.acq_options_bjerksund_price_approx(S$4,$C$5,$L9,$C$8,$C$9,$C$7,TRUE)</f>
        <v>30.203730848908037</v>
      </c>
      <c r="U9" s="48">
        <v>0.25</v>
      </c>
      <c r="V9">
        <f>_xll.acq_options_bjerksund_price_approx(V$4,$C$5,$U9,$C$8,$C$9,$C$7,FALSE)</f>
        <v>30</v>
      </c>
      <c r="W9">
        <f>_xll.acq_options_bjerksund_price_approx(W$4,$C$5,$U9,$C$8,$C$9,$C$7,FALSE)</f>
        <v>20.161734159445849</v>
      </c>
      <c r="X9">
        <f>_xll.acq_options_bjerksund_price_approx(X$4,$C$5,$U9,$C$8,$C$9,$C$7,FALSE)</f>
        <v>12.113197097513428</v>
      </c>
      <c r="Y9">
        <f>_xll.acq_options_bjerksund_price_approx(Y$4,$C$5,$U9,$C$8,$C$9,$C$7,FALSE)</f>
        <v>6.4941271274534387</v>
      </c>
      <c r="Z9">
        <f>_xll.acq_options_bjerksund_price_approx(Z$4,$C$5,$U9,$C$8,$C$9,$C$7,FALSE)</f>
        <v>3.0929303826990946</v>
      </c>
      <c r="AA9">
        <f>_xll.acq_options_bjerksund_price_approx(AA$4,$C$5,$U9,$C$8,$C$9,$C$7,FALSE)</f>
        <v>1.3124840209453339</v>
      </c>
      <c r="AB9">
        <f>_xll.acq_options_bjerksund_price_approx(AB$4,$C$5,$U9,$C$8,$C$9,$C$7,FALSE)</f>
        <v>0.50014792053050883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_xll.acq_options_bjerksund_price_approx($C$4,F10,$C$6,$C$8,$C$9,$C$7,TRUE)</f>
        <v>20.390726908197692</v>
      </c>
      <c r="H10">
        <f>_xll.acq_options_bjerksund_price_approx($C$4,F10,$C$6,$C$8,$C$9,$C$7,FALSE)</f>
        <v>1.8903923326725192</v>
      </c>
      <c r="I10">
        <f>_xll.acq_options_blackscholes_price($C$4,F10,$C$6,$C$8,$C$9,$C$7,TRUE)</f>
        <v>20.390726908197692</v>
      </c>
      <c r="J10">
        <f>_xll.acq_options_blackscholes_price($C$4,G10,$C$6,$C$8,$C$9,$C$7,FALSE)</f>
        <v>9.3215811534007841E-4</v>
      </c>
      <c r="L10" s="48">
        <v>0.3</v>
      </c>
      <c r="M10">
        <f>_xll.acq_options_bjerksund_price_approx(M$4,$C$5,$L10,$C$8,$C$9,$C$7,TRUE)</f>
        <v>0.39027254010901835</v>
      </c>
      <c r="N10">
        <f>_xll.acq_options_bjerksund_price_approx(N$4,$C$5,$L10,$C$8,$C$9,$C$7,TRUE)</f>
        <v>1.4328005583922518</v>
      </c>
      <c r="O10">
        <f>_xll.acq_options_bjerksund_price_approx(O$4,$C$5,$L10,$C$8,$C$9,$C$7,TRUE)</f>
        <v>3.8271849497956225</v>
      </c>
      <c r="P10">
        <f>_xll.acq_options_bjerksund_price_approx(P$4,$C$5,$L10,$C$8,$C$9,$C$7,TRUE)</f>
        <v>8.0416556749709116</v>
      </c>
      <c r="Q10">
        <f>_xll.acq_options_bjerksund_price_approx(Q$4,$C$5,$L10,$C$8,$C$9,$C$7,TRUE)</f>
        <v>14.124975956034859</v>
      </c>
      <c r="R10">
        <f>_xll.acq_options_bjerksund_price_approx(R$4,$C$5,$L10,$C$8,$C$9,$C$7,TRUE)</f>
        <v>21.742022411399475</v>
      </c>
      <c r="S10">
        <f>_xll.acq_options_bjerksund_price_approx(S$4,$C$5,$L10,$C$8,$C$9,$C$7,TRUE)</f>
        <v>30.403895162587332</v>
      </c>
      <c r="U10" s="48">
        <v>0.3</v>
      </c>
      <c r="V10">
        <f>_xll.acq_options_bjerksund_price_approx(V$4,$C$5,$U10,$C$8,$C$9,$C$7,FALSE)</f>
        <v>30</v>
      </c>
      <c r="W10">
        <f>_xll.acq_options_bjerksund_price_approx(W$4,$C$5,$U10,$C$8,$C$9,$C$7,FALSE)</f>
        <v>20.28856722306762</v>
      </c>
      <c r="X10">
        <f>_xll.acq_options_bjerksund_price_approx(X$4,$C$5,$U10,$C$8,$C$9,$C$7,FALSE)</f>
        <v>12.50527118864953</v>
      </c>
      <c r="Y10">
        <f>_xll.acq_options_bjerksund_price_approx(Y$4,$C$5,$U10,$C$8,$C$9,$C$7,FALSE)</f>
        <v>7.0210995775381946</v>
      </c>
      <c r="Z10">
        <f>_xll.acq_options_bjerksund_price_approx(Z$4,$C$5,$U10,$C$8,$C$9,$C$7,FALSE)</f>
        <v>3.5847032433122621</v>
      </c>
      <c r="AA10">
        <f>_xll.acq_options_bjerksund_price_approx(AA$4,$C$5,$U10,$C$8,$C$9,$C$7,FALSE)</f>
        <v>1.6699745140907396</v>
      </c>
      <c r="AB10">
        <f>_xll.acq_options_bjerksund_price_approx(AB$4,$C$5,$U10,$C$8,$C$9,$C$7,FALSE)</f>
        <v>0.7146162868865531</v>
      </c>
    </row>
    <row r="11" spans="1:28" x14ac:dyDescent="0.25">
      <c r="F11">
        <v>70</v>
      </c>
      <c r="G11">
        <f>_xll.acq_options_bjerksund_price_approx($C$4,F11,$C$6,$C$8,$C$9,$C$7,TRUE)</f>
        <v>14.980604982041015</v>
      </c>
      <c r="H11">
        <f>_xll.acq_options_bjerksund_price_approx($C$4,F11,$C$6,$C$8,$C$9,$C$7,FALSE)</f>
        <v>4.3382949849802444</v>
      </c>
      <c r="I11">
        <f>_xll.acq_options_blackscholes_price($C$4,F11,$C$6,$C$8,$C$9,$C$7,TRUE)</f>
        <v>14.980604982041015</v>
      </c>
      <c r="J11">
        <f>_xll.acq_options_blackscholes_price($C$4,G11,$C$6,$C$8,$C$9,$C$7,FALSE)</f>
        <v>2.8027241433398957E-5</v>
      </c>
      <c r="L11" s="48">
        <v>0.35</v>
      </c>
      <c r="M11">
        <f>_xll.acq_options_bjerksund_price_approx(M$4,$C$5,$L11,$C$8,$C$9,$C$7,TRUE)</f>
        <v>0.55711743962789662</v>
      </c>
      <c r="N11">
        <f>_xll.acq_options_bjerksund_price_approx(N$4,$C$5,$L11,$C$8,$C$9,$C$7,TRUE)</f>
        <v>1.7886799574834953</v>
      </c>
      <c r="O11">
        <f>_xll.acq_options_bjerksund_price_approx(O$4,$C$5,$L11,$C$8,$C$9,$C$7,TRUE)</f>
        <v>4.3665619494254173</v>
      </c>
      <c r="P11">
        <f>_xll.acq_options_bjerksund_price_approx(P$4,$C$5,$L11,$C$8,$C$9,$C$7,TRUE)</f>
        <v>8.6588352118634049</v>
      </c>
      <c r="Q11">
        <f>_xll.acq_options_bjerksund_price_approx(Q$4,$C$5,$L11,$C$8,$C$9,$C$7,TRUE)</f>
        <v>14.68024803329898</v>
      </c>
      <c r="R11">
        <f>_xll.acq_options_bjerksund_price_approx(R$4,$C$5,$L11,$C$8,$C$9,$C$7,TRUE)</f>
        <v>22.140673845586747</v>
      </c>
      <c r="S11">
        <f>_xll.acq_options_bjerksund_price_approx(S$4,$C$5,$L11,$C$8,$C$9,$C$7,TRUE)</f>
        <v>30.622208044236658</v>
      </c>
      <c r="U11" s="48">
        <v>0.35</v>
      </c>
      <c r="V11">
        <f>_xll.acq_options_bjerksund_price_approx(V$4,$C$5,$U11,$C$8,$C$9,$C$7,FALSE)</f>
        <v>30</v>
      </c>
      <c r="W11">
        <f>_xll.acq_options_bjerksund_price_approx(W$4,$C$5,$U11,$C$8,$C$9,$C$7,FALSE)</f>
        <v>20.429110201976329</v>
      </c>
      <c r="X11">
        <f>_xll.acq_options_bjerksund_price_approx(X$4,$C$5,$U11,$C$8,$C$9,$C$7,FALSE)</f>
        <v>12.866860834687323</v>
      </c>
      <c r="Y11">
        <f>_xll.acq_options_bjerksund_price_approx(Y$4,$C$5,$U11,$C$8,$C$9,$C$7,FALSE)</f>
        <v>7.4931101832985831</v>
      </c>
      <c r="Z11">
        <f>_xll.acq_options_bjerksund_price_approx(Z$4,$C$5,$U11,$C$8,$C$9,$C$7,FALSE)</f>
        <v>4.0341331984300837</v>
      </c>
      <c r="AA11">
        <f>_xll.acq_options_bjerksund_price_approx(AA$4,$C$5,$U11,$C$8,$C$9,$C$7,FALSE)</f>
        <v>2.0148616348597272</v>
      </c>
      <c r="AB11">
        <f>_xll.acq_options_bjerksund_price_approx(AB$4,$C$5,$U11,$C$8,$C$9,$C$7,FALSE)</f>
        <v>0.93898654017260696</v>
      </c>
    </row>
    <row r="12" spans="1:28" x14ac:dyDescent="0.25">
      <c r="F12">
        <v>80</v>
      </c>
      <c r="G12">
        <f>_xll.acq_options_bjerksund_price_approx($C$4,F12,$C$6,$C$8,$C$9,$C$7,TRUE)</f>
        <v>10.788121014927199</v>
      </c>
      <c r="H12">
        <f>_xll.acq_options_bjerksund_price_approx($C$4,F12,$C$6,$C$8,$C$9,$C$7,FALSE)</f>
        <v>8.2510544914383672</v>
      </c>
      <c r="I12">
        <f>_xll.acq_options_blackscholes_price($C$4,F12,$C$6,$C$8,$C$9,$C$7,TRUE)</f>
        <v>10.788121014927199</v>
      </c>
      <c r="J12">
        <f>_xll.acq_options_blackscholes_price($C$4,G12,$C$6,$C$8,$C$9,$C$7,FALSE)</f>
        <v>3.6218005932214387E-7</v>
      </c>
      <c r="L12" s="48">
        <v>0.4</v>
      </c>
      <c r="M12">
        <f>_xll.acq_options_bjerksund_price_approx(M$4,$C$5,$L12,$C$8,$C$9,$C$7,TRUE)</f>
        <v>0.73908665875073609</v>
      </c>
      <c r="N12">
        <f>_xll.acq_options_bjerksund_price_approx(N$4,$C$5,$L12,$C$8,$C$9,$C$7,TRUE)</f>
        <v>2.1408011079752605</v>
      </c>
      <c r="O12">
        <f>_xll.acq_options_bjerksund_price_approx(O$4,$C$5,$L12,$C$8,$C$9,$C$7,TRUE)</f>
        <v>4.8725625175067293</v>
      </c>
      <c r="P12">
        <f>_xll.acq_options_bjerksund_price_approx(P$4,$C$5,$L12,$C$8,$C$9,$C$7,TRUE)</f>
        <v>9.227755099494388</v>
      </c>
      <c r="Q12">
        <f>_xll.acq_options_bjerksund_price_approx(Q$4,$C$5,$L12,$C$8,$C$9,$C$7,TRUE)</f>
        <v>15.19829496627456</v>
      </c>
      <c r="R12">
        <f>_xll.acq_options_bjerksund_price_approx(R$4,$C$5,$L12,$C$8,$C$9,$C$7,TRUE)</f>
        <v>22.527416601592876</v>
      </c>
      <c r="S12">
        <f>_xll.acq_options_bjerksund_price_approx(S$4,$C$5,$L12,$C$8,$C$9,$C$7,TRUE)</f>
        <v>30.850737745484096</v>
      </c>
      <c r="U12" s="48">
        <v>0.4</v>
      </c>
      <c r="V12">
        <f>_xll.acq_options_bjerksund_price_approx(V$4,$C$5,$U12,$C$8,$C$9,$C$7,FALSE)</f>
        <v>30</v>
      </c>
      <c r="W12">
        <f>_xll.acq_options_bjerksund_price_approx(W$4,$C$5,$U12,$C$8,$C$9,$C$7,FALSE)</f>
        <v>20.576702408336132</v>
      </c>
      <c r="X12">
        <f>_xll.acq_options_bjerksund_price_approx(X$4,$C$5,$U12,$C$8,$C$9,$C$7,FALSE)</f>
        <v>13.202481650454104</v>
      </c>
      <c r="Y12">
        <f>_xll.acq_options_bjerksund_price_approx(Y$4,$C$5,$U12,$C$8,$C$9,$C$7,FALSE)</f>
        <v>7.9219003176608709</v>
      </c>
      <c r="Z12">
        <f>_xll.acq_options_bjerksund_price_approx(Z$4,$C$5,$U12,$C$8,$C$9,$C$7,FALSE)</f>
        <v>4.448487889031</v>
      </c>
      <c r="AA12">
        <f>_xll.acq_options_bjerksund_price_approx(AA$4,$C$5,$U12,$C$8,$C$9,$C$7,FALSE)</f>
        <v>2.3457563802716948</v>
      </c>
      <c r="AB12">
        <f>_xll.acq_options_bjerksund_price_approx(AB$4,$C$5,$U12,$C$8,$C$9,$C$7,FALSE)</f>
        <v>1.1674803035433001</v>
      </c>
    </row>
    <row r="13" spans="1:28" x14ac:dyDescent="0.25">
      <c r="F13">
        <v>90</v>
      </c>
      <c r="G13">
        <f>_xll.acq_options_bjerksund_price_approx($C$4,F13,$C$6,$C$8,$C$9,$C$7,TRUE)</f>
        <v>7.6566957498111279</v>
      </c>
      <c r="H13">
        <f>_xll.acq_options_bjerksund_price_approx($C$4,F13,$C$6,$C$8,$C$9,$C$7,FALSE)</f>
        <v>13.793321561722518</v>
      </c>
      <c r="I13">
        <f>_xll.acq_options_blackscholes_price($C$4,F13,$C$6,$C$8,$C$9,$C$7,TRUE)</f>
        <v>7.6566957498111279</v>
      </c>
      <c r="J13">
        <f>_xll.acq_options_blackscholes_price($C$4,G13,$C$6,$C$8,$C$9,$C$7,FALSE)</f>
        <v>1.9304414708222245E-9</v>
      </c>
      <c r="L13" s="48">
        <v>0.45</v>
      </c>
      <c r="M13">
        <f>_xll.acq_options_bjerksund_price_approx(M$4,$C$5,$L13,$C$8,$C$9,$C$7,TRUE)</f>
        <v>0.93172725196149564</v>
      </c>
      <c r="N13">
        <f>_xll.acq_options_bjerksund_price_approx(N$4,$C$5,$L13,$C$8,$C$9,$C$7,TRUE)</f>
        <v>2.4867387486766575</v>
      </c>
      <c r="O13">
        <f>_xll.acq_options_bjerksund_price_approx(O$4,$C$5,$L13,$C$8,$C$9,$C$7,TRUE)</f>
        <v>5.3497205066058342</v>
      </c>
      <c r="P13">
        <f>_xll.acq_options_bjerksund_price_approx(P$4,$C$5,$L13,$C$8,$C$9,$C$7,TRUE)</f>
        <v>9.7569243809158763</v>
      </c>
      <c r="Q13">
        <f>_xll.acq_options_bjerksund_price_approx(Q$4,$C$5,$L13,$C$8,$C$9,$C$7,TRUE)</f>
        <v>15.684404035736932</v>
      </c>
      <c r="R13">
        <f>_xll.acq_options_bjerksund_price_approx(R$4,$C$5,$L13,$C$8,$C$9,$C$7,TRUE)</f>
        <v>22.901118497951956</v>
      </c>
      <c r="S13">
        <f>_xll.acq_options_bjerksund_price_approx(S$4,$C$5,$L13,$C$8,$C$9,$C$7,TRUE)</f>
        <v>31.084295825844606</v>
      </c>
      <c r="U13" s="48">
        <v>0.45</v>
      </c>
      <c r="V13">
        <f>_xll.acq_options_bjerksund_price_approx(V$4,$C$5,$U13,$C$8,$C$9,$C$7,FALSE)</f>
        <v>30</v>
      </c>
      <c r="W13">
        <f>_xll.acq_options_bjerksund_price_approx(W$4,$C$5,$U13,$C$8,$C$9,$C$7,FALSE)</f>
        <v>20.727323879111289</v>
      </c>
      <c r="X13">
        <f>_xll.acq_options_bjerksund_price_approx(X$4,$C$5,$U13,$C$8,$C$9,$C$7,FALSE)</f>
        <v>13.51576476330748</v>
      </c>
      <c r="Y13">
        <f>_xll.acq_options_bjerksund_price_approx(Y$4,$C$5,$U13,$C$8,$C$9,$C$7,FALSE)</f>
        <v>8.3155956253103511</v>
      </c>
      <c r="Z13">
        <f>_xll.acq_options_bjerksund_price_approx(Z$4,$C$5,$U13,$C$8,$C$9,$C$7,FALSE)</f>
        <v>4.8332655650513772</v>
      </c>
      <c r="AA13">
        <f>_xll.acq_options_bjerksund_price_approx(AA$4,$C$5,$U13,$C$8,$C$9,$C$7,FALSE)</f>
        <v>2.662572789779432</v>
      </c>
      <c r="AB13">
        <f>_xll.acq_options_bjerksund_price_approx(AB$4,$C$5,$U13,$C$8,$C$9,$C$7,FALSE)</f>
        <v>1.3964938482637308</v>
      </c>
    </row>
    <row r="14" spans="1:28" x14ac:dyDescent="0.25">
      <c r="B14" t="s">
        <v>143</v>
      </c>
      <c r="F14">
        <v>100</v>
      </c>
      <c r="G14">
        <f>_xll.acq_options_bjerksund_price_approx($C$4,F14,$C$6,$C$8,$C$9,$C$7,TRUE)</f>
        <v>5.3796450816355517</v>
      </c>
      <c r="H14">
        <f>_xll.acq_options_bjerksund_price_approx($C$4,F14,$C$6,$C$8,$C$9,$C$7,FALSE)</f>
        <v>21.034358320176022</v>
      </c>
      <c r="I14">
        <f>_xll.acq_options_blackscholes_price($C$4,F14,$C$6,$C$8,$C$9,$C$7,TRUE)</f>
        <v>5.3796450816355517</v>
      </c>
      <c r="J14">
        <f>_xll.acq_options_blackscholes_price($C$4,G14,$C$6,$C$8,$C$9,$C$7,FALSE)</f>
        <v>4.167517628471426E-12</v>
      </c>
      <c r="L14" s="48">
        <v>0.5</v>
      </c>
      <c r="M14">
        <f>_xll.acq_options_bjerksund_price_approx(M$4,$C$5,$L14,$C$8,$C$9,$C$7,TRUE)</f>
        <v>1.1317126138357825</v>
      </c>
      <c r="N14">
        <f>_xll.acq_options_bjerksund_price_approx(N$4,$C$5,$L14,$C$8,$C$9,$C$7,TRUE)</f>
        <v>2.825231535228955</v>
      </c>
      <c r="O14">
        <f>_xll.acq_options_bjerksund_price_approx(O$4,$C$5,$L14,$C$8,$C$9,$C$7,TRUE)</f>
        <v>5.801645731668323</v>
      </c>
      <c r="P14">
        <f>_xll.acq_options_bjerksund_price_approx(P$4,$C$5,$L14,$C$8,$C$9,$C$7,TRUE)</f>
        <v>10.252559729951784</v>
      </c>
      <c r="Q14">
        <f>_xll.acq_options_bjerksund_price_approx(Q$4,$C$5,$L14,$C$8,$C$9,$C$7,TRUE)</f>
        <v>16.142724570029145</v>
      </c>
      <c r="R14">
        <f>_xll.acq_options_bjerksund_price_approx(R$4,$C$5,$L14,$C$8,$C$9,$C$7,TRUE)</f>
        <v>23.261552607007062</v>
      </c>
      <c r="S14">
        <f>_xll.acq_options_bjerksund_price_approx(S$4,$C$5,$L14,$C$8,$C$9,$C$7,TRUE)</f>
        <v>31.319444688823182</v>
      </c>
      <c r="U14" s="48">
        <v>0.5</v>
      </c>
      <c r="V14">
        <f>_xll.acq_options_bjerksund_price_approx(V$4,$C$5,$U14,$C$8,$C$9,$C$7,FALSE)</f>
        <v>30</v>
      </c>
      <c r="W14">
        <f>_xll.acq_options_bjerksund_price_approx(W$4,$C$5,$U14,$C$8,$C$9,$C$7,FALSE)</f>
        <v>20.878498091942536</v>
      </c>
      <c r="X14">
        <f>_xll.acq_options_bjerksund_price_approx(X$4,$C$5,$U14,$C$8,$C$9,$C$7,FALSE)</f>
        <v>13.809632330257585</v>
      </c>
      <c r="Y14">
        <f>_xll.acq_options_bjerksund_price_approx(Y$4,$C$5,$U14,$C$8,$C$9,$C$7,FALSE)</f>
        <v>8.6800903822513931</v>
      </c>
      <c r="Z14">
        <f>_xll.acq_options_bjerksund_price_approx(Z$4,$C$5,$U14,$C$8,$C$9,$C$7,FALSE)</f>
        <v>5.1927188835421703</v>
      </c>
      <c r="AA14">
        <f>_xll.acq_options_bjerksund_price_approx(AA$4,$C$5,$U14,$C$8,$C$9,$C$7,FALSE)</f>
        <v>2.9657980624896823</v>
      </c>
      <c r="AB14">
        <f>_xll.acq_options_bjerksund_price_approx(AB$4,$C$5,$U14,$C$8,$C$9,$C$7,FALSE)</f>
        <v>1.6237713217188059</v>
      </c>
    </row>
    <row r="15" spans="1:28" x14ac:dyDescent="0.25">
      <c r="B15" s="47" t="s">
        <v>142</v>
      </c>
      <c r="F15">
        <v>110</v>
      </c>
      <c r="G15">
        <f>_xll.acq_options_bjerksund_price_approx($C$4,F15,$C$6,$C$8,$C$9,$C$7,TRUE)</f>
        <v>3.7550156571442077</v>
      </c>
      <c r="H15">
        <f>_xll.acq_options_bjerksund_price_approx($C$4,F15,$C$6,$C$8,$C$9,$C$7,FALSE)</f>
        <v>30</v>
      </c>
      <c r="I15">
        <f>_xll.acq_options_blackscholes_price($C$4,F15,$C$6,$C$8,$C$9,$C$7,TRUE)</f>
        <v>3.7550156571442077</v>
      </c>
      <c r="J15">
        <f>_xll.acq_options_blackscholes_price($C$4,G15,$C$6,$C$8,$C$9,$C$7,FALSE)</f>
        <v>3.6428793012235105E-15</v>
      </c>
      <c r="L15" s="48">
        <v>0.55000000000000004</v>
      </c>
      <c r="M15">
        <f>_xll.acq_options_bjerksund_price_approx(M$4,$C$5,$L15,$C$8,$C$9,$C$7,TRUE)</f>
        <v>1.3365585025591749</v>
      </c>
      <c r="N15">
        <f>_xll.acq_options_bjerksund_price_approx(N$4,$C$5,$L15,$C$8,$C$9,$C$7,TRUE)</f>
        <v>3.1556763506308201</v>
      </c>
      <c r="O15">
        <f>_xll.acq_options_bjerksund_price_approx(O$4,$C$5,$L15,$C$8,$C$9,$C$7,TRUE)</f>
        <v>6.2312540008503348</v>
      </c>
      <c r="P15">
        <f>_xll.acq_options_bjerksund_price_approx(P$4,$C$5,$L15,$C$8,$C$9,$C$7,TRUE)</f>
        <v>10.719370459089447</v>
      </c>
      <c r="Q15">
        <f>_xll.acq_options_bjerksund_price_approx(Q$4,$C$5,$L15,$C$8,$C$9,$C$7,TRUE)</f>
        <v>16.576573753268661</v>
      </c>
      <c r="R15">
        <f>_xll.acq_options_bjerksund_price_approx(R$4,$C$5,$L15,$C$8,$C$9,$C$7,TRUE)</f>
        <v>23.608942745230109</v>
      </c>
      <c r="S15">
        <f>_xll.acq_options_bjerksund_price_approx(S$4,$C$5,$L15,$C$8,$C$9,$C$7,TRUE)</f>
        <v>31.553881861379864</v>
      </c>
      <c r="U15" s="48">
        <v>0.55000000000000004</v>
      </c>
      <c r="V15">
        <f>_xll.acq_options_bjerksund_price_approx(V$4,$C$5,$U15,$C$8,$C$9,$C$7,FALSE)</f>
        <v>30</v>
      </c>
      <c r="W15">
        <f>_xll.acq_options_bjerksund_price_approx(W$4,$C$5,$U15,$C$8,$C$9,$C$7,FALSE)</f>
        <v>21.028678254900704</v>
      </c>
      <c r="X15">
        <f>_xll.acq_options_bjerksund_price_approx(X$4,$C$5,$U15,$C$8,$C$9,$C$7,FALSE)</f>
        <v>14.086457106078548</v>
      </c>
      <c r="Y15">
        <f>_xll.acq_options_bjerksund_price_approx(Y$4,$C$5,$U15,$C$8,$C$9,$C$7,FALSE)</f>
        <v>9.0198177682868135</v>
      </c>
      <c r="Z15">
        <f>_xll.acq_options_bjerksund_price_approx(Z$4,$C$5,$U15,$C$8,$C$9,$C$7,FALSE)</f>
        <v>5.5302052099230963</v>
      </c>
      <c r="AA15">
        <f>_xll.acq_options_bjerksund_price_approx(AA$4,$C$5,$U15,$C$8,$C$9,$C$7,FALSE)</f>
        <v>3.2561561952630882</v>
      </c>
      <c r="AB15">
        <f>_xll.acq_options_bjerksund_price_approx(AB$4,$C$5,$U15,$C$8,$C$9,$C$7,FALSE)</f>
        <v>1.8479046798663319</v>
      </c>
    </row>
    <row r="16" spans="1:28" x14ac:dyDescent="0.25">
      <c r="F16">
        <v>120</v>
      </c>
      <c r="G16">
        <f>_xll.acq_options_bjerksund_price_approx($C$4,F16,$C$6,$C$8,$C$9,$C$7,TRUE)</f>
        <v>2.6109483404114453</v>
      </c>
      <c r="H16">
        <f>_xll.acq_options_bjerksund_price_approx($C$4,F16,$C$6,$C$8,$C$9,$C$7,FALSE)</f>
        <v>40</v>
      </c>
      <c r="I16">
        <f>_xll.acq_options_blackscholes_price($C$4,F16,$C$6,$C$8,$C$9,$C$7,TRUE)</f>
        <v>2.6109483404114453</v>
      </c>
      <c r="J16">
        <f>_xll.acq_options_blackscholes_price($C$4,G16,$C$6,$C$8,$C$9,$C$7,FALSE)</f>
        <v>1.3059135679790043E-18</v>
      </c>
      <c r="L16" s="48">
        <v>0.6</v>
      </c>
      <c r="M16">
        <f>_xll.acq_options_bjerksund_price_approx(M$4,$C$5,$L16,$C$8,$C$9,$C$7,TRUE)</f>
        <v>1.5444021816862641</v>
      </c>
      <c r="N16">
        <f>_xll.acq_options_bjerksund_price_approx(N$4,$C$5,$L16,$C$8,$C$9,$C$7,TRUE)</f>
        <v>3.4778509106740358</v>
      </c>
      <c r="O16">
        <f>_xll.acq_options_bjerksund_price_approx(O$4,$C$5,$L16,$C$8,$C$9,$C$7,TRUE)</f>
        <v>6.6409346906283346</v>
      </c>
      <c r="P16">
        <f>_xll.acq_options_bjerksund_price_approx(P$4,$C$5,$L16,$C$8,$C$9,$C$7,TRUE)</f>
        <v>11.161027963773662</v>
      </c>
      <c r="Q16">
        <f>_xll.acq_options_bjerksund_price_approx(Q$4,$C$5,$L16,$C$8,$C$9,$C$7,TRUE)</f>
        <v>16.988648850197563</v>
      </c>
      <c r="R16">
        <f>_xll.acq_options_bjerksund_price_approx(R$4,$C$5,$L16,$C$8,$C$9,$C$7,TRUE)</f>
        <v>23.943732677531585</v>
      </c>
      <c r="S16">
        <f>_xll.acq_options_bjerksund_price_approx(S$4,$C$5,$L16,$C$8,$C$9,$C$7,TRUE)</f>
        <v>31.786054869626298</v>
      </c>
      <c r="U16" s="48">
        <v>0.6</v>
      </c>
      <c r="V16">
        <f>_xll.acq_options_bjerksund_price_approx(V$4,$C$5,$U16,$C$8,$C$9,$C$7,FALSE)</f>
        <v>30.005345917754727</v>
      </c>
      <c r="W16">
        <f>_xll.acq_options_bjerksund_price_approx(W$4,$C$5,$U16,$C$8,$C$9,$C$7,FALSE)</f>
        <v>21.176894025870496</v>
      </c>
      <c r="X16">
        <f>_xll.acq_options_bjerksund_price_approx(X$4,$C$5,$U16,$C$8,$C$9,$C$7,FALSE)</f>
        <v>14.348187494698188</v>
      </c>
      <c r="Y16">
        <f>_xll.acq_options_bjerksund_price_approx(Y$4,$C$5,$U16,$C$8,$C$9,$C$7,FALSE)</f>
        <v>9.3382092346537036</v>
      </c>
      <c r="Z16">
        <f>_xll.acq_options_bjerksund_price_approx(Z$4,$C$5,$U16,$C$8,$C$9,$C$7,FALSE)</f>
        <v>5.8484237377127499</v>
      </c>
      <c r="AA16">
        <f>_xll.acq_options_bjerksund_price_approx(AA$4,$C$5,$U16,$C$8,$C$9,$C$7,FALSE)</f>
        <v>3.5344479649784546</v>
      </c>
      <c r="AB16">
        <f>_xll.acq_options_bjerksund_price_approx(AB$4,$C$5,$U16,$C$8,$C$9,$C$7,FALSE)</f>
        <v>2.068028069267541</v>
      </c>
    </row>
    <row r="17" spans="6:31" x14ac:dyDescent="0.25">
      <c r="F17">
        <v>130</v>
      </c>
      <c r="G17">
        <f>_xll.acq_options_bjerksund_price_approx($C$4,F17,$C$6,$C$8,$C$9,$C$7,TRUE)</f>
        <v>1.8122480682922486</v>
      </c>
      <c r="H17">
        <f>_xll.acq_options_bjerksund_price_approx($C$4,F17,$C$6,$C$8,$C$9,$C$7,FALSE)</f>
        <v>50</v>
      </c>
      <c r="I17">
        <f>_xll.acq_options_blackscholes_price($C$4,F17,$C$6,$C$8,$C$9,$C$7,TRUE)</f>
        <v>1.8122480682922486</v>
      </c>
      <c r="J17">
        <f>_xll.acq_options_blackscholes_price($C$4,G17,$C$6,$C$8,$C$9,$C$7,FALSE)</f>
        <v>1.9625621136394617E-22</v>
      </c>
      <c r="L17" s="48">
        <v>0.65</v>
      </c>
      <c r="M17">
        <f>_xll.acq_options_bjerksund_price_approx(M$4,$C$5,$L17,$C$8,$C$9,$C$7,TRUE)</f>
        <v>1.7538393451341321</v>
      </c>
      <c r="N17">
        <f>_xll.acq_options_bjerksund_price_approx(N$4,$C$5,$L17,$C$8,$C$9,$C$7,TRUE)</f>
        <v>3.7917558451558833</v>
      </c>
      <c r="O17">
        <f>_xll.acq_options_bjerksund_price_approx(O$4,$C$5,$L17,$C$8,$C$9,$C$7,TRUE)</f>
        <v>7.0326722168859277</v>
      </c>
      <c r="P17">
        <f>_xll.acq_options_bjerksund_price_approx(P$4,$C$5,$L17,$C$8,$C$9,$C$7,TRUE)</f>
        <v>11.580462132074587</v>
      </c>
      <c r="Q17">
        <f>_xll.acq_options_bjerksund_price_approx(Q$4,$C$5,$L17,$C$8,$C$9,$C$7,TRUE)</f>
        <v>17.381176441458152</v>
      </c>
      <c r="R17">
        <f>_xll.acq_options_bjerksund_price_approx(R$4,$C$5,$L17,$C$8,$C$9,$C$7,TRUE)</f>
        <v>24.266465058303936</v>
      </c>
      <c r="S17">
        <f>_xll.acq_options_bjerksund_price_approx(S$4,$C$5,$L17,$C$8,$C$9,$C$7,TRUE)</f>
        <v>32.014915973629982</v>
      </c>
      <c r="U17" s="48">
        <v>0.65</v>
      </c>
      <c r="V17">
        <f>_xll.acq_options_bjerksund_price_approx(V$4,$C$5,$U17,$C$8,$C$9,$C$7,FALSE)</f>
        <v>30.019387489338804</v>
      </c>
      <c r="W17">
        <f>_xll.acq_options_bjerksund_price_approx(W$4,$C$5,$U17,$C$8,$C$9,$C$7,FALSE)</f>
        <v>21.322541467052218</v>
      </c>
      <c r="X17">
        <f>_xll.acq_options_bjerksund_price_approx(X$4,$C$5,$U17,$C$8,$C$9,$C$7,FALSE)</f>
        <v>14.596441833137632</v>
      </c>
      <c r="Y17">
        <f>_xll.acq_options_bjerksund_price_approx(Y$4,$C$5,$U17,$C$8,$C$9,$C$7,FALSE)</f>
        <v>9.637983728017673</v>
      </c>
      <c r="Z17">
        <f>_xll.acq_options_bjerksund_price_approx(Z$4,$C$5,$U17,$C$8,$C$9,$C$7,FALSE)</f>
        <v>6.1495793862091972</v>
      </c>
      <c r="AA17">
        <f>_xll.acq_options_bjerksund_price_approx(AA$4,$C$5,$U17,$C$8,$C$9,$C$7,FALSE)</f>
        <v>3.8014742129426224</v>
      </c>
      <c r="AB17">
        <f>_xll.acq_options_bjerksund_price_approx(AB$4,$C$5,$U17,$C$8,$C$9,$C$7,FALSE)</f>
        <v>2.283627586778664</v>
      </c>
    </row>
    <row r="18" spans="6:31" x14ac:dyDescent="0.25">
      <c r="F18">
        <v>140</v>
      </c>
      <c r="G18">
        <f>_xll.acq_options_bjerksund_price_approx($C$4,F18,$C$6,$C$8,$C$9,$C$7,TRUE)</f>
        <v>1.2576425804726288</v>
      </c>
      <c r="H18">
        <f>_xll.acq_options_bjerksund_price_approx($C$4,F18,$C$6,$C$8,$C$9,$C$7,FALSE)</f>
        <v>60</v>
      </c>
      <c r="I18">
        <f>_xll.acq_options_blackscholes_price($C$4,F18,$C$6,$C$8,$C$9,$C$7,TRUE)</f>
        <v>1.2576425804726288</v>
      </c>
      <c r="J18">
        <f>_xll.acq_options_blackscholes_price($C$4,G18,$C$6,$C$8,$C$9,$C$7,FALSE)</f>
        <v>1.2715942320358724E-26</v>
      </c>
      <c r="L18" s="48">
        <v>0.7</v>
      </c>
      <c r="M18">
        <f>_xll.acq_options_bjerksund_price_approx(M$4,$C$5,$L18,$C$8,$C$9,$C$7,TRUE)</f>
        <v>1.96380565221979</v>
      </c>
      <c r="N18">
        <f>_xll.acq_options_bjerksund_price_approx(N$4,$C$5,$L18,$C$8,$C$9,$C$7,TRUE)</f>
        <v>4.0975220615232182</v>
      </c>
      <c r="O18">
        <f>_xll.acq_options_bjerksund_price_approx(O$4,$C$5,$L18,$C$8,$C$9,$C$7,TRUE)</f>
        <v>7.40813485023385</v>
      </c>
      <c r="P18">
        <f>_xll.acq_options_bjerksund_price_approx(P$4,$C$5,$L18,$C$8,$C$9,$C$7,TRUE)</f>
        <v>11.980056871550772</v>
      </c>
      <c r="Q18">
        <f>_xll.acq_options_bjerksund_price_approx(Q$4,$C$5,$L18,$C$8,$C$9,$C$7,TRUE)</f>
        <v>17.756019281551474</v>
      </c>
      <c r="R18">
        <f>_xll.acq_options_bjerksund_price_approx(R$4,$C$5,$L18,$C$8,$C$9,$C$7,TRUE)</f>
        <v>24.577716756978504</v>
      </c>
      <c r="S18">
        <f>_xll.acq_options_bjerksund_price_approx(S$4,$C$5,$L18,$C$8,$C$9,$C$7,TRUE)</f>
        <v>32.239762763653374</v>
      </c>
      <c r="U18" s="48">
        <v>0.7</v>
      </c>
      <c r="V18">
        <f>_xll.acq_options_bjerksund_price_approx(V$4,$C$5,$U18,$C$8,$C$9,$C$7,FALSE)</f>
        <v>30.040155624016606</v>
      </c>
      <c r="W18">
        <f>_xll.acq_options_bjerksund_price_approx(W$4,$C$5,$U18,$C$8,$C$9,$C$7,FALSE)</f>
        <v>21.465254318063465</v>
      </c>
      <c r="X18">
        <f>_xll.acq_options_bjerksund_price_approx(X$4,$C$5,$U18,$C$8,$C$9,$C$7,FALSE)</f>
        <v>14.832578998839985</v>
      </c>
      <c r="Y18">
        <f>_xll.acq_options_bjerksund_price_approx(Y$4,$C$5,$U18,$C$8,$C$9,$C$7,FALSE)</f>
        <v>9.9213379184106572</v>
      </c>
      <c r="Z18">
        <f>_xll.acq_options_bjerksund_price_approx(Z$4,$C$5,$U18,$C$8,$C$9,$C$7,FALSE)</f>
        <v>6.435498641492515</v>
      </c>
      <c r="AA18">
        <f>_xll.acq_options_bjerksund_price_approx(AA$4,$C$5,$U18,$C$8,$C$9,$C$7,FALSE)</f>
        <v>4.0580000145426993</v>
      </c>
      <c r="AB18">
        <f>_xll.acq_options_bjerksund_price_approx(AB$4,$C$5,$U18,$C$8,$C$9,$C$7,FALSE)</f>
        <v>2.4944205008523568</v>
      </c>
    </row>
    <row r="19" spans="6:31" x14ac:dyDescent="0.25">
      <c r="F19">
        <v>150</v>
      </c>
      <c r="G19">
        <f>_xll.acq_options_bjerksund_price_approx($C$4,F19,$C$6,$C$8,$C$9,$C$7,TRUE)</f>
        <v>0.87364917342515458</v>
      </c>
      <c r="H19">
        <f>_xll.acq_options_bjerksund_price_approx($C$4,F19,$C$6,$C$8,$C$9,$C$7,FALSE)</f>
        <v>70</v>
      </c>
      <c r="I19">
        <f>_xll.acq_options_blackscholes_price($C$4,F19,$C$6,$C$8,$C$9,$C$7,TRUE)</f>
        <v>0.87364917342515458</v>
      </c>
      <c r="J19">
        <f>_xll.acq_options_blackscholes_price($C$4,G19,$C$6,$C$8,$C$9,$C$7,FALSE)</f>
        <v>3.6669095805321848E-31</v>
      </c>
      <c r="L19" s="48">
        <v>0.75</v>
      </c>
      <c r="M19">
        <f>_xll.acq_options_bjerksund_price_approx(M$4,$C$5,$L19,$C$8,$C$9,$C$7,TRUE)</f>
        <v>2.1734908239105728</v>
      </c>
      <c r="N19">
        <f>_xll.acq_options_bjerksund_price_approx(N$4,$C$5,$L19,$C$8,$C$9,$C$7,TRUE)</f>
        <v>4.3953551181175712</v>
      </c>
      <c r="O19">
        <f>_xll.acq_options_bjerksund_price_approx(O$4,$C$5,$L19,$C$8,$C$9,$C$7,TRUE)</f>
        <v>7.7687405195595787</v>
      </c>
      <c r="P19">
        <f>_xll.acq_options_bjerksund_price_approx(P$4,$C$5,$L19,$C$8,$C$9,$C$7,TRUE)</f>
        <v>12.361783822894068</v>
      </c>
      <c r="Q19">
        <f>_xll.acq_options_bjerksund_price_approx(Q$4,$C$5,$L19,$C$8,$C$9,$C$7,TRUE)</f>
        <v>18.114754266184605</v>
      </c>
      <c r="R19">
        <f>_xll.acq_options_bjerksund_price_approx(R$4,$C$5,$L19,$C$8,$C$9,$C$7,TRUE)</f>
        <v>24.878064222330167</v>
      </c>
      <c r="S19">
        <f>_xll.acq_options_bjerksund_price_approx(S$4,$C$5,$L19,$C$8,$C$9,$C$7,TRUE)</f>
        <v>32.460132474437401</v>
      </c>
      <c r="U19" s="48">
        <v>0.75</v>
      </c>
      <c r="V19">
        <f>_xll.acq_options_bjerksund_price_approx(V$4,$C$5,$U19,$C$8,$C$9,$C$7,FALSE)</f>
        <v>30.066381381137603</v>
      </c>
      <c r="W19">
        <f>_xll.acq_options_bjerksund_price_approx(W$4,$C$5,$U19,$C$8,$C$9,$C$7,FALSE)</f>
        <v>21.604822951440077</v>
      </c>
      <c r="X19">
        <f>_xll.acq_options_bjerksund_price_approx(X$4,$C$5,$U19,$C$8,$C$9,$C$7,FALSE)</f>
        <v>15.057751545192005</v>
      </c>
      <c r="Y19">
        <f>_xll.acq_options_bjerksund_price_approx(Y$4,$C$5,$U19,$C$8,$C$9,$C$7,FALSE)</f>
        <v>10.190075896726043</v>
      </c>
      <c r="Z19">
        <f>_xll.acq_options_bjerksund_price_approx(Z$4,$C$5,$U19,$C$8,$C$9,$C$7,FALSE)</f>
        <v>6.7077131968609081</v>
      </c>
      <c r="AA19">
        <f>_xll.acq_options_bjerksund_price_approx(AA$4,$C$5,$U19,$C$8,$C$9,$C$7,FALSE)</f>
        <v>4.3047394093293008</v>
      </c>
      <c r="AB19">
        <f>_xll.acq_options_bjerksund_price_approx(AB$4,$C$5,$U19,$C$8,$C$9,$C$7,FALSE)</f>
        <v>2.7002771269771699</v>
      </c>
    </row>
    <row r="20" spans="6:31" x14ac:dyDescent="0.25">
      <c r="F20">
        <v>160</v>
      </c>
      <c r="G20">
        <f>_xll.acq_options_bjerksund_price_approx($C$4,F20,$C$6,$C$8,$C$9,$C$7,TRUE)</f>
        <v>0.60806327909027225</v>
      </c>
      <c r="H20">
        <f>_xll.acq_options_bjerksund_price_approx($C$4,F20,$C$6,$C$8,$C$9,$C$7,FALSE)</f>
        <v>80</v>
      </c>
      <c r="I20">
        <f>_xll.acq_options_blackscholes_price($C$4,F20,$C$6,$C$8,$C$9,$C$7,TRUE)</f>
        <v>0.60806327909027225</v>
      </c>
      <c r="J20">
        <f>_xll.acq_options_blackscholes_price($C$4,G20,$C$6,$C$8,$C$9,$C$7,FALSE)</f>
        <v>4.868419745828726E-36</v>
      </c>
      <c r="L20" s="48">
        <v>0.8</v>
      </c>
      <c r="M20">
        <f>_xll.acq_options_bjerksund_price_approx(M$4,$C$5,$L20,$C$8,$C$9,$C$7,TRUE)</f>
        <v>2.3822760589289196</v>
      </c>
      <c r="N20">
        <f>_xll.acq_options_bjerksund_price_approx(N$4,$C$5,$L20,$C$8,$C$9,$C$7,TRUE)</f>
        <v>4.6855012429099574</v>
      </c>
      <c r="O20">
        <f>_xll.acq_options_bjerksund_price_approx(O$4,$C$5,$L20,$C$8,$C$9,$C$7,TRUE)</f>
        <v>8.1157062758994982</v>
      </c>
      <c r="P20">
        <f>_xll.acq_options_bjerksund_price_approx(P$4,$C$5,$L20,$C$8,$C$9,$C$7,TRUE)</f>
        <v>12.727296608648729</v>
      </c>
      <c r="Q20">
        <f>_xll.acq_options_bjerksund_price_approx(Q$4,$C$5,$L20,$C$8,$C$9,$C$7,TRUE)</f>
        <v>18.458730355326026</v>
      </c>
      <c r="R20">
        <f>_xll.acq_options_bjerksund_price_approx(R$4,$C$5,$L20,$C$8,$C$9,$C$7,TRUE)</f>
        <v>25.168065289543748</v>
      </c>
      <c r="S20">
        <f>_xll.acq_options_bjerksund_price_approx(S$4,$C$5,$L20,$C$8,$C$9,$C$7,TRUE)</f>
        <v>32.675730604857705</v>
      </c>
      <c r="U20" s="48">
        <v>0.8</v>
      </c>
      <c r="V20">
        <f>_xll.acq_options_bjerksund_price_approx(V$4,$C$5,$U20,$C$8,$C$9,$C$7,FALSE)</f>
        <v>30.097033642388915</v>
      </c>
      <c r="W20">
        <f>_xll.acq_options_bjerksund_price_approx(W$4,$C$5,$U20,$C$8,$C$9,$C$7,FALSE)</f>
        <v>21.741142139247827</v>
      </c>
      <c r="X20">
        <f>_xll.acq_options_bjerksund_price_approx(X$4,$C$5,$U20,$C$8,$C$9,$C$7,FALSE)</f>
        <v>15.2729460671897</v>
      </c>
      <c r="Y20">
        <f>_xll.acq_options_bjerksund_price_approx(Y$4,$C$5,$U20,$C$8,$C$9,$C$7,FALSE)</f>
        <v>10.445700309453485</v>
      </c>
      <c r="Z20">
        <f>_xll.acq_options_bjerksund_price_approx(Z$4,$C$5,$U20,$C$8,$C$9,$C$7,FALSE)</f>
        <v>6.9675215419987353</v>
      </c>
      <c r="AA20">
        <f>_xll.acq_options_bjerksund_price_approx(AA$4,$C$5,$U20,$C$8,$C$9,$C$7,FALSE)</f>
        <v>4.5423505649096114</v>
      </c>
      <c r="AB20">
        <f>_xll.acq_options_bjerksund_price_approx(AB$4,$C$5,$U20,$C$8,$C$9,$C$7,FALSE)</f>
        <v>2.901169441243951</v>
      </c>
      <c r="AD20">
        <v>3.4746592085343946</v>
      </c>
      <c r="AE20">
        <f>AD20-AB23</f>
        <v>-6.7057470687359455E-14</v>
      </c>
    </row>
    <row r="21" spans="6:31" x14ac:dyDescent="0.25">
      <c r="F21">
        <v>170</v>
      </c>
      <c r="G21">
        <f>_xll.acq_options_bjerksund_price_approx($C$4,F21,$C$6,$C$8,$C$9,$C$7,TRUE)</f>
        <v>0.4243122048375545</v>
      </c>
      <c r="H21">
        <f>_xll.acq_options_bjerksund_price_approx($C$4,F21,$C$6,$C$8,$C$9,$C$7,FALSE)</f>
        <v>90</v>
      </c>
      <c r="I21">
        <f>_xll.acq_options_blackscholes_price($C$4,F21,$C$6,$C$8,$C$9,$C$7,TRUE)</f>
        <v>0.4243122048375545</v>
      </c>
      <c r="J21">
        <f>_xll.acq_options_blackscholes_price($C$4,G21,$C$6,$C$8,$C$9,$C$7,FALSE)</f>
        <v>3.0810353477718544E-41</v>
      </c>
      <c r="L21" s="48">
        <v>0.85</v>
      </c>
      <c r="M21">
        <f>_xll.acq_options_bjerksund_price_approx(M$4,$C$5,$L21,$C$8,$C$9,$C$7,TRUE)</f>
        <v>2.5896880914419889</v>
      </c>
      <c r="N21">
        <f>_xll.acq_options_bjerksund_price_approx(N$4,$C$5,$L21,$C$8,$C$9,$C$7,TRUE)</f>
        <v>4.9682263472148094</v>
      </c>
      <c r="O21">
        <f>_xll.acq_options_bjerksund_price_approx(O$4,$C$5,$L21,$C$8,$C$9,$C$7,TRUE)</f>
        <v>8.4500860099740365</v>
      </c>
      <c r="P21">
        <f>_xll.acq_options_bjerksund_price_approx(P$4,$C$5,$L21,$C$8,$C$9,$C$7,TRUE)</f>
        <v>13.077998996876133</v>
      </c>
      <c r="Q21">
        <f>_xll.acq_options_bjerksund_price_approx(Q$4,$C$5,$L21,$C$8,$C$9,$C$7,TRUE)</f>
        <v>18.789112332169893</v>
      </c>
      <c r="R21">
        <f>_xll.acq_options_bjerksund_price_approx(R$4,$C$5,$L21,$C$8,$C$9,$C$7,TRUE)</f>
        <v>25.448250155289202</v>
      </c>
      <c r="S21">
        <f>_xll.acq_options_bjerksund_price_approx(S$4,$C$5,$L21,$C$8,$C$9,$C$7,TRUE)</f>
        <v>32.886381891485414</v>
      </c>
      <c r="U21" s="48">
        <v>0.85</v>
      </c>
      <c r="V21">
        <f>_xll.acq_options_bjerksund_price_approx(V$4,$C$5,$U21,$C$8,$C$9,$C$7,FALSE)</f>
        <v>30.131271677953357</v>
      </c>
      <c r="W21">
        <f>_xll.acq_options_bjerksund_price_approx(W$4,$C$5,$U21,$C$8,$C$9,$C$7,FALSE)</f>
        <v>21.874176704910447</v>
      </c>
      <c r="X21">
        <f>_xll.acq_options_bjerksund_price_approx(X$4,$C$5,$U21,$C$8,$C$9,$C$7,FALSE)</f>
        <v>15.479014206765569</v>
      </c>
      <c r="Y21">
        <f>_xll.acq_options_bjerksund_price_approx(Y$4,$C$5,$U21,$C$8,$C$9,$C$7,FALSE)</f>
        <v>10.689478061153395</v>
      </c>
      <c r="Z21">
        <f>_xll.acq_options_bjerksund_price_approx(Z$4,$C$5,$U21,$C$8,$C$9,$C$7,FALSE)</f>
        <v>7.2160351309845367</v>
      </c>
      <c r="AA21">
        <f>_xll.acq_options_bjerksund_price_approx(AA$4,$C$5,$U21,$C$8,$C$9,$C$7,FALSE)</f>
        <v>4.7714361792330635</v>
      </c>
      <c r="AB21">
        <f>_xll.acq_options_bjerksund_price_approx(AB$4,$C$5,$U21,$C$8,$C$9,$C$7,FALSE)</f>
        <v>3.0971367888594727</v>
      </c>
    </row>
    <row r="22" spans="6:31" x14ac:dyDescent="0.25">
      <c r="L22" s="48">
        <v>0.9</v>
      </c>
      <c r="M22">
        <f>_xll.acq_options_bjerksund_price_approx(M$4,$C$5,$L22,$C$8,$C$9,$C$7,TRUE)</f>
        <v>2.7953651665542871</v>
      </c>
      <c r="N22">
        <f>_xll.acq_options_bjerksund_price_approx(N$4,$C$5,$L22,$C$8,$C$9,$C$7,TRUE)</f>
        <v>5.2438030119484296</v>
      </c>
      <c r="O22">
        <f>_xll.acq_options_bjerksund_price_approx(O$4,$C$5,$L22,$C$8,$C$9,$C$7,TRUE)</f>
        <v>8.7727996072321659</v>
      </c>
      <c r="P22">
        <f>_xll.acq_options_bjerksund_price_approx(P$4,$C$5,$L22,$C$8,$C$9,$C$7,TRUE)</f>
        <v>13.415095305183144</v>
      </c>
      <c r="Q22">
        <f>_xll.acq_options_bjerksund_price_approx(Q$4,$C$5,$L22,$C$8,$C$9,$C$7,TRUE)</f>
        <v>19.106914373391973</v>
      </c>
      <c r="R22">
        <f>_xll.acq_options_bjerksund_price_approx(R$4,$C$5,$L22,$C$8,$C$9,$C$7,TRUE)</f>
        <v>25.719117512390625</v>
      </c>
      <c r="S22">
        <f>_xll.acq_options_bjerksund_price_approx(S$4,$C$5,$L22,$C$8,$C$9,$C$7,TRUE)</f>
        <v>33.091996127090255</v>
      </c>
      <c r="U22" s="48">
        <v>0.9</v>
      </c>
      <c r="V22">
        <f>_xll.acq_options_bjerksund_price_approx(V$4,$C$5,$U22,$C$8,$C$9,$C$7,FALSE)</f>
        <v>30.168407147610274</v>
      </c>
      <c r="W22">
        <f>_xll.acq_options_bjerksund_price_approx(W$4,$C$5,$U22,$C$8,$C$9,$C$7,FALSE)</f>
        <v>22.003938547541125</v>
      </c>
      <c r="X22">
        <f>_xll.acq_options_bjerksund_price_approx(X$4,$C$5,$U22,$C$8,$C$9,$C$7,FALSE)</f>
        <v>15.676696740899636</v>
      </c>
      <c r="Y22">
        <f>_xll.acq_options_bjerksund_price_approx(Y$4,$C$5,$U22,$C$8,$C$9,$C$7,FALSE)</f>
        <v>10.922488741216739</v>
      </c>
      <c r="Z22">
        <f>_xll.acq_options_bjerksund_price_approx(Z$4,$C$5,$U22,$C$8,$C$9,$C$7,FALSE)</f>
        <v>7.4542135528883051</v>
      </c>
      <c r="AA22">
        <f>_xll.acq_options_bjerksund_price_approx(AA$4,$C$5,$U22,$C$8,$C$9,$C$7,FALSE)</f>
        <v>4.992546402492394</v>
      </c>
      <c r="AB22">
        <f>_xll.acq_options_bjerksund_price_approx(AB$4,$C$5,$U22,$C$8,$C$9,$C$7,FALSE)</f>
        <v>3.2882627227475894</v>
      </c>
    </row>
    <row r="23" spans="6:31" x14ac:dyDescent="0.25">
      <c r="L23" s="48">
        <v>0.95</v>
      </c>
      <c r="M23">
        <f>_xll.acq_options_bjerksund_price_approx(M$4,$C$5,$L23,$C$8,$C$9,$C$7,TRUE)</f>
        <v>2.9990316100764289</v>
      </c>
      <c r="N23">
        <f>_xll.acq_options_bjerksund_price_approx(N$4,$C$5,$L23,$C$8,$C$9,$C$7,TRUE)</f>
        <v>5.5125024519297554</v>
      </c>
      <c r="O23">
        <f>_xll.acq_options_bjerksund_price_approx(O$4,$C$5,$L23,$C$8,$C$9,$C$7,TRUE)</f>
        <v>9.0846557728416073</v>
      </c>
      <c r="P23">
        <f>_xll.acq_options_bjerksund_price_approx(P$4,$C$5,$L23,$C$8,$C$9,$C$7,TRUE)</f>
        <v>13.739628399632494</v>
      </c>
      <c r="Q23">
        <f>_xll.acq_options_bjerksund_price_approx(Q$4,$C$5,$L23,$C$8,$C$9,$C$7,TRUE)</f>
        <v>19.413026166473443</v>
      </c>
      <c r="R23">
        <f>_xll.acq_options_bjerksund_price_approx(R$4,$C$5,$L23,$C$8,$C$9,$C$7,TRUE)</f>
        <v>25.981133583523786</v>
      </c>
      <c r="S23">
        <f>_xll.acq_options_bjerksund_price_approx(S$4,$C$5,$L23,$C$8,$C$9,$C$7,TRUE)</f>
        <v>33.292544011466831</v>
      </c>
      <c r="U23" s="48">
        <v>0.95</v>
      </c>
      <c r="V23">
        <f>_xll.acq_options_bjerksund_price_approx(V$4,$C$5,$U23,$C$8,$C$9,$C$7,FALSE)</f>
        <v>30.207874016497883</v>
      </c>
      <c r="W23">
        <f>_xll.acq_options_bjerksund_price_approx(W$4,$C$5,$U23,$C$8,$C$9,$C$7,FALSE)</f>
        <v>22.130471052706028</v>
      </c>
      <c r="X23">
        <f>_xll.acq_options_bjerksund_price_approx(X$4,$C$5,$U23,$C$8,$C$9,$C$7,FALSE)</f>
        <v>15.866642505105219</v>
      </c>
      <c r="Y23">
        <f>_xll.acq_options_bjerksund_price_approx(Y$4,$C$5,$U23,$C$8,$C$9,$C$7,FALSE)</f>
        <v>11.14566101178896</v>
      </c>
      <c r="Z23">
        <f>_xll.acq_options_bjerksund_price_approx(Z$4,$C$5,$U23,$C$8,$C$9,$C$7,FALSE)</f>
        <v>7.6828917175824216</v>
      </c>
      <c r="AA23">
        <f>_xll.acq_options_bjerksund_price_approx(AA$4,$C$5,$U23,$C$8,$C$9,$C$7,FALSE)</f>
        <v>5.2061828422575331</v>
      </c>
      <c r="AB23">
        <f>_xll.acq_options_bjerksund_price_approx(AB$4,$C$5,$U23,$C$8,$C$9,$C$7,FALSE)</f>
        <v>3.4746592085344616</v>
      </c>
      <c r="AD23">
        <v>3.4746600000000001</v>
      </c>
      <c r="AE23">
        <f>AB23-AD23</f>
        <v>-7.9146553844111622E-7</v>
      </c>
    </row>
    <row r="24" spans="6:31" x14ac:dyDescent="0.25">
      <c r="L24" s="48">
        <v>1</v>
      </c>
      <c r="M24">
        <f>_xll.acq_options_bjerksund_price_approx(M$4,$C$5,$L24,$C$8,$C$9,$C$7,TRUE)</f>
        <v>3.2004786488600772</v>
      </c>
      <c r="N24">
        <f>_xll.acq_options_bjerksund_price_approx(N$4,$C$5,$L24,$C$8,$C$9,$C$7,TRUE)</f>
        <v>5.7745896314136331</v>
      </c>
      <c r="O24">
        <f>_xll.acq_options_bjerksund_price_approx(O$4,$C$5,$L24,$C$8,$C$9,$C$7,TRUE)</f>
        <v>9.3863701128630979</v>
      </c>
      <c r="P24">
        <f>_xll.acq_options_bjerksund_price_approx(P$4,$C$5,$L24,$C$8,$C$9,$C$7,TRUE)</f>
        <v>14.052508832531942</v>
      </c>
      <c r="Q24">
        <f>_xll.acq_options_bjerksund_price_approx(Q$4,$C$5,$L24,$C$8,$C$9,$C$7,TRUE)</f>
        <v>19.708233489832239</v>
      </c>
      <c r="R24">
        <f>_xll.acq_options_bjerksund_price_approx(R$4,$C$5,$L24,$C$8,$C$9,$C$7,TRUE)</f>
        <v>26.234732756665451</v>
      </c>
      <c r="S24">
        <f>_xll.acq_options_bjerksund_price_approx(S$4,$C$5,$L24,$C$8,$C$9,$C$7,TRUE)</f>
        <v>33.488039891384361</v>
      </c>
      <c r="U24" s="48">
        <v>1</v>
      </c>
      <c r="V24">
        <f>_xll.acq_options_bjerksund_price_approx(V$4,$C$5,$U24,$C$8,$C$9,$C$7,FALSE)</f>
        <v>30.249204819926547</v>
      </c>
      <c r="W24">
        <f>_xll.acq_options_bjerksund_price_approx(W$4,$C$5,$U24,$C$8,$C$9,$C$7,FALSE)</f>
        <v>22.253838391226381</v>
      </c>
      <c r="X24">
        <f>_xll.acq_options_bjerksund_price_approx(X$4,$C$5,$U24,$C$8,$C$9,$C$7,FALSE)</f>
        <v>16.049423418172978</v>
      </c>
      <c r="Y24">
        <f>_xll.acq_options_bjerksund_price_approx(Y$4,$C$5,$U24,$C$8,$C$9,$C$7,FALSE)</f>
        <v>11.359800416866619</v>
      </c>
      <c r="Z24">
        <f>_xll.acq_options_bjerksund_price_approx(Z$4,$C$5,$U24,$C$8,$C$9,$C$7,FALSE)</f>
        <v>7.902801148209889</v>
      </c>
      <c r="AA24">
        <f>_xll.acq_options_bjerksund_price_approx(AA$4,$C$5,$U24,$C$8,$C$9,$C$7,FALSE)</f>
        <v>5.412802895372181</v>
      </c>
      <c r="AB24">
        <f>_xll.acq_options_bjerksund_price_approx(AB$4,$C$5,$U24,$C$8,$C$9,$C$7,FALSE)</f>
        <v>3.6564557766512564</v>
      </c>
    </row>
    <row r="26" spans="6:31" x14ac:dyDescent="0.25">
      <c r="V26" s="49"/>
      <c r="W26" s="49"/>
      <c r="X26" s="49"/>
      <c r="Y26" s="49"/>
    </row>
    <row r="27" spans="6:31" x14ac:dyDescent="0.25">
      <c r="V27" s="49"/>
      <c r="W27" s="49"/>
      <c r="X27" s="49"/>
      <c r="Y27" s="49"/>
      <c r="Z27" s="49"/>
    </row>
    <row r="28" spans="6:31" x14ac:dyDescent="0.25">
      <c r="V28" s="49"/>
      <c r="W28" s="49"/>
      <c r="X28" s="49"/>
      <c r="Y28" s="49"/>
      <c r="Z28" s="49"/>
    </row>
    <row r="29" spans="6:31" x14ac:dyDescent="0.25">
      <c r="V29" s="49"/>
      <c r="W29" s="49"/>
      <c r="X29" s="49"/>
      <c r="Y29" s="49"/>
      <c r="Z29" s="49"/>
    </row>
    <row r="30" spans="6:31" x14ac:dyDescent="0.25">
      <c r="V30" s="49"/>
      <c r="W30" s="49"/>
      <c r="X30" s="49"/>
      <c r="Y30" s="49"/>
      <c r="Z30" s="49"/>
      <c r="AA30" s="49"/>
    </row>
    <row r="31" spans="6:31" x14ac:dyDescent="0.25">
      <c r="V31" s="49"/>
      <c r="W31" s="49"/>
      <c r="X31" s="49"/>
      <c r="Y31" s="49"/>
      <c r="Z31" s="49"/>
      <c r="AA31" s="49"/>
    </row>
    <row r="32" spans="6:31" x14ac:dyDescent="0.25">
      <c r="V32" s="49"/>
      <c r="W32" s="49"/>
      <c r="X32" s="49"/>
      <c r="Y32" s="49"/>
      <c r="Z32" s="49"/>
      <c r="AA32" s="49"/>
    </row>
    <row r="33" spans="22:28" x14ac:dyDescent="0.25">
      <c r="V33" s="49"/>
      <c r="W33" s="49"/>
      <c r="X33" s="49"/>
      <c r="Y33" s="49"/>
      <c r="Z33" s="49"/>
      <c r="AA33" s="49"/>
      <c r="AB33" s="49"/>
    </row>
    <row r="34" spans="22:28" x14ac:dyDescent="0.25">
      <c r="V34" s="49"/>
      <c r="W34" s="49"/>
      <c r="X34" s="49"/>
      <c r="Y34" s="49"/>
      <c r="Z34" s="49"/>
      <c r="AA34" s="49"/>
      <c r="AB34" s="49"/>
    </row>
    <row r="35" spans="22:28" x14ac:dyDescent="0.25">
      <c r="V35" s="49"/>
      <c r="W35" s="49"/>
      <c r="X35" s="49"/>
      <c r="Y35" s="49"/>
      <c r="Z35" s="49"/>
      <c r="AA35" s="49"/>
      <c r="AB35" s="49"/>
    </row>
    <row r="36" spans="22:28" x14ac:dyDescent="0.25">
      <c r="V36" s="49"/>
      <c r="W36" s="49"/>
      <c r="X36" s="49"/>
      <c r="Y36" s="49"/>
      <c r="Z36" s="49"/>
      <c r="AA36" s="49"/>
      <c r="AB36" s="49"/>
    </row>
    <row r="37" spans="22:28" x14ac:dyDescent="0.25">
      <c r="V37" s="49"/>
      <c r="W37" s="49"/>
      <c r="X37" s="49"/>
      <c r="Y37" s="49"/>
      <c r="Z37" s="49"/>
      <c r="AA37" s="49"/>
      <c r="AB37" s="49"/>
    </row>
    <row r="38" spans="22:28" x14ac:dyDescent="0.25">
      <c r="V38" s="49"/>
      <c r="W38" s="49"/>
      <c r="X38" s="49"/>
      <c r="Y38" s="49"/>
      <c r="Z38" s="49"/>
      <c r="AA38" s="49"/>
      <c r="AB38" s="49"/>
    </row>
    <row r="39" spans="22:28" x14ac:dyDescent="0.25">
      <c r="V39" s="49"/>
      <c r="W39" s="49"/>
      <c r="X39" s="49"/>
      <c r="Y39" s="49"/>
      <c r="Z39" s="49"/>
      <c r="AA39" s="49"/>
      <c r="AB39" s="49"/>
    </row>
    <row r="40" spans="22:28" x14ac:dyDescent="0.25">
      <c r="V40" s="49"/>
      <c r="W40" s="49"/>
      <c r="X40" s="49"/>
      <c r="Y40" s="49"/>
      <c r="Z40" s="49"/>
      <c r="AA40" s="49"/>
      <c r="AB40" s="49"/>
    </row>
    <row r="41" spans="22:28" x14ac:dyDescent="0.25">
      <c r="V41" s="49"/>
      <c r="W41" s="49"/>
      <c r="X41" s="49"/>
      <c r="Y41" s="49"/>
      <c r="Z41" s="49"/>
      <c r="AA41" s="49"/>
      <c r="AB41" s="49"/>
    </row>
    <row r="42" spans="22:28" x14ac:dyDescent="0.25">
      <c r="V42" s="49"/>
      <c r="W42" s="49"/>
      <c r="X42" s="49"/>
      <c r="Y42" s="49"/>
      <c r="Z42" s="49"/>
      <c r="AA42" s="49"/>
      <c r="AB42" s="49"/>
    </row>
    <row r="43" spans="22:28" x14ac:dyDescent="0.25">
      <c r="V43" s="49"/>
      <c r="W43" s="49"/>
      <c r="X43" s="49"/>
      <c r="Y43" s="49"/>
      <c r="Z43" s="49"/>
      <c r="AA43" s="49"/>
      <c r="AB43" s="49"/>
    </row>
    <row r="44" spans="22:28" x14ac:dyDescent="0.25">
      <c r="V44" s="49"/>
      <c r="W44" s="49"/>
      <c r="X44" s="49"/>
      <c r="Y44" s="49"/>
      <c r="Z44" s="49"/>
      <c r="AA44" s="49"/>
      <c r="AB44" s="49"/>
    </row>
    <row r="45" spans="22:28" x14ac:dyDescent="0.25">
      <c r="V45" s="49"/>
      <c r="W45" s="49"/>
      <c r="X45" s="49"/>
      <c r="Y45" s="49"/>
      <c r="Z45" s="49"/>
      <c r="AA45" s="49"/>
      <c r="AB45" s="49"/>
    </row>
  </sheetData>
  <mergeCells count="3">
    <mergeCell ref="A1:G1"/>
    <mergeCell ref="I3:J3"/>
    <mergeCell ref="F3:H3"/>
  </mergeCells>
  <hyperlinks>
    <hyperlink ref="B15" r:id="rId1" xr:uid="{69E1F7C3-E9DE-4863-9FC4-322489C91572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B1:E26"/>
  <sheetViews>
    <sheetView workbookViewId="0">
      <selection activeCell="B3" sqref="B3"/>
    </sheetView>
  </sheetViews>
  <sheetFormatPr defaultRowHeight="15" x14ac:dyDescent="0.25"/>
  <cols>
    <col min="1" max="1" width="2.42578125" customWidth="1"/>
    <col min="2" max="2" width="30.85546875" bestFit="1" customWidth="1"/>
    <col min="3" max="3" width="14.85546875" customWidth="1"/>
    <col min="4" max="4" width="9.140625" bestFit="1" customWidth="1"/>
    <col min="5" max="5" width="59.140625" customWidth="1"/>
  </cols>
  <sheetData>
    <row r="1" spans="2:5" x14ac:dyDescent="0.25">
      <c r="B1" t="s">
        <v>17</v>
      </c>
      <c r="C1" t="s">
        <v>18</v>
      </c>
      <c r="D1" t="s">
        <v>64</v>
      </c>
      <c r="E1" t="s">
        <v>19</v>
      </c>
    </row>
    <row r="2" spans="2:5" x14ac:dyDescent="0.25">
      <c r="B2" t="s">
        <v>76</v>
      </c>
      <c r="C2" t="s">
        <v>77</v>
      </c>
      <c r="D2" t="s">
        <v>78</v>
      </c>
      <c r="E2" t="s">
        <v>83</v>
      </c>
    </row>
    <row r="3" spans="2:5" x14ac:dyDescent="0.25">
      <c r="B3" t="s">
        <v>79</v>
      </c>
      <c r="C3" t="s">
        <v>77</v>
      </c>
      <c r="D3" t="s">
        <v>78</v>
      </c>
      <c r="E3" t="s">
        <v>81</v>
      </c>
    </row>
    <row r="4" spans="2:5" x14ac:dyDescent="0.25">
      <c r="B4" t="s">
        <v>80</v>
      </c>
      <c r="C4" t="s">
        <v>77</v>
      </c>
      <c r="D4" t="s">
        <v>78</v>
      </c>
      <c r="E4" t="s">
        <v>82</v>
      </c>
    </row>
    <row r="5" spans="2:5" x14ac:dyDescent="0.25">
      <c r="B5" t="s">
        <v>40</v>
      </c>
      <c r="C5" t="s">
        <v>41</v>
      </c>
      <c r="E5" t="s">
        <v>42</v>
      </c>
    </row>
    <row r="6" spans="2:5" x14ac:dyDescent="0.25">
      <c r="B6" t="s">
        <v>49</v>
      </c>
      <c r="C6" t="s">
        <v>50</v>
      </c>
      <c r="D6" t="s">
        <v>65</v>
      </c>
      <c r="E6" t="s">
        <v>54</v>
      </c>
    </row>
    <row r="7" spans="2:5" x14ac:dyDescent="0.25">
      <c r="B7" t="s">
        <v>51</v>
      </c>
      <c r="C7" t="s">
        <v>50</v>
      </c>
      <c r="D7" t="s">
        <v>65</v>
      </c>
      <c r="E7" t="s">
        <v>52</v>
      </c>
    </row>
    <row r="8" spans="2:5" x14ac:dyDescent="0.25">
      <c r="B8" t="s">
        <v>56</v>
      </c>
      <c r="C8" t="s">
        <v>50</v>
      </c>
      <c r="D8" t="s">
        <v>65</v>
      </c>
      <c r="E8" t="s">
        <v>59</v>
      </c>
    </row>
    <row r="9" spans="2:5" x14ac:dyDescent="0.25">
      <c r="B9" t="s">
        <v>57</v>
      </c>
      <c r="C9" t="s">
        <v>50</v>
      </c>
      <c r="D9" t="s">
        <v>65</v>
      </c>
      <c r="E9" t="s">
        <v>58</v>
      </c>
    </row>
    <row r="10" spans="2:5" x14ac:dyDescent="0.25">
      <c r="B10" t="s">
        <v>53</v>
      </c>
      <c r="C10" t="s">
        <v>50</v>
      </c>
      <c r="D10" t="s">
        <v>66</v>
      </c>
      <c r="E10" t="s">
        <v>55</v>
      </c>
    </row>
    <row r="11" spans="2:5" x14ac:dyDescent="0.25">
      <c r="B11" t="s">
        <v>60</v>
      </c>
      <c r="C11" t="s">
        <v>50</v>
      </c>
      <c r="D11" t="s">
        <v>66</v>
      </c>
      <c r="E11" t="s">
        <v>61</v>
      </c>
    </row>
    <row r="12" spans="2:5" x14ac:dyDescent="0.25">
      <c r="B12" t="s">
        <v>62</v>
      </c>
      <c r="C12" t="s">
        <v>50</v>
      </c>
      <c r="D12" t="s">
        <v>66</v>
      </c>
      <c r="E12" t="s">
        <v>63</v>
      </c>
    </row>
    <row r="13" spans="2:5" x14ac:dyDescent="0.25">
      <c r="B13" t="s">
        <v>43</v>
      </c>
      <c r="C13" t="s">
        <v>30</v>
      </c>
      <c r="D13" t="s">
        <v>69</v>
      </c>
      <c r="E13" t="s">
        <v>44</v>
      </c>
    </row>
    <row r="14" spans="2:5" x14ac:dyDescent="0.25">
      <c r="B14" t="s">
        <v>45</v>
      </c>
      <c r="C14" t="s">
        <v>30</v>
      </c>
      <c r="D14" t="s">
        <v>69</v>
      </c>
      <c r="E14" t="s">
        <v>46</v>
      </c>
    </row>
    <row r="15" spans="2:5" x14ac:dyDescent="0.25">
      <c r="B15" t="s">
        <v>47</v>
      </c>
      <c r="C15" t="s">
        <v>30</v>
      </c>
      <c r="D15" t="s">
        <v>69</v>
      </c>
      <c r="E15" t="s">
        <v>48</v>
      </c>
    </row>
    <row r="16" spans="2:5" x14ac:dyDescent="0.25">
      <c r="B16" t="s">
        <v>36</v>
      </c>
      <c r="C16" t="s">
        <v>30</v>
      </c>
      <c r="D16" t="s">
        <v>68</v>
      </c>
      <c r="E16" t="s">
        <v>37</v>
      </c>
    </row>
    <row r="17" spans="2:5" x14ac:dyDescent="0.25">
      <c r="B17" t="s">
        <v>38</v>
      </c>
      <c r="C17" t="s">
        <v>30</v>
      </c>
      <c r="D17" t="s">
        <v>68</v>
      </c>
      <c r="E17" t="s">
        <v>39</v>
      </c>
    </row>
    <row r="18" spans="2:5" x14ac:dyDescent="0.25">
      <c r="B18" t="s">
        <v>29</v>
      </c>
      <c r="C18" t="s">
        <v>30</v>
      </c>
      <c r="D18" t="s">
        <v>67</v>
      </c>
      <c r="E18" t="s">
        <v>35</v>
      </c>
    </row>
    <row r="19" spans="2:5" x14ac:dyDescent="0.25">
      <c r="B19" t="s">
        <v>31</v>
      </c>
      <c r="C19" t="s">
        <v>30</v>
      </c>
      <c r="D19" t="s">
        <v>67</v>
      </c>
      <c r="E19" t="s">
        <v>32</v>
      </c>
    </row>
    <row r="20" spans="2:5" x14ac:dyDescent="0.25">
      <c r="B20" t="s">
        <v>33</v>
      </c>
      <c r="C20" t="s">
        <v>30</v>
      </c>
      <c r="D20" t="s">
        <v>67</v>
      </c>
      <c r="E20" t="s">
        <v>34</v>
      </c>
    </row>
    <row r="21" spans="2:5" x14ac:dyDescent="0.25">
      <c r="B21" t="s">
        <v>84</v>
      </c>
      <c r="C21" t="s">
        <v>30</v>
      </c>
      <c r="D21" t="s">
        <v>67</v>
      </c>
      <c r="E21" t="s">
        <v>85</v>
      </c>
    </row>
    <row r="22" spans="2:5" x14ac:dyDescent="0.25">
      <c r="B22" t="s">
        <v>15</v>
      </c>
      <c r="C22" t="s">
        <v>16</v>
      </c>
      <c r="E22" t="s">
        <v>21</v>
      </c>
    </row>
    <row r="23" spans="2:5" x14ac:dyDescent="0.25">
      <c r="B23" t="s">
        <v>20</v>
      </c>
      <c r="C23" t="s">
        <v>16</v>
      </c>
      <c r="E23" t="s">
        <v>22</v>
      </c>
    </row>
    <row r="24" spans="2:5" x14ac:dyDescent="0.25">
      <c r="B24" t="s">
        <v>23</v>
      </c>
      <c r="C24" t="s">
        <v>16</v>
      </c>
      <c r="E24" t="s">
        <v>24</v>
      </c>
    </row>
    <row r="25" spans="2:5" x14ac:dyDescent="0.25">
      <c r="B25" t="s">
        <v>25</v>
      </c>
      <c r="C25" t="s">
        <v>16</v>
      </c>
      <c r="E25" t="s">
        <v>26</v>
      </c>
    </row>
    <row r="26" spans="2:5" x14ac:dyDescent="0.25">
      <c r="B26" t="s">
        <v>27</v>
      </c>
      <c r="C26" t="s">
        <v>16</v>
      </c>
      <c r="E26" t="s">
        <v>28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theme="2"/>
  </sheetPr>
  <dimension ref="B1:K202"/>
  <sheetViews>
    <sheetView topLeftCell="B1" workbookViewId="0">
      <selection activeCell="G2" sqref="G2"/>
    </sheetView>
  </sheetViews>
  <sheetFormatPr defaultRowHeight="15" x14ac:dyDescent="0.25"/>
  <cols>
    <col min="3" max="4" width="22.28515625" bestFit="1" customWidth="1"/>
    <col min="5" max="5" width="11.85546875" bestFit="1" customWidth="1"/>
    <col min="6" max="7" width="22.5703125" style="7" bestFit="1" customWidth="1"/>
    <col min="8" max="8" width="11.85546875" bestFit="1" customWidth="1"/>
    <col min="9" max="10" width="22.5703125" style="7" bestFit="1" customWidth="1"/>
    <col min="11" max="13" width="11.85546875" bestFit="1" customWidth="1"/>
  </cols>
  <sheetData>
    <row r="1" spans="2:11" x14ac:dyDescent="0.25">
      <c r="B1" t="s">
        <v>0</v>
      </c>
      <c r="C1" s="8" t="s">
        <v>73</v>
      </c>
      <c r="D1" s="8" t="s">
        <v>70</v>
      </c>
      <c r="E1" s="6">
        <f>MAX(E2:E202)</f>
        <v>2.2204460492503131E-16</v>
      </c>
      <c r="F1" s="9" t="s">
        <v>74</v>
      </c>
      <c r="G1" s="10" t="s">
        <v>71</v>
      </c>
      <c r="H1" s="6">
        <f>MAX(H2:H202)</f>
        <v>2.2204460492503131E-16</v>
      </c>
      <c r="I1" s="10" t="s">
        <v>75</v>
      </c>
      <c r="J1" s="10" t="s">
        <v>72</v>
      </c>
      <c r="K1" s="6">
        <f>MAX(K2:K202)</f>
        <v>1.1102230246251565E-16</v>
      </c>
    </row>
    <row r="2" spans="2:11" x14ac:dyDescent="0.25">
      <c r="B2">
        <v>-5</v>
      </c>
      <c r="C2" s="7">
        <f>_xll.acq_special_erf(B2)</f>
        <v>-0.99999999999846256</v>
      </c>
      <c r="D2" s="7">
        <f>_xlfn.ERF.PRECISE(B2)</f>
        <v>-0.99999999999846256</v>
      </c>
      <c r="E2">
        <f t="shared" ref="E2:E65" si="0">ABS(C2-D2)</f>
        <v>0</v>
      </c>
      <c r="F2" s="7">
        <f>_xll.acq_special_erfc(B2)</f>
        <v>1.9999999999984626</v>
      </c>
      <c r="G2" s="7">
        <f>_xlfn.ERFC.PRECISE(B2)</f>
        <v>1.9999999999984626</v>
      </c>
      <c r="H2">
        <f t="shared" ref="H2:H65" si="1">ABS(F2-G2)</f>
        <v>0</v>
      </c>
      <c r="I2" s="7">
        <f>_xll.acq_special_normalcdf(B2)</f>
        <v>2.8665157187919328E-7</v>
      </c>
      <c r="J2" s="7">
        <f>_xlfn.NORM.S.DIST(B2,TRUE)</f>
        <v>2.8665157187919333E-7</v>
      </c>
      <c r="K2">
        <f t="shared" ref="K2:K65" si="2">ABS(I2-J2)</f>
        <v>5.2939559203393771E-23</v>
      </c>
    </row>
    <row r="3" spans="2:11" x14ac:dyDescent="0.25">
      <c r="B3">
        <v>-4.95</v>
      </c>
      <c r="C3" s="7">
        <f>_xll.acq_special_erf(B3)</f>
        <v>-0.99999999999744693</v>
      </c>
      <c r="D3" s="7">
        <f t="shared" ref="D3:D66" si="3">_xlfn.ERF.PRECISE(B3)</f>
        <v>-0.99999999999744693</v>
      </c>
      <c r="E3">
        <f t="shared" si="0"/>
        <v>0</v>
      </c>
      <c r="F3" s="7">
        <f>_xll.acq_special_erfc(B3)</f>
        <v>1.9999999999974469</v>
      </c>
      <c r="G3" s="7">
        <f t="shared" ref="G3:G66" si="4">_xlfn.ERFC.PRECISE(B3)</f>
        <v>1.9999999999974469</v>
      </c>
      <c r="H3">
        <f t="shared" si="1"/>
        <v>0</v>
      </c>
      <c r="I3" s="7">
        <f>_xll.acq_special_normalcdf(B3)</f>
        <v>3.7106740796333271E-7</v>
      </c>
      <c r="J3" s="7">
        <f t="shared" ref="J3:J66" si="5">_xlfn.NORM.S.DIST(B3,TRUE)</f>
        <v>3.7106740796333271E-7</v>
      </c>
      <c r="K3">
        <f t="shared" si="2"/>
        <v>0</v>
      </c>
    </row>
    <row r="4" spans="2:11" x14ac:dyDescent="0.25">
      <c r="B4">
        <v>-4.9000000000000004</v>
      </c>
      <c r="C4" s="7">
        <f>_xll.acq_special_erf(B4)</f>
        <v>-0.99999999999578115</v>
      </c>
      <c r="D4" s="7">
        <f t="shared" si="3"/>
        <v>-0.99999999999578104</v>
      </c>
      <c r="E4">
        <f t="shared" si="0"/>
        <v>1.1102230246251565E-16</v>
      </c>
      <c r="F4" s="7">
        <f>_xll.acq_special_erfc(B4)</f>
        <v>1.9999999999957812</v>
      </c>
      <c r="G4" s="7">
        <f t="shared" si="4"/>
        <v>1.9999999999957812</v>
      </c>
      <c r="H4">
        <f t="shared" si="1"/>
        <v>0</v>
      </c>
      <c r="I4" s="7">
        <f>_xll.acq_special_normalcdf(B4)</f>
        <v>4.7918327659031855E-7</v>
      </c>
      <c r="J4" s="7">
        <f t="shared" si="5"/>
        <v>4.7918327659031834E-7</v>
      </c>
      <c r="K4">
        <f t="shared" si="2"/>
        <v>2.1175823681357508E-22</v>
      </c>
    </row>
    <row r="5" spans="2:11" x14ac:dyDescent="0.25">
      <c r="B5">
        <v>-4.8499999999999996</v>
      </c>
      <c r="C5" s="7">
        <f>_xll.acq_special_erf(B5)</f>
        <v>-0.99999999999306244</v>
      </c>
      <c r="D5" s="7">
        <f t="shared" si="3"/>
        <v>-0.99999999999306244</v>
      </c>
      <c r="E5">
        <f t="shared" si="0"/>
        <v>0</v>
      </c>
      <c r="F5" s="7">
        <f>_xll.acq_special_erfc(B5)</f>
        <v>1.9999999999930624</v>
      </c>
      <c r="G5" s="7">
        <f t="shared" si="4"/>
        <v>1.9999999999930624</v>
      </c>
      <c r="H5">
        <f t="shared" si="1"/>
        <v>0</v>
      </c>
      <c r="I5" s="7">
        <f>_xll.acq_special_normalcdf(B5)</f>
        <v>6.1730737200919736E-7</v>
      </c>
      <c r="J5" s="7">
        <f t="shared" si="5"/>
        <v>6.1730737200919715E-7</v>
      </c>
      <c r="K5">
        <f t="shared" si="2"/>
        <v>2.1175823681357508E-22</v>
      </c>
    </row>
    <row r="6" spans="2:11" x14ac:dyDescent="0.25">
      <c r="B6">
        <v>-4.8</v>
      </c>
      <c r="C6" s="7">
        <f>_xll.acq_special_erf(B6)</f>
        <v>-0.99999999998864775</v>
      </c>
      <c r="D6" s="7">
        <f t="shared" si="3"/>
        <v>-0.99999999998864786</v>
      </c>
      <c r="E6">
        <f t="shared" si="0"/>
        <v>1.1102230246251565E-16</v>
      </c>
      <c r="F6" s="7">
        <f>_xll.acq_special_erfc(B6)</f>
        <v>1.9999999999886477</v>
      </c>
      <c r="G6" s="7">
        <f t="shared" si="4"/>
        <v>1.9999999999886477</v>
      </c>
      <c r="H6">
        <f t="shared" si="1"/>
        <v>0</v>
      </c>
      <c r="I6" s="7">
        <f>_xll.acq_special_normalcdf(B6)</f>
        <v>7.9332815197559501E-7</v>
      </c>
      <c r="J6" s="7">
        <f t="shared" si="5"/>
        <v>7.933281519755948E-7</v>
      </c>
      <c r="K6">
        <f t="shared" si="2"/>
        <v>2.1175823681357508E-22</v>
      </c>
    </row>
    <row r="7" spans="2:11" x14ac:dyDescent="0.25">
      <c r="B7">
        <v>-4.75</v>
      </c>
      <c r="C7" s="7">
        <f>_xll.acq_special_erf(B7)</f>
        <v>-0.99999999998151501</v>
      </c>
      <c r="D7" s="7">
        <f t="shared" si="3"/>
        <v>-0.9999999999815149</v>
      </c>
      <c r="E7">
        <f t="shared" si="0"/>
        <v>1.1102230246251565E-16</v>
      </c>
      <c r="F7" s="7">
        <f>_xll.acq_special_erfc(B7)</f>
        <v>1.999999999981515</v>
      </c>
      <c r="G7" s="7">
        <f t="shared" si="4"/>
        <v>1.999999999981515</v>
      </c>
      <c r="H7">
        <f t="shared" si="1"/>
        <v>0</v>
      </c>
      <c r="I7" s="7">
        <f>_xll.acq_special_normalcdf(B7)</f>
        <v>1.0170832425687032E-6</v>
      </c>
      <c r="J7" s="7">
        <f t="shared" si="5"/>
        <v>1.0170832425687034E-6</v>
      </c>
      <c r="K7">
        <f t="shared" si="2"/>
        <v>2.1175823681357508E-22</v>
      </c>
    </row>
    <row r="8" spans="2:11" x14ac:dyDescent="0.25">
      <c r="B8">
        <v>-4.7</v>
      </c>
      <c r="C8" s="7">
        <f>_xll.acq_special_erf(B8)</f>
        <v>-0.99999999997004729</v>
      </c>
      <c r="D8" s="7">
        <f t="shared" si="3"/>
        <v>-0.9999999999700474</v>
      </c>
      <c r="E8">
        <f t="shared" si="0"/>
        <v>1.1102230246251565E-16</v>
      </c>
      <c r="F8" s="7">
        <f>_xll.acq_special_erfc(B8)</f>
        <v>1.9999999999700473</v>
      </c>
      <c r="G8" s="7">
        <f t="shared" si="4"/>
        <v>1.9999999999700473</v>
      </c>
      <c r="H8">
        <f t="shared" si="1"/>
        <v>0</v>
      </c>
      <c r="I8" s="7">
        <f>_xll.acq_special_normalcdf(B8)</f>
        <v>1.3008074539172771E-6</v>
      </c>
      <c r="J8" s="7">
        <f t="shared" si="5"/>
        <v>1.3008074539172773E-6</v>
      </c>
      <c r="K8">
        <f t="shared" si="2"/>
        <v>2.1175823681357508E-22</v>
      </c>
    </row>
    <row r="9" spans="2:11" x14ac:dyDescent="0.25">
      <c r="B9">
        <v>-4.6500000000000004</v>
      </c>
      <c r="C9" s="7">
        <f>_xll.acq_special_erf(B9)</f>
        <v>-0.99999999995170308</v>
      </c>
      <c r="D9" s="7">
        <f t="shared" si="3"/>
        <v>-0.99999999995170297</v>
      </c>
      <c r="E9">
        <f t="shared" si="0"/>
        <v>1.1102230246251565E-16</v>
      </c>
      <c r="F9" s="7">
        <f>_xll.acq_special_erfc(B9)</f>
        <v>1.9999999999517031</v>
      </c>
      <c r="G9" s="7">
        <f t="shared" si="4"/>
        <v>1.9999999999517031</v>
      </c>
      <c r="H9">
        <f t="shared" si="1"/>
        <v>0</v>
      </c>
      <c r="I9" s="7">
        <f>_xll.acq_special_normalcdf(B9)</f>
        <v>1.6596751443714555E-6</v>
      </c>
      <c r="J9" s="7">
        <f t="shared" si="5"/>
        <v>1.6596751443714555E-6</v>
      </c>
      <c r="K9">
        <f t="shared" si="2"/>
        <v>0</v>
      </c>
    </row>
    <row r="10" spans="2:11" x14ac:dyDescent="0.25">
      <c r="B10">
        <v>-4.5999999999999996</v>
      </c>
      <c r="C10" s="7">
        <f>_xll.acq_special_erf(B10)</f>
        <v>-0.99999999992250399</v>
      </c>
      <c r="D10" s="7">
        <f t="shared" si="3"/>
        <v>-0.99999999992250399</v>
      </c>
      <c r="E10">
        <f t="shared" si="0"/>
        <v>0</v>
      </c>
      <c r="F10" s="7">
        <f>_xll.acq_special_erfc(B10)</f>
        <v>1.999999999922504</v>
      </c>
      <c r="G10" s="7">
        <f t="shared" si="4"/>
        <v>1.999999999922504</v>
      </c>
      <c r="H10">
        <f t="shared" si="1"/>
        <v>0</v>
      </c>
      <c r="I10" s="7">
        <f>_xll.acq_special_normalcdf(B10)</f>
        <v>2.1124547025028537E-6</v>
      </c>
      <c r="J10" s="7">
        <f t="shared" si="5"/>
        <v>2.1124547025028533E-6</v>
      </c>
      <c r="K10">
        <f t="shared" si="2"/>
        <v>4.2351647362715017E-22</v>
      </c>
    </row>
    <row r="11" spans="2:11" x14ac:dyDescent="0.25">
      <c r="B11">
        <v>-4.55</v>
      </c>
      <c r="C11" s="7">
        <f>_xll.acq_special_erf(B11)</f>
        <v>-0.99999999987625943</v>
      </c>
      <c r="D11" s="7">
        <f t="shared" si="3"/>
        <v>-0.99999999987625954</v>
      </c>
      <c r="E11">
        <f t="shared" si="0"/>
        <v>1.1102230246251565E-16</v>
      </c>
      <c r="F11" s="7">
        <f>_xll.acq_special_erfc(B11)</f>
        <v>1.9999999998762594</v>
      </c>
      <c r="G11" s="7">
        <f t="shared" si="4"/>
        <v>1.9999999998762594</v>
      </c>
      <c r="H11">
        <f t="shared" si="1"/>
        <v>0</v>
      </c>
      <c r="I11" s="7">
        <f>_xll.acq_special_normalcdf(B11)</f>
        <v>2.6822957796388472E-6</v>
      </c>
      <c r="J11" s="7">
        <f t="shared" si="5"/>
        <v>2.6822957796388485E-6</v>
      </c>
      <c r="K11">
        <f t="shared" si="2"/>
        <v>1.2705494208814505E-21</v>
      </c>
    </row>
    <row r="12" spans="2:11" x14ac:dyDescent="0.25">
      <c r="B12">
        <v>-4.5</v>
      </c>
      <c r="C12" s="7">
        <f>_xll.acq_special_erf(B12)</f>
        <v>-0.99999999980338394</v>
      </c>
      <c r="D12" s="7">
        <f t="shared" si="3"/>
        <v>-0.99999999980338394</v>
      </c>
      <c r="E12">
        <f t="shared" si="0"/>
        <v>0</v>
      </c>
      <c r="F12" s="7">
        <f>_xll.acq_special_erfc(B12)</f>
        <v>1.9999999998033839</v>
      </c>
      <c r="G12" s="7">
        <f t="shared" si="4"/>
        <v>1.9999999998033839</v>
      </c>
      <c r="H12">
        <f t="shared" si="1"/>
        <v>0</v>
      </c>
      <c r="I12" s="7">
        <f>_xll.acq_special_normalcdf(B12)</f>
        <v>3.3976731247300535E-6</v>
      </c>
      <c r="J12" s="7">
        <f t="shared" si="5"/>
        <v>3.3976731247300535E-6</v>
      </c>
      <c r="K12">
        <f t="shared" si="2"/>
        <v>0</v>
      </c>
    </row>
    <row r="13" spans="2:11" x14ac:dyDescent="0.25">
      <c r="B13">
        <v>-4.45</v>
      </c>
      <c r="C13" s="7">
        <f>_xll.acq_special_erf(B13)</f>
        <v>-0.99999999968911357</v>
      </c>
      <c r="D13" s="7">
        <f t="shared" si="3"/>
        <v>-0.99999999968911368</v>
      </c>
      <c r="E13">
        <f t="shared" si="0"/>
        <v>1.1102230246251565E-16</v>
      </c>
      <c r="F13" s="7">
        <f>_xll.acq_special_erfc(B13)</f>
        <v>1.9999999996891136</v>
      </c>
      <c r="G13" s="7">
        <f t="shared" si="4"/>
        <v>1.9999999996891136</v>
      </c>
      <c r="H13">
        <f t="shared" si="1"/>
        <v>0</v>
      </c>
      <c r="I13" s="7">
        <f>_xll.acq_special_normalcdf(B13)</f>
        <v>4.293514469971858E-6</v>
      </c>
      <c r="J13" s="7">
        <f t="shared" si="5"/>
        <v>4.2935144699718588E-6</v>
      </c>
      <c r="K13">
        <f t="shared" si="2"/>
        <v>8.4703294725430034E-22</v>
      </c>
    </row>
    <row r="14" spans="2:11" x14ac:dyDescent="0.25">
      <c r="B14">
        <v>-4.4000000000000004</v>
      </c>
      <c r="C14" s="7">
        <f>_xll.acq_special_erf(B14)</f>
        <v>-0.99999999951082907</v>
      </c>
      <c r="D14" s="7">
        <f t="shared" si="3"/>
        <v>-0.99999999951082896</v>
      </c>
      <c r="E14">
        <f t="shared" si="0"/>
        <v>1.1102230246251565E-16</v>
      </c>
      <c r="F14" s="7">
        <f>_xll.acq_special_erfc(B14)</f>
        <v>1.9999999995108291</v>
      </c>
      <c r="G14" s="7">
        <f t="shared" si="4"/>
        <v>1.9999999995108291</v>
      </c>
      <c r="H14">
        <f t="shared" si="1"/>
        <v>0</v>
      </c>
      <c r="I14" s="7">
        <f>_xll.acq_special_normalcdf(B14)</f>
        <v>5.4125439077038407E-6</v>
      </c>
      <c r="J14" s="7">
        <f t="shared" si="5"/>
        <v>5.4125439077038416E-6</v>
      </c>
      <c r="K14">
        <f t="shared" si="2"/>
        <v>8.4703294725430034E-22</v>
      </c>
    </row>
    <row r="15" spans="2:11" x14ac:dyDescent="0.25">
      <c r="B15">
        <v>-4.3499999999999996</v>
      </c>
      <c r="C15" s="7">
        <f>_xll.acq_special_erf(B15)</f>
        <v>-0.99999999923405558</v>
      </c>
      <c r="D15" s="7">
        <f t="shared" si="3"/>
        <v>-0.99999999923405558</v>
      </c>
      <c r="E15">
        <f t="shared" si="0"/>
        <v>0</v>
      </c>
      <c r="F15" s="7">
        <f>_xll.acq_special_erfc(B15)</f>
        <v>1.9999999992340556</v>
      </c>
      <c r="G15" s="7">
        <f t="shared" si="4"/>
        <v>1.9999999992340556</v>
      </c>
      <c r="H15">
        <f t="shared" si="1"/>
        <v>0</v>
      </c>
      <c r="I15" s="7">
        <f>_xll.acq_special_normalcdf(B15)</f>
        <v>6.806876599334043E-6</v>
      </c>
      <c r="J15" s="7">
        <f t="shared" si="5"/>
        <v>6.8068765993340439E-6</v>
      </c>
      <c r="K15">
        <f t="shared" si="2"/>
        <v>8.4703294725430034E-22</v>
      </c>
    </row>
    <row r="16" spans="2:11" x14ac:dyDescent="0.25">
      <c r="B16">
        <v>-4.3</v>
      </c>
      <c r="C16" s="7">
        <f>_xll.acq_special_erf(B16)</f>
        <v>-0.99999999880652823</v>
      </c>
      <c r="D16" s="7">
        <f t="shared" si="3"/>
        <v>-0.99999999880652823</v>
      </c>
      <c r="E16">
        <f t="shared" si="0"/>
        <v>0</v>
      </c>
      <c r="F16" s="7">
        <f>_xll.acq_special_erfc(B16)</f>
        <v>1.9999999988065282</v>
      </c>
      <c r="G16" s="7">
        <f t="shared" si="4"/>
        <v>1.9999999988065282</v>
      </c>
      <c r="H16">
        <f t="shared" si="1"/>
        <v>0</v>
      </c>
      <c r="I16" s="7">
        <f>_xll.acq_special_normalcdf(B16)</f>
        <v>8.5399054709917942E-6</v>
      </c>
      <c r="J16" s="7">
        <f t="shared" si="5"/>
        <v>8.5399054709917942E-6</v>
      </c>
      <c r="K16">
        <f t="shared" si="2"/>
        <v>0</v>
      </c>
    </row>
    <row r="17" spans="2:11" x14ac:dyDescent="0.25">
      <c r="B17">
        <v>-4.25</v>
      </c>
      <c r="C17" s="7">
        <f>_xll.acq_special_erf(B17)</f>
        <v>-0.99999999814942586</v>
      </c>
      <c r="D17" s="7">
        <f t="shared" si="3"/>
        <v>-0.99999999814942586</v>
      </c>
      <c r="E17">
        <f t="shared" si="0"/>
        <v>0</v>
      </c>
      <c r="F17" s="7">
        <f>_xll.acq_special_erfc(B17)</f>
        <v>1.9999999981494259</v>
      </c>
      <c r="G17" s="7">
        <f t="shared" si="4"/>
        <v>1.9999999981494259</v>
      </c>
      <c r="H17">
        <f t="shared" si="1"/>
        <v>0</v>
      </c>
      <c r="I17" s="7">
        <f>_xll.acq_special_normalcdf(B17)</f>
        <v>1.0688525774934402E-5</v>
      </c>
      <c r="J17" s="7">
        <f t="shared" si="5"/>
        <v>1.06885257749344E-5</v>
      </c>
      <c r="K17">
        <f t="shared" si="2"/>
        <v>1.6940658945086007E-21</v>
      </c>
    </row>
    <row r="18" spans="2:11" x14ac:dyDescent="0.25">
      <c r="B18">
        <v>-4.2</v>
      </c>
      <c r="C18" s="7">
        <f>_xll.acq_special_erf(B18)</f>
        <v>-0.99999999714450571</v>
      </c>
      <c r="D18" s="7">
        <f t="shared" si="3"/>
        <v>-0.99999999714450583</v>
      </c>
      <c r="E18">
        <f t="shared" si="0"/>
        <v>1.1102230246251565E-16</v>
      </c>
      <c r="F18" s="7">
        <f>_xll.acq_special_erfc(B18)</f>
        <v>1.9999999971445057</v>
      </c>
      <c r="G18" s="7">
        <f t="shared" si="4"/>
        <v>1.9999999971445057</v>
      </c>
      <c r="H18">
        <f t="shared" si="1"/>
        <v>0</v>
      </c>
      <c r="I18" s="7">
        <f>_xll.acq_special_normalcdf(B18)</f>
        <v>1.334574901590631E-5</v>
      </c>
      <c r="J18" s="7">
        <f t="shared" si="5"/>
        <v>1.3345749015906309E-5</v>
      </c>
      <c r="K18">
        <f t="shared" si="2"/>
        <v>1.6940658945086007E-21</v>
      </c>
    </row>
    <row r="19" spans="2:11" x14ac:dyDescent="0.25">
      <c r="B19">
        <v>-4.1500000000000004</v>
      </c>
      <c r="C19" s="7">
        <f>_xll.acq_special_erf(B19)</f>
        <v>-0.99999999561532293</v>
      </c>
      <c r="D19" s="7">
        <f t="shared" si="3"/>
        <v>-0.99999999561532293</v>
      </c>
      <c r="E19">
        <f t="shared" si="0"/>
        <v>0</v>
      </c>
      <c r="F19" s="7">
        <f>_xll.acq_special_erfc(B19)</f>
        <v>1.9999999956153229</v>
      </c>
      <c r="G19" s="7">
        <f t="shared" si="4"/>
        <v>1.9999999956153229</v>
      </c>
      <c r="H19">
        <f t="shared" si="1"/>
        <v>0</v>
      </c>
      <c r="I19" s="7">
        <f>_xll.acq_special_normalcdf(B19)</f>
        <v>1.6623763729652213E-5</v>
      </c>
      <c r="J19" s="7">
        <f t="shared" si="5"/>
        <v>1.6623763729652213E-5</v>
      </c>
      <c r="K19">
        <f t="shared" si="2"/>
        <v>0</v>
      </c>
    </row>
    <row r="20" spans="2:11" x14ac:dyDescent="0.25">
      <c r="B20">
        <v>-4.0999999999999996</v>
      </c>
      <c r="C20" s="7">
        <f>_xll.acq_special_erf(B20)</f>
        <v>-0.99999999329997236</v>
      </c>
      <c r="D20" s="7">
        <f t="shared" si="3"/>
        <v>-0.99999999329997236</v>
      </c>
      <c r="E20">
        <f t="shared" si="0"/>
        <v>0</v>
      </c>
      <c r="F20" s="7">
        <f>_xll.acq_special_erfc(B20)</f>
        <v>1.9999999932999724</v>
      </c>
      <c r="G20" s="7">
        <f t="shared" si="4"/>
        <v>1.9999999932999724</v>
      </c>
      <c r="H20">
        <f t="shared" si="1"/>
        <v>0</v>
      </c>
      <c r="I20" s="7">
        <f>_xll.acq_special_normalcdf(B20)</f>
        <v>2.0657506912546717E-5</v>
      </c>
      <c r="J20" s="7">
        <f t="shared" si="5"/>
        <v>2.0657506912546714E-5</v>
      </c>
      <c r="K20">
        <f t="shared" si="2"/>
        <v>3.3881317890172014E-21</v>
      </c>
    </row>
    <row r="21" spans="2:11" x14ac:dyDescent="0.25">
      <c r="B21">
        <v>-4.05</v>
      </c>
      <c r="C21" s="7">
        <f>_xll.acq_special_erf(B21)</f>
        <v>-0.99999998981175509</v>
      </c>
      <c r="D21" s="7">
        <f t="shared" si="3"/>
        <v>-0.99999998981175509</v>
      </c>
      <c r="E21">
        <f t="shared" si="0"/>
        <v>0</v>
      </c>
      <c r="F21" s="7">
        <f>_xll.acq_special_erfc(B21)</f>
        <v>1.9999999898117551</v>
      </c>
      <c r="G21" s="7">
        <f t="shared" si="4"/>
        <v>1.9999999898117551</v>
      </c>
      <c r="H21">
        <f t="shared" si="1"/>
        <v>0</v>
      </c>
      <c r="I21" s="7">
        <f>_xll.acq_special_normalcdf(B21)</f>
        <v>2.5608816474041489E-5</v>
      </c>
      <c r="J21" s="7">
        <f t="shared" si="5"/>
        <v>2.5608816474041486E-5</v>
      </c>
      <c r="K21">
        <f t="shared" si="2"/>
        <v>3.3881317890172014E-21</v>
      </c>
    </row>
    <row r="22" spans="2:11" x14ac:dyDescent="0.25">
      <c r="B22">
        <v>-4</v>
      </c>
      <c r="C22" s="7">
        <f>_xll.acq_special_erf(B22)</f>
        <v>-0.99999998458274209</v>
      </c>
      <c r="D22" s="7">
        <f t="shared" si="3"/>
        <v>-0.99999998458274209</v>
      </c>
      <c r="E22">
        <f t="shared" si="0"/>
        <v>0</v>
      </c>
      <c r="F22" s="7">
        <f>_xll.acq_special_erfc(B22)</f>
        <v>1.9999999845827421</v>
      </c>
      <c r="G22" s="7">
        <f t="shared" si="4"/>
        <v>1.9999999845827421</v>
      </c>
      <c r="H22">
        <f t="shared" si="1"/>
        <v>0</v>
      </c>
      <c r="I22" s="7">
        <f>_xll.acq_special_normalcdf(B22)</f>
        <v>3.1671241833119863E-5</v>
      </c>
      <c r="J22" s="7">
        <f t="shared" si="5"/>
        <v>3.1671241833119857E-5</v>
      </c>
      <c r="K22">
        <f t="shared" si="2"/>
        <v>6.7762635780344027E-21</v>
      </c>
    </row>
    <row r="23" spans="2:11" x14ac:dyDescent="0.25">
      <c r="B23">
        <v>-3.95</v>
      </c>
      <c r="C23" s="7">
        <f>_xll.acq_special_erf(B23)</f>
        <v>-0.99999997678326769</v>
      </c>
      <c r="D23" s="7">
        <f t="shared" si="3"/>
        <v>-0.9999999767832678</v>
      </c>
      <c r="E23">
        <f t="shared" si="0"/>
        <v>1.1102230246251565E-16</v>
      </c>
      <c r="F23" s="7">
        <f>_xll.acq_special_erfc(B23)</f>
        <v>1.9999999767832677</v>
      </c>
      <c r="G23" s="7">
        <f t="shared" si="4"/>
        <v>1.9999999767832677</v>
      </c>
      <c r="H23">
        <f t="shared" si="1"/>
        <v>0</v>
      </c>
      <c r="I23" s="7">
        <f>_xll.acq_special_normalcdf(B23)</f>
        <v>3.9075596597787456E-5</v>
      </c>
      <c r="J23" s="7">
        <f t="shared" si="5"/>
        <v>3.9075596597787456E-5</v>
      </c>
      <c r="K23">
        <f t="shared" si="2"/>
        <v>0</v>
      </c>
    </row>
    <row r="24" spans="2:11" x14ac:dyDescent="0.25">
      <c r="B24">
        <v>-3.9</v>
      </c>
      <c r="C24" s="7">
        <f>_xll.acq_special_erf(B24)</f>
        <v>-0.99999996520775136</v>
      </c>
      <c r="D24" s="7">
        <f t="shared" si="3"/>
        <v>-0.99999996520775136</v>
      </c>
      <c r="E24">
        <f t="shared" si="0"/>
        <v>0</v>
      </c>
      <c r="F24" s="7">
        <f>_xll.acq_special_erfc(B24)</f>
        <v>1.9999999652077514</v>
      </c>
      <c r="G24" s="7">
        <f t="shared" si="4"/>
        <v>1.9999999652077514</v>
      </c>
      <c r="H24">
        <f t="shared" si="1"/>
        <v>0</v>
      </c>
      <c r="I24" s="7">
        <f>_xll.acq_special_normalcdf(B24)</f>
        <v>4.8096344017602614E-5</v>
      </c>
      <c r="J24" s="7">
        <f t="shared" si="5"/>
        <v>4.8096344017602614E-5</v>
      </c>
      <c r="K24">
        <f t="shared" si="2"/>
        <v>0</v>
      </c>
    </row>
    <row r="25" spans="2:11" x14ac:dyDescent="0.25">
      <c r="B25">
        <v>-3.85</v>
      </c>
      <c r="C25" s="7">
        <f>_xll.acq_special_erf(B25)</f>
        <v>-0.99999994811370652</v>
      </c>
      <c r="D25" s="7">
        <f t="shared" si="3"/>
        <v>-0.99999994811370663</v>
      </c>
      <c r="E25">
        <f t="shared" si="0"/>
        <v>1.1102230246251565E-16</v>
      </c>
      <c r="F25" s="7">
        <f>_xll.acq_special_erfc(B25)</f>
        <v>1.9999999481137065</v>
      </c>
      <c r="G25" s="7">
        <f t="shared" si="4"/>
        <v>1.9999999481137065</v>
      </c>
      <c r="H25">
        <f t="shared" si="1"/>
        <v>0</v>
      </c>
      <c r="I25" s="7">
        <f>_xll.acq_special_normalcdf(B25)</f>
        <v>5.9058912418922374E-5</v>
      </c>
      <c r="J25" s="7">
        <f t="shared" si="5"/>
        <v>5.9058912418922381E-5</v>
      </c>
      <c r="K25">
        <f t="shared" si="2"/>
        <v>6.7762635780344027E-21</v>
      </c>
    </row>
    <row r="26" spans="2:11" x14ac:dyDescent="0.25">
      <c r="B26">
        <v>-3.8</v>
      </c>
      <c r="C26" s="7">
        <f>_xll.acq_special_erf(B26)</f>
        <v>-0.99999992299607254</v>
      </c>
      <c r="D26" s="7">
        <f t="shared" si="3"/>
        <v>-0.99999992299607254</v>
      </c>
      <c r="E26">
        <f t="shared" si="0"/>
        <v>0</v>
      </c>
      <c r="F26" s="7">
        <f>_xll.acq_special_erfc(B26)</f>
        <v>1.9999999229960725</v>
      </c>
      <c r="G26" s="7">
        <f t="shared" si="4"/>
        <v>1.9999999229960725</v>
      </c>
      <c r="H26">
        <f t="shared" si="1"/>
        <v>0</v>
      </c>
      <c r="I26" s="7">
        <f>_xll.acq_special_normalcdf(B26)</f>
        <v>7.2348043925119976E-5</v>
      </c>
      <c r="J26" s="7">
        <f t="shared" si="5"/>
        <v>7.234804392511999E-5</v>
      </c>
      <c r="K26">
        <f t="shared" si="2"/>
        <v>1.3552527156068805E-20</v>
      </c>
    </row>
    <row r="27" spans="2:11" x14ac:dyDescent="0.25">
      <c r="B27">
        <v>-3.75</v>
      </c>
      <c r="C27" s="7">
        <f>_xll.acq_special_erf(B27)</f>
        <v>-0.9999998862727435</v>
      </c>
      <c r="D27" s="7">
        <f t="shared" si="3"/>
        <v>-0.99999988627274339</v>
      </c>
      <c r="E27">
        <f t="shared" si="0"/>
        <v>1.1102230246251565E-16</v>
      </c>
      <c r="F27" s="7">
        <f>_xll.acq_special_erfc(B27)</f>
        <v>1.9999998862727435</v>
      </c>
      <c r="G27" s="7">
        <f t="shared" si="4"/>
        <v>1.9999998862727435</v>
      </c>
      <c r="H27">
        <f t="shared" si="1"/>
        <v>0</v>
      </c>
      <c r="I27" s="7">
        <f>_xll.acq_special_normalcdf(B27)</f>
        <v>8.8417285200803773E-5</v>
      </c>
      <c r="J27" s="7">
        <f t="shared" si="5"/>
        <v>8.841728520080376E-5</v>
      </c>
      <c r="K27">
        <f t="shared" si="2"/>
        <v>1.3552527156068805E-20</v>
      </c>
    </row>
    <row r="28" spans="2:11" x14ac:dyDescent="0.25">
      <c r="B28">
        <v>-3.7</v>
      </c>
      <c r="C28" s="7">
        <f>_xll.acq_special_erf(B28)</f>
        <v>-0.99999983284894212</v>
      </c>
      <c r="D28" s="7">
        <f t="shared" si="3"/>
        <v>-0.99999983284894212</v>
      </c>
      <c r="E28">
        <f t="shared" si="0"/>
        <v>0</v>
      </c>
      <c r="F28" s="7">
        <f>_xll.acq_special_erfc(B28)</f>
        <v>1.9999998328489421</v>
      </c>
      <c r="G28" s="7">
        <f t="shared" si="4"/>
        <v>1.9999998328489421</v>
      </c>
      <c r="H28">
        <f t="shared" si="1"/>
        <v>0</v>
      </c>
      <c r="I28" s="7">
        <f>_xll.acq_special_normalcdf(B28)</f>
        <v>1.0779973347738823E-4</v>
      </c>
      <c r="J28" s="7">
        <f t="shared" si="5"/>
        <v>1.0779973347738824E-4</v>
      </c>
      <c r="K28">
        <f t="shared" si="2"/>
        <v>1.3552527156068805E-20</v>
      </c>
    </row>
    <row r="29" spans="2:11" x14ac:dyDescent="0.25">
      <c r="B29">
        <v>-3.65</v>
      </c>
      <c r="C29" s="7">
        <f>_xll.acq_special_erf(B29)</f>
        <v>-0.99999975551734943</v>
      </c>
      <c r="D29" s="7">
        <f t="shared" si="3"/>
        <v>-0.99999975551734943</v>
      </c>
      <c r="E29">
        <f t="shared" si="0"/>
        <v>0</v>
      </c>
      <c r="F29" s="7">
        <f>_xll.acq_special_erfc(B29)</f>
        <v>1.9999997555173494</v>
      </c>
      <c r="G29" s="7">
        <f t="shared" si="4"/>
        <v>1.9999997555173494</v>
      </c>
      <c r="H29">
        <f t="shared" si="1"/>
        <v>0</v>
      </c>
      <c r="I29" s="7">
        <f>_xll.acq_special_normalcdf(B29)</f>
        <v>1.3112015442048433E-4</v>
      </c>
      <c r="J29" s="7">
        <f t="shared" si="5"/>
        <v>1.3112015442048446E-4</v>
      </c>
      <c r="K29">
        <f t="shared" si="2"/>
        <v>1.3552527156068805E-19</v>
      </c>
    </row>
    <row r="30" spans="2:11" x14ac:dyDescent="0.25">
      <c r="B30">
        <v>-3.6</v>
      </c>
      <c r="C30" s="7">
        <f>_xll.acq_special_erf(B30)</f>
        <v>-0.99999964413700693</v>
      </c>
      <c r="D30" s="7">
        <f t="shared" si="3"/>
        <v>-0.99999964413700704</v>
      </c>
      <c r="E30">
        <f t="shared" si="0"/>
        <v>1.1102230246251565E-16</v>
      </c>
      <c r="F30" s="7">
        <f>_xll.acq_special_erfc(B30)</f>
        <v>1.9999996441370069</v>
      </c>
      <c r="G30" s="7">
        <f t="shared" si="4"/>
        <v>1.9999996441370069</v>
      </c>
      <c r="H30">
        <f t="shared" si="1"/>
        <v>0</v>
      </c>
      <c r="I30" s="7">
        <f>_xll.acq_special_normalcdf(B30)</f>
        <v>1.5910859015753364E-4</v>
      </c>
      <c r="J30" s="7">
        <f t="shared" si="5"/>
        <v>1.5910859015753364E-4</v>
      </c>
      <c r="K30">
        <f t="shared" si="2"/>
        <v>0</v>
      </c>
    </row>
    <row r="31" spans="2:11" x14ac:dyDescent="0.25">
      <c r="B31">
        <v>-3.55000000000001</v>
      </c>
      <c r="C31" s="7">
        <f>_xll.acq_special_erf(B31)</f>
        <v>-0.99999948451617526</v>
      </c>
      <c r="D31" s="7">
        <f t="shared" si="3"/>
        <v>-0.99999948451617537</v>
      </c>
      <c r="E31">
        <f t="shared" si="0"/>
        <v>1.1102230246251565E-16</v>
      </c>
      <c r="F31" s="7">
        <f>_xll.acq_special_erfc(B31)</f>
        <v>1.9999994845161753</v>
      </c>
      <c r="G31" s="7">
        <f t="shared" si="4"/>
        <v>1.9999994845161753</v>
      </c>
      <c r="H31">
        <f t="shared" si="1"/>
        <v>0</v>
      </c>
      <c r="I31" s="7">
        <f>_xll.acq_special_normalcdf(B31)</f>
        <v>1.9261557563562544E-4</v>
      </c>
      <c r="J31" s="7">
        <f t="shared" si="5"/>
        <v>1.9261557563562541E-4</v>
      </c>
      <c r="K31">
        <f t="shared" si="2"/>
        <v>2.7105054312137611E-20</v>
      </c>
    </row>
    <row r="32" spans="2:11" x14ac:dyDescent="0.25">
      <c r="B32">
        <v>-3.5000000000000102</v>
      </c>
      <c r="C32" s="7">
        <f>_xll.acq_special_erf(B32)</f>
        <v>-0.99999925690162761</v>
      </c>
      <c r="D32" s="7">
        <f t="shared" si="3"/>
        <v>-0.99999925690162761</v>
      </c>
      <c r="E32">
        <f t="shared" si="0"/>
        <v>0</v>
      </c>
      <c r="F32" s="7">
        <f>_xll.acq_special_erfc(B32)</f>
        <v>1.9999992569016276</v>
      </c>
      <c r="G32" s="7">
        <f t="shared" si="4"/>
        <v>1.9999992569016276</v>
      </c>
      <c r="H32">
        <f t="shared" si="1"/>
        <v>0</v>
      </c>
      <c r="I32" s="7">
        <f>_xll.acq_special_normalcdf(B32)</f>
        <v>2.3262907903551575E-4</v>
      </c>
      <c r="J32" s="7">
        <f t="shared" si="5"/>
        <v>2.3262907903551577E-4</v>
      </c>
      <c r="K32">
        <f t="shared" si="2"/>
        <v>2.7105054312137611E-20</v>
      </c>
    </row>
    <row r="33" spans="2:11" x14ac:dyDescent="0.25">
      <c r="B33">
        <v>-3.4500000000000099</v>
      </c>
      <c r="C33" s="7">
        <f>_xll.acq_special_erf(B33)</f>
        <v>-0.99999893394820649</v>
      </c>
      <c r="D33" s="7">
        <f t="shared" si="3"/>
        <v>-0.99999893394820649</v>
      </c>
      <c r="E33">
        <f t="shared" si="0"/>
        <v>0</v>
      </c>
      <c r="F33" s="7">
        <f>_xll.acq_special_erfc(B33)</f>
        <v>1.9999989339482065</v>
      </c>
      <c r="G33" s="7">
        <f t="shared" si="4"/>
        <v>1.9999989339482065</v>
      </c>
      <c r="H33">
        <f t="shared" si="1"/>
        <v>0</v>
      </c>
      <c r="I33" s="7">
        <f>_xll.acq_special_normalcdf(B33)</f>
        <v>2.8029327681616676E-4</v>
      </c>
      <c r="J33" s="7">
        <f t="shared" si="5"/>
        <v>2.8029327681616676E-4</v>
      </c>
      <c r="K33">
        <f t="shared" si="2"/>
        <v>0</v>
      </c>
    </row>
    <row r="34" spans="2:11" x14ac:dyDescent="0.25">
      <c r="B34">
        <v>-3.4000000000000101</v>
      </c>
      <c r="C34" s="7">
        <f>_xll.acq_special_erf(B34)</f>
        <v>-0.9999984780066371</v>
      </c>
      <c r="D34" s="7">
        <f t="shared" si="3"/>
        <v>-0.9999984780066371</v>
      </c>
      <c r="E34">
        <f t="shared" si="0"/>
        <v>0</v>
      </c>
      <c r="F34" s="7">
        <f>_xll.acq_special_erfc(B34)</f>
        <v>1.9999984780066371</v>
      </c>
      <c r="G34" s="7">
        <f t="shared" si="4"/>
        <v>1.9999984780066371</v>
      </c>
      <c r="H34">
        <f t="shared" si="1"/>
        <v>0</v>
      </c>
      <c r="I34" s="7">
        <f>_xll.acq_special_normalcdf(B34)</f>
        <v>3.3692926567686817E-4</v>
      </c>
      <c r="J34" s="7">
        <f t="shared" si="5"/>
        <v>3.3692926567686834E-4</v>
      </c>
      <c r="K34">
        <f t="shared" si="2"/>
        <v>1.6263032587282567E-19</v>
      </c>
    </row>
    <row r="35" spans="2:11" x14ac:dyDescent="0.25">
      <c r="B35">
        <v>-3.3500000000000099</v>
      </c>
      <c r="C35" s="7">
        <f>_xll.acq_special_erf(B35)</f>
        <v>-0.99999783752317994</v>
      </c>
      <c r="D35" s="7">
        <f t="shared" si="3"/>
        <v>-0.99999783752317994</v>
      </c>
      <c r="E35">
        <f t="shared" si="0"/>
        <v>0</v>
      </c>
      <c r="F35" s="7">
        <f>_xll.acq_special_erfc(B35)</f>
        <v>1.9999978375231799</v>
      </c>
      <c r="G35" s="7">
        <f t="shared" si="4"/>
        <v>1.9999978375231799</v>
      </c>
      <c r="H35">
        <f t="shared" si="1"/>
        <v>0</v>
      </c>
      <c r="I35" s="7">
        <f>_xll.acq_special_normalcdf(B35)</f>
        <v>4.0405780186400611E-4</v>
      </c>
      <c r="J35" s="7">
        <f t="shared" si="5"/>
        <v>4.0405780186400611E-4</v>
      </c>
      <c r="K35">
        <f t="shared" si="2"/>
        <v>0</v>
      </c>
    </row>
    <row r="36" spans="2:11" x14ac:dyDescent="0.25">
      <c r="B36">
        <v>-3.30000000000001</v>
      </c>
      <c r="C36" s="7">
        <f>_xll.acq_special_erf(B36)</f>
        <v>-0.99999694229020353</v>
      </c>
      <c r="D36" s="7">
        <f t="shared" si="3"/>
        <v>-0.99999694229020353</v>
      </c>
      <c r="E36">
        <f t="shared" si="0"/>
        <v>0</v>
      </c>
      <c r="F36" s="7">
        <f>_xll.acq_special_erfc(B36)</f>
        <v>1.9999969422902035</v>
      </c>
      <c r="G36" s="7">
        <f t="shared" si="4"/>
        <v>1.9999969422902035</v>
      </c>
      <c r="H36">
        <f t="shared" si="1"/>
        <v>0</v>
      </c>
      <c r="I36" s="7">
        <f>_xll.acq_special_normalcdf(B36)</f>
        <v>4.834241423837595E-4</v>
      </c>
      <c r="J36" s="7">
        <f t="shared" si="5"/>
        <v>4.834241423837595E-4</v>
      </c>
      <c r="K36">
        <f t="shared" si="2"/>
        <v>0</v>
      </c>
    </row>
    <row r="37" spans="2:11" x14ac:dyDescent="0.25">
      <c r="B37">
        <v>-3.2500000000000102</v>
      </c>
      <c r="C37" s="7">
        <f>_xll.acq_special_erf(B37)</f>
        <v>-0.99999569722053638</v>
      </c>
      <c r="D37" s="7">
        <f t="shared" si="3"/>
        <v>-0.99999569722053627</v>
      </c>
      <c r="E37">
        <f t="shared" si="0"/>
        <v>1.1102230246251565E-16</v>
      </c>
      <c r="F37" s="7">
        <f>_xll.acq_special_erfc(B37)</f>
        <v>1.9999956972205364</v>
      </c>
      <c r="G37" s="7">
        <f t="shared" si="4"/>
        <v>1.9999956972205364</v>
      </c>
      <c r="H37">
        <f t="shared" si="1"/>
        <v>0</v>
      </c>
      <c r="I37" s="7">
        <f>_xll.acq_special_normalcdf(B37)</f>
        <v>5.7702504239074554E-4</v>
      </c>
      <c r="J37" s="7">
        <f t="shared" si="5"/>
        <v>5.7702504239074554E-4</v>
      </c>
      <c r="K37">
        <f t="shared" si="2"/>
        <v>0</v>
      </c>
    </row>
    <row r="38" spans="2:11" x14ac:dyDescent="0.25">
      <c r="B38">
        <v>-3.2000000000000099</v>
      </c>
      <c r="C38" s="7">
        <f>_xll.acq_special_erf(B38)</f>
        <v>-0.99999397423884817</v>
      </c>
      <c r="D38" s="7">
        <f t="shared" si="3"/>
        <v>-0.99999397423884828</v>
      </c>
      <c r="E38">
        <f t="shared" si="0"/>
        <v>1.1102230246251565E-16</v>
      </c>
      <c r="F38" s="7">
        <f>_xll.acq_special_erfc(B38)</f>
        <v>1.9999939742388482</v>
      </c>
      <c r="G38" s="7">
        <f t="shared" si="4"/>
        <v>1.9999939742388482</v>
      </c>
      <c r="H38">
        <f t="shared" si="1"/>
        <v>0</v>
      </c>
      <c r="I38" s="7">
        <f>_xll.acq_special_normalcdf(B38)</f>
        <v>6.8713793791582453E-4</v>
      </c>
      <c r="J38" s="7">
        <f t="shared" si="5"/>
        <v>6.8713793791582453E-4</v>
      </c>
      <c r="K38">
        <f t="shared" si="2"/>
        <v>0</v>
      </c>
    </row>
    <row r="39" spans="2:11" x14ac:dyDescent="0.25">
      <c r="B39">
        <v>-3.1500000000000101</v>
      </c>
      <c r="C39" s="7">
        <f>_xll.acq_special_erf(B39)</f>
        <v>-0.99999160178868474</v>
      </c>
      <c r="D39" s="7">
        <f t="shared" si="3"/>
        <v>-0.99999160178868474</v>
      </c>
      <c r="E39">
        <f t="shared" si="0"/>
        <v>0</v>
      </c>
      <c r="F39" s="7">
        <f>_xll.acq_special_erfc(B39)</f>
        <v>1.9999916017886847</v>
      </c>
      <c r="G39" s="7">
        <f t="shared" si="4"/>
        <v>1.9999916017886847</v>
      </c>
      <c r="H39">
        <f t="shared" si="1"/>
        <v>0</v>
      </c>
      <c r="I39" s="7">
        <f>_xll.acq_special_normalcdf(B39)</f>
        <v>8.1635231282853413E-4</v>
      </c>
      <c r="J39" s="7">
        <f t="shared" si="5"/>
        <v>8.1635231282853413E-4</v>
      </c>
      <c r="K39">
        <f t="shared" si="2"/>
        <v>0</v>
      </c>
    </row>
    <row r="40" spans="2:11" x14ac:dyDescent="0.25">
      <c r="B40">
        <v>-3.1000000000000099</v>
      </c>
      <c r="C40" s="7">
        <f>_xll.acq_special_erf(B40)</f>
        <v>-0.99998835134263286</v>
      </c>
      <c r="D40" s="7">
        <f t="shared" si="3"/>
        <v>-0.99998835134263275</v>
      </c>
      <c r="E40">
        <f t="shared" si="0"/>
        <v>1.1102230246251565E-16</v>
      </c>
      <c r="F40" s="7">
        <f>_xll.acq_special_erfc(B40)</f>
        <v>1.9999883513426329</v>
      </c>
      <c r="G40" s="7">
        <f t="shared" si="4"/>
        <v>1.9999883513426329</v>
      </c>
      <c r="H40">
        <f t="shared" si="1"/>
        <v>0</v>
      </c>
      <c r="I40" s="7">
        <f>_xll.acq_special_normalcdf(B40)</f>
        <v>9.6760321321832357E-4</v>
      </c>
      <c r="J40" s="7">
        <f t="shared" si="5"/>
        <v>9.6760321321832314E-4</v>
      </c>
      <c r="K40">
        <f t="shared" si="2"/>
        <v>4.3368086899420177E-19</v>
      </c>
    </row>
    <row r="41" spans="2:11" x14ac:dyDescent="0.25">
      <c r="B41">
        <v>-3.05000000000001</v>
      </c>
      <c r="C41" s="7">
        <f>_xll.acq_special_erf(B41)</f>
        <v>-0.99998392017423976</v>
      </c>
      <c r="D41" s="7">
        <f t="shared" si="3"/>
        <v>-0.99998392017423987</v>
      </c>
      <c r="E41">
        <f t="shared" si="0"/>
        <v>1.1102230246251565E-16</v>
      </c>
      <c r="F41" s="7">
        <f>_xll.acq_special_erfc(B41)</f>
        <v>1.9999839201742398</v>
      </c>
      <c r="G41" s="7">
        <f t="shared" si="4"/>
        <v>1.9999839201742398</v>
      </c>
      <c r="H41">
        <f t="shared" si="1"/>
        <v>0</v>
      </c>
      <c r="I41" s="7">
        <f>_xll.acq_special_normalcdf(B41)</f>
        <v>1.1442068310226605E-3</v>
      </c>
      <c r="J41" s="7">
        <f t="shared" si="5"/>
        <v>1.14420683102266E-3</v>
      </c>
      <c r="K41">
        <f t="shared" si="2"/>
        <v>4.3368086899420177E-19</v>
      </c>
    </row>
    <row r="42" spans="2:11" x14ac:dyDescent="0.25">
      <c r="B42">
        <v>-3.0000000000000102</v>
      </c>
      <c r="C42" s="7">
        <f>_xll.acq_special_erf(B42)</f>
        <v>-0.99997790950300147</v>
      </c>
      <c r="D42" s="7">
        <f t="shared" si="3"/>
        <v>-0.99997790950300136</v>
      </c>
      <c r="E42">
        <f t="shared" si="0"/>
        <v>1.1102230246251565E-16</v>
      </c>
      <c r="F42" s="7">
        <f>_xll.acq_special_erfc(B42)</f>
        <v>1.9999779095030015</v>
      </c>
      <c r="G42" s="7">
        <f t="shared" si="4"/>
        <v>1.9999779095030015</v>
      </c>
      <c r="H42">
        <f t="shared" si="1"/>
        <v>0</v>
      </c>
      <c r="I42" s="7">
        <f>_xll.acq_special_normalcdf(B42)</f>
        <v>1.3498980316300486E-3</v>
      </c>
      <c r="J42" s="7">
        <f t="shared" si="5"/>
        <v>1.3498980316300484E-3</v>
      </c>
      <c r="K42">
        <f t="shared" si="2"/>
        <v>2.1684043449710089E-19</v>
      </c>
    </row>
    <row r="43" spans="2:11" x14ac:dyDescent="0.25">
      <c r="B43">
        <v>-2.9500000000000099</v>
      </c>
      <c r="C43" s="7">
        <f>_xll.acq_special_erf(B43)</f>
        <v>-0.99996979695793575</v>
      </c>
      <c r="D43" s="7">
        <f t="shared" si="3"/>
        <v>-0.99996979695793586</v>
      </c>
      <c r="E43">
        <f t="shared" si="0"/>
        <v>1.1102230246251565E-16</v>
      </c>
      <c r="F43" s="7">
        <f>_xll.acq_special_erfc(B43)</f>
        <v>1.9999697969579358</v>
      </c>
      <c r="G43" s="7">
        <f t="shared" si="4"/>
        <v>1.9999697969579358</v>
      </c>
      <c r="H43">
        <f t="shared" si="1"/>
        <v>0</v>
      </c>
      <c r="I43" s="7">
        <f>_xll.acq_special_normalcdf(B43)</f>
        <v>1.5888696473648184E-3</v>
      </c>
      <c r="J43" s="7">
        <f t="shared" si="5"/>
        <v>1.5888696473648186E-3</v>
      </c>
      <c r="K43">
        <f t="shared" si="2"/>
        <v>2.1684043449710089E-19</v>
      </c>
    </row>
    <row r="44" spans="2:11" x14ac:dyDescent="0.25">
      <c r="B44">
        <v>-2.9000000000000101</v>
      </c>
      <c r="C44" s="7">
        <f>_xll.acq_special_erf(B44)</f>
        <v>-0.99995890212190064</v>
      </c>
      <c r="D44" s="7">
        <f t="shared" si="3"/>
        <v>-0.99995890212190053</v>
      </c>
      <c r="E44">
        <f t="shared" si="0"/>
        <v>1.1102230246251565E-16</v>
      </c>
      <c r="F44" s="7">
        <f>_xll.acq_special_erfc(B44)</f>
        <v>1.9999589021219006</v>
      </c>
      <c r="G44" s="7">
        <f t="shared" si="4"/>
        <v>1.9999589021219006</v>
      </c>
      <c r="H44">
        <f t="shared" si="1"/>
        <v>0</v>
      </c>
      <c r="I44" s="7">
        <f>_xll.acq_special_normalcdf(B44)</f>
        <v>1.8658133003839744E-3</v>
      </c>
      <c r="J44" s="7">
        <f t="shared" si="5"/>
        <v>1.865813300383974E-3</v>
      </c>
      <c r="K44">
        <f t="shared" si="2"/>
        <v>4.3368086899420177E-19</v>
      </c>
    </row>
    <row r="45" spans="2:11" x14ac:dyDescent="0.25">
      <c r="B45">
        <v>-2.8500000000000099</v>
      </c>
      <c r="C45" s="7">
        <f>_xll.acq_special_erf(B45)</f>
        <v>-0.9999443437200386</v>
      </c>
      <c r="D45" s="7">
        <f t="shared" si="3"/>
        <v>-0.9999443437200386</v>
      </c>
      <c r="E45">
        <f t="shared" si="0"/>
        <v>0</v>
      </c>
      <c r="F45" s="7">
        <f>_xll.acq_special_erfc(B45)</f>
        <v>1.9999443437200386</v>
      </c>
      <c r="G45" s="7">
        <f t="shared" si="4"/>
        <v>1.9999443437200386</v>
      </c>
      <c r="H45">
        <f t="shared" si="1"/>
        <v>0</v>
      </c>
      <c r="I45" s="7">
        <f>_xll.acq_special_normalcdf(B45)</f>
        <v>2.1859614549131711E-3</v>
      </c>
      <c r="J45" s="7">
        <f t="shared" si="5"/>
        <v>2.1859614549131711E-3</v>
      </c>
      <c r="K45">
        <f t="shared" si="2"/>
        <v>0</v>
      </c>
    </row>
    <row r="46" spans="2:11" x14ac:dyDescent="0.25">
      <c r="B46">
        <v>-2.80000000000001</v>
      </c>
      <c r="C46" s="7">
        <f>_xll.acq_special_erf(B46)</f>
        <v>-0.99992498680533459</v>
      </c>
      <c r="D46" s="7">
        <f t="shared" si="3"/>
        <v>-0.99992498680533459</v>
      </c>
      <c r="E46">
        <f t="shared" si="0"/>
        <v>0</v>
      </c>
      <c r="F46" s="7">
        <f>_xll.acq_special_erfc(B46)</f>
        <v>1.9999249868053346</v>
      </c>
      <c r="G46" s="7">
        <f t="shared" si="4"/>
        <v>1.9999249868053346</v>
      </c>
      <c r="H46">
        <f t="shared" si="1"/>
        <v>0</v>
      </c>
      <c r="I46" s="7">
        <f>_xll.acq_special_normalcdf(B46)</f>
        <v>2.5551303304278531E-3</v>
      </c>
      <c r="J46" s="7">
        <f t="shared" si="5"/>
        <v>2.5551303304278523E-3</v>
      </c>
      <c r="K46">
        <f t="shared" si="2"/>
        <v>8.6736173798840355E-19</v>
      </c>
    </row>
    <row r="47" spans="2:11" x14ac:dyDescent="0.25">
      <c r="B47">
        <v>-2.7500000000000102</v>
      </c>
      <c r="C47" s="7">
        <f>_xll.acq_special_erf(B47)</f>
        <v>-0.99989937807788043</v>
      </c>
      <c r="D47" s="7">
        <f t="shared" si="3"/>
        <v>-0.99989937807788032</v>
      </c>
      <c r="E47">
        <f t="shared" si="0"/>
        <v>1.1102230246251565E-16</v>
      </c>
      <c r="F47" s="7">
        <f>_xll.acq_special_erfc(B47)</f>
        <v>1.9998993780778804</v>
      </c>
      <c r="G47" s="7">
        <f t="shared" si="4"/>
        <v>1.9998993780778804</v>
      </c>
      <c r="H47">
        <f t="shared" si="1"/>
        <v>0</v>
      </c>
      <c r="I47" s="7">
        <f>_xll.acq_special_normalcdf(B47)</f>
        <v>2.9797632350544627E-3</v>
      </c>
      <c r="J47" s="7">
        <f t="shared" si="5"/>
        <v>2.9797632350544627E-3</v>
      </c>
      <c r="K47">
        <f t="shared" si="2"/>
        <v>0</v>
      </c>
    </row>
    <row r="48" spans="2:11" x14ac:dyDescent="0.25">
      <c r="B48">
        <v>-2.7000000000000099</v>
      </c>
      <c r="C48" s="7">
        <f>_xll.acq_special_erf(B48)</f>
        <v>-0.99986566726005943</v>
      </c>
      <c r="D48" s="7">
        <f t="shared" si="3"/>
        <v>-0.99986566726005943</v>
      </c>
      <c r="E48">
        <f t="shared" si="0"/>
        <v>0</v>
      </c>
      <c r="F48" s="7">
        <f>_xll.acq_special_erfc(B48)</f>
        <v>1.9998656672600594</v>
      </c>
      <c r="G48" s="7">
        <f t="shared" si="4"/>
        <v>1.9998656672600594</v>
      </c>
      <c r="H48">
        <f t="shared" si="1"/>
        <v>0</v>
      </c>
      <c r="I48" s="7">
        <f>_xll.acq_special_normalcdf(B48)</f>
        <v>3.4669738030405641E-3</v>
      </c>
      <c r="J48" s="7">
        <f t="shared" si="5"/>
        <v>3.4669738030405624E-3</v>
      </c>
      <c r="K48">
        <f t="shared" si="2"/>
        <v>1.7347234759768071E-18</v>
      </c>
    </row>
    <row r="49" spans="2:11" x14ac:dyDescent="0.25">
      <c r="B49">
        <v>-2.6500000000000101</v>
      </c>
      <c r="C49" s="7">
        <f>_xll.acq_special_erf(B49)</f>
        <v>-0.99982151224797611</v>
      </c>
      <c r="D49" s="7">
        <f t="shared" si="3"/>
        <v>-0.999821512247976</v>
      </c>
      <c r="E49">
        <f t="shared" si="0"/>
        <v>1.1102230246251565E-16</v>
      </c>
      <c r="F49" s="7">
        <f>_xll.acq_special_erfc(B49)</f>
        <v>1.9998215122479761</v>
      </c>
      <c r="G49" s="7">
        <f t="shared" si="4"/>
        <v>1.9998215122479761</v>
      </c>
      <c r="H49">
        <f t="shared" si="1"/>
        <v>0</v>
      </c>
      <c r="I49" s="7">
        <f>_xll.acq_special_normalcdf(B49)</f>
        <v>4.0245885427581856E-3</v>
      </c>
      <c r="J49" s="7">
        <f t="shared" si="5"/>
        <v>4.0245885427581838E-3</v>
      </c>
      <c r="K49">
        <f t="shared" si="2"/>
        <v>1.7347234759768071E-18</v>
      </c>
    </row>
    <row r="50" spans="2:11" x14ac:dyDescent="0.25">
      <c r="B50">
        <v>-2.6000000000000099</v>
      </c>
      <c r="C50" s="7">
        <f>_xll.acq_special_erf(B50)</f>
        <v>-0.99976396558347069</v>
      </c>
      <c r="D50" s="7">
        <f t="shared" si="3"/>
        <v>-0.99976396558347069</v>
      </c>
      <c r="E50">
        <f t="shared" si="0"/>
        <v>0</v>
      </c>
      <c r="F50" s="7">
        <f>_xll.acq_special_erfc(B50)</f>
        <v>1.9997639655834707</v>
      </c>
      <c r="G50" s="7">
        <f t="shared" si="4"/>
        <v>1.9997639655834707</v>
      </c>
      <c r="H50">
        <f t="shared" si="1"/>
        <v>0</v>
      </c>
      <c r="I50" s="7">
        <f>_xll.acq_special_normalcdf(B50)</f>
        <v>4.6611880237186157E-3</v>
      </c>
      <c r="J50" s="7">
        <f t="shared" si="5"/>
        <v>4.6611880237186157E-3</v>
      </c>
      <c r="K50">
        <f t="shared" si="2"/>
        <v>0</v>
      </c>
    </row>
    <row r="51" spans="2:11" x14ac:dyDescent="0.25">
      <c r="B51">
        <v>-2.55000000000001</v>
      </c>
      <c r="C51" s="7">
        <f>_xll.acq_special_erf(B51)</f>
        <v>-0.99968933965736073</v>
      </c>
      <c r="D51" s="7">
        <f t="shared" si="3"/>
        <v>-0.99968933965736084</v>
      </c>
      <c r="E51">
        <f t="shared" si="0"/>
        <v>1.1102230246251565E-16</v>
      </c>
      <c r="F51" s="7">
        <f>_xll.acq_special_erfc(B51)</f>
        <v>1.9996893396573607</v>
      </c>
      <c r="G51" s="7">
        <f t="shared" si="4"/>
        <v>1.9996893396573607</v>
      </c>
      <c r="H51">
        <f t="shared" si="1"/>
        <v>0</v>
      </c>
      <c r="I51" s="7">
        <f>_xll.acq_special_normalcdf(B51)</f>
        <v>5.3861459540665291E-3</v>
      </c>
      <c r="J51" s="7">
        <f t="shared" si="5"/>
        <v>5.3861459540665282E-3</v>
      </c>
      <c r="K51">
        <f t="shared" si="2"/>
        <v>8.6736173798840355E-19</v>
      </c>
    </row>
    <row r="52" spans="2:11" x14ac:dyDescent="0.25">
      <c r="B52">
        <v>-2.5000000000000102</v>
      </c>
      <c r="C52" s="7">
        <f>_xll.acq_special_erf(B52)</f>
        <v>-0.99959304798255499</v>
      </c>
      <c r="D52" s="7">
        <f t="shared" si="3"/>
        <v>-0.99959304798255511</v>
      </c>
      <c r="E52">
        <f t="shared" si="0"/>
        <v>1.1102230246251565E-16</v>
      </c>
      <c r="F52" s="7">
        <f>_xll.acq_special_erfc(B52)</f>
        <v>1.999593047982555</v>
      </c>
      <c r="G52" s="7">
        <f t="shared" si="4"/>
        <v>1.999593047982555</v>
      </c>
      <c r="H52">
        <f t="shared" si="1"/>
        <v>0</v>
      </c>
      <c r="I52" s="7">
        <f>_xll.acq_special_normalcdf(B52)</f>
        <v>6.2096653257759519E-3</v>
      </c>
      <c r="J52" s="7">
        <f t="shared" si="5"/>
        <v>6.2096653257759519E-3</v>
      </c>
      <c r="K52">
        <f t="shared" si="2"/>
        <v>0</v>
      </c>
    </row>
    <row r="53" spans="2:11" x14ac:dyDescent="0.25">
      <c r="B53">
        <v>-2.4500000000000099</v>
      </c>
      <c r="C53" s="7">
        <f>_xll.acq_special_erf(B53)</f>
        <v>-0.99946941988774896</v>
      </c>
      <c r="D53" s="7">
        <f t="shared" si="3"/>
        <v>-0.99946941988774896</v>
      </c>
      <c r="E53">
        <f t="shared" si="0"/>
        <v>0</v>
      </c>
      <c r="F53" s="7">
        <f>_xll.acq_special_erfc(B53)</f>
        <v>1.999469419887749</v>
      </c>
      <c r="G53" s="7">
        <f t="shared" si="4"/>
        <v>1.999469419887749</v>
      </c>
      <c r="H53">
        <f t="shared" si="1"/>
        <v>0</v>
      </c>
      <c r="I53" s="7">
        <f>_xll.acq_special_normalcdf(B53)</f>
        <v>7.1428107352712183E-3</v>
      </c>
      <c r="J53" s="7">
        <f t="shared" si="5"/>
        <v>7.1428107352712157E-3</v>
      </c>
      <c r="K53">
        <f t="shared" si="2"/>
        <v>2.6020852139652106E-18</v>
      </c>
    </row>
    <row r="54" spans="2:11" x14ac:dyDescent="0.25">
      <c r="B54">
        <v>-2.4000000000000101</v>
      </c>
      <c r="C54" s="7">
        <f>_xll.acq_special_erf(B54)</f>
        <v>-0.99931148610335496</v>
      </c>
      <c r="D54" s="7">
        <f t="shared" si="3"/>
        <v>-0.99931148610335496</v>
      </c>
      <c r="E54">
        <f t="shared" si="0"/>
        <v>0</v>
      </c>
      <c r="F54" s="7">
        <f>_xll.acq_special_erfc(B54)</f>
        <v>1.999311486103355</v>
      </c>
      <c r="G54" s="7">
        <f t="shared" si="4"/>
        <v>1.999311486103355</v>
      </c>
      <c r="H54">
        <f t="shared" si="1"/>
        <v>0</v>
      </c>
      <c r="I54" s="7">
        <f>_xll.acq_special_normalcdf(B54)</f>
        <v>8.1975359245958987E-3</v>
      </c>
      <c r="J54" s="7">
        <f t="shared" si="5"/>
        <v>8.1975359245958987E-3</v>
      </c>
      <c r="K54">
        <f t="shared" si="2"/>
        <v>0</v>
      </c>
    </row>
    <row r="55" spans="2:11" x14ac:dyDescent="0.25">
      <c r="B55">
        <v>-2.3500000000000099</v>
      </c>
      <c r="C55" s="7">
        <f>_xll.acq_special_erf(B55)</f>
        <v>-0.99911073296786768</v>
      </c>
      <c r="D55" s="7">
        <f t="shared" si="3"/>
        <v>-0.99911073296786757</v>
      </c>
      <c r="E55">
        <f t="shared" si="0"/>
        <v>1.1102230246251565E-16</v>
      </c>
      <c r="F55" s="7">
        <f>_xll.acq_special_erfc(B55)</f>
        <v>1.9991107329678677</v>
      </c>
      <c r="G55" s="7">
        <f t="shared" si="4"/>
        <v>1.9991107329678677</v>
      </c>
      <c r="H55">
        <f t="shared" si="1"/>
        <v>0</v>
      </c>
      <c r="I55" s="7">
        <f>_xll.acq_special_normalcdf(B55)</f>
        <v>9.3867055348383199E-3</v>
      </c>
      <c r="J55" s="7">
        <f t="shared" si="5"/>
        <v>9.3867055348383199E-3</v>
      </c>
      <c r="K55">
        <f t="shared" si="2"/>
        <v>0</v>
      </c>
    </row>
    <row r="56" spans="2:11" x14ac:dyDescent="0.25">
      <c r="B56">
        <v>-2.30000000000001</v>
      </c>
      <c r="C56" s="7">
        <f>_xll.acq_special_erf(B56)</f>
        <v>-0.99885682340264337</v>
      </c>
      <c r="D56" s="7">
        <f t="shared" si="3"/>
        <v>-0.99885682340264337</v>
      </c>
      <c r="E56">
        <f t="shared" si="0"/>
        <v>0</v>
      </c>
      <c r="F56" s="7">
        <f>_xll.acq_special_erfc(B56)</f>
        <v>1.9988568234026434</v>
      </c>
      <c r="G56" s="7">
        <f t="shared" si="4"/>
        <v>1.9988568234026434</v>
      </c>
      <c r="H56">
        <f t="shared" si="1"/>
        <v>0</v>
      </c>
      <c r="I56" s="7">
        <f>_xll.acq_special_normalcdf(B56)</f>
        <v>1.0724110021675514E-2</v>
      </c>
      <c r="J56" s="7">
        <f t="shared" si="5"/>
        <v>1.0724110021675514E-2</v>
      </c>
      <c r="K56">
        <f t="shared" si="2"/>
        <v>0</v>
      </c>
    </row>
    <row r="57" spans="2:11" x14ac:dyDescent="0.25">
      <c r="B57">
        <v>-2.2500000000000102</v>
      </c>
      <c r="C57" s="7">
        <f>_xll.acq_special_erf(B57)</f>
        <v>-0.99853728341331882</v>
      </c>
      <c r="D57" s="7">
        <f t="shared" si="3"/>
        <v>-0.99853728341331893</v>
      </c>
      <c r="E57">
        <f t="shared" si="0"/>
        <v>1.1102230246251565E-16</v>
      </c>
      <c r="F57" s="7">
        <f>_xll.acq_special_erfc(B57)</f>
        <v>1.9985372834133188</v>
      </c>
      <c r="G57" s="7">
        <f t="shared" si="4"/>
        <v>1.9985372834133188</v>
      </c>
      <c r="H57">
        <f t="shared" si="1"/>
        <v>0</v>
      </c>
      <c r="I57" s="7">
        <f>_xll.acq_special_normalcdf(B57)</f>
        <v>1.2224472655044376E-2</v>
      </c>
      <c r="J57" s="7">
        <f t="shared" si="5"/>
        <v>1.2224472655044376E-2</v>
      </c>
      <c r="K57">
        <f t="shared" si="2"/>
        <v>0</v>
      </c>
    </row>
    <row r="58" spans="2:11" x14ac:dyDescent="0.25">
      <c r="B58">
        <v>-2.2000000000000099</v>
      </c>
      <c r="C58" s="7">
        <f>_xll.acq_special_erf(B58)</f>
        <v>-0.99813715370201828</v>
      </c>
      <c r="D58" s="7">
        <f t="shared" si="3"/>
        <v>-0.99813715370201817</v>
      </c>
      <c r="E58">
        <f t="shared" si="0"/>
        <v>1.1102230246251565E-16</v>
      </c>
      <c r="F58" s="7">
        <f>_xll.acq_special_erfc(B58)</f>
        <v>1.9981371537020183</v>
      </c>
      <c r="G58" s="7">
        <f t="shared" si="4"/>
        <v>1.9981371537020183</v>
      </c>
      <c r="H58">
        <f t="shared" si="1"/>
        <v>0</v>
      </c>
      <c r="I58" s="7">
        <f>_xll.acq_special_normalcdf(B58)</f>
        <v>1.3903447513498259E-2</v>
      </c>
      <c r="J58" s="7">
        <f t="shared" si="5"/>
        <v>1.3903447513498252E-2</v>
      </c>
      <c r="K58">
        <f t="shared" si="2"/>
        <v>6.9388939039072284E-18</v>
      </c>
    </row>
    <row r="59" spans="2:11" x14ac:dyDescent="0.25">
      <c r="B59">
        <v>-2.1500000000000101</v>
      </c>
      <c r="C59" s="7">
        <f>_xll.acq_special_erf(B59)</f>
        <v>-0.99763860703732554</v>
      </c>
      <c r="D59" s="7">
        <f t="shared" si="3"/>
        <v>-0.99763860703732543</v>
      </c>
      <c r="E59">
        <f t="shared" si="0"/>
        <v>1.1102230246251565E-16</v>
      </c>
      <c r="F59" s="7">
        <f>_xll.acq_special_erfc(B59)</f>
        <v>1.9976386070373255</v>
      </c>
      <c r="G59" s="7">
        <f t="shared" si="4"/>
        <v>1.9976386070373255</v>
      </c>
      <c r="H59">
        <f t="shared" si="1"/>
        <v>0</v>
      </c>
      <c r="I59" s="7">
        <f>_xll.acq_special_normalcdf(B59)</f>
        <v>1.5777607391090107E-2</v>
      </c>
      <c r="J59" s="7">
        <f t="shared" si="5"/>
        <v>1.5777607391090104E-2</v>
      </c>
      <c r="K59">
        <f t="shared" si="2"/>
        <v>3.4694469519536142E-18</v>
      </c>
    </row>
    <row r="60" spans="2:11" x14ac:dyDescent="0.25">
      <c r="B60">
        <v>-2.1000000000000099</v>
      </c>
      <c r="C60" s="7">
        <f>_xll.acq_special_erf(B60)</f>
        <v>-0.99702053334366725</v>
      </c>
      <c r="D60" s="7">
        <f t="shared" si="3"/>
        <v>-0.99702053334366714</v>
      </c>
      <c r="E60">
        <f t="shared" si="0"/>
        <v>1.1102230246251565E-16</v>
      </c>
      <c r="F60" s="7">
        <f>_xll.acq_special_erfc(B60)</f>
        <v>1.9970205333436672</v>
      </c>
      <c r="G60" s="7">
        <f t="shared" si="4"/>
        <v>1.9970205333436672</v>
      </c>
      <c r="H60">
        <f t="shared" si="1"/>
        <v>0</v>
      </c>
      <c r="I60" s="7">
        <f>_xll.acq_special_normalcdf(B60)</f>
        <v>1.7864420562816119E-2</v>
      </c>
      <c r="J60" s="7">
        <f t="shared" si="5"/>
        <v>1.7864420562816112E-2</v>
      </c>
      <c r="K60">
        <f t="shared" si="2"/>
        <v>6.9388939039072284E-18</v>
      </c>
    </row>
    <row r="61" spans="2:11" x14ac:dyDescent="0.25">
      <c r="B61">
        <v>-2.05000000000001</v>
      </c>
      <c r="C61" s="7">
        <f>_xll.acq_special_erf(B61)</f>
        <v>-0.99625809604445714</v>
      </c>
      <c r="D61" s="7">
        <f t="shared" si="3"/>
        <v>-0.99625809604445703</v>
      </c>
      <c r="E61">
        <f t="shared" si="0"/>
        <v>1.1102230246251565E-16</v>
      </c>
      <c r="F61" s="7">
        <f>_xll.acq_special_erfc(B61)</f>
        <v>1.9962580960444571</v>
      </c>
      <c r="G61" s="7">
        <f t="shared" si="4"/>
        <v>1.9962580960444571</v>
      </c>
      <c r="H61">
        <f t="shared" si="1"/>
        <v>0</v>
      </c>
      <c r="I61" s="7">
        <f>_xll.acq_special_normalcdf(B61)</f>
        <v>2.0182215405703908E-2</v>
      </c>
      <c r="J61" s="7">
        <f t="shared" si="5"/>
        <v>2.0182215405703908E-2</v>
      </c>
      <c r="K61">
        <f t="shared" si="2"/>
        <v>0</v>
      </c>
    </row>
    <row r="62" spans="2:11" x14ac:dyDescent="0.25">
      <c r="B62">
        <v>-2.0000000000000102</v>
      </c>
      <c r="C62" s="7">
        <f>_xll.acq_special_erf(B62)</f>
        <v>-0.99532226501895305</v>
      </c>
      <c r="D62" s="7">
        <f t="shared" si="3"/>
        <v>-0.99532226501895293</v>
      </c>
      <c r="E62">
        <f t="shared" si="0"/>
        <v>1.1102230246251565E-16</v>
      </c>
      <c r="F62" s="7">
        <f>_xll.acq_special_erfc(B62)</f>
        <v>1.995322265018953</v>
      </c>
      <c r="G62" s="7">
        <f t="shared" si="4"/>
        <v>1.995322265018953</v>
      </c>
      <c r="H62">
        <f t="shared" si="1"/>
        <v>0</v>
      </c>
      <c r="I62" s="7">
        <f>_xll.acq_special_normalcdf(B62)</f>
        <v>2.275013194817864E-2</v>
      </c>
      <c r="J62" s="7">
        <f t="shared" si="5"/>
        <v>2.2750131948178647E-2</v>
      </c>
      <c r="K62">
        <f t="shared" si="2"/>
        <v>6.9388939039072284E-18</v>
      </c>
    </row>
    <row r="63" spans="2:11" x14ac:dyDescent="0.25">
      <c r="B63">
        <v>-1.9500000000000099</v>
      </c>
      <c r="C63" s="7">
        <f>_xll.acq_special_erf(B63)</f>
        <v>-0.99417933359218935</v>
      </c>
      <c r="D63" s="7">
        <f t="shared" si="3"/>
        <v>-0.99417933359218935</v>
      </c>
      <c r="E63">
        <f t="shared" si="0"/>
        <v>0</v>
      </c>
      <c r="F63" s="7">
        <f>_xll.acq_special_erfc(B63)</f>
        <v>1.9941793335921894</v>
      </c>
      <c r="G63" s="7">
        <f t="shared" si="4"/>
        <v>1.9941793335921894</v>
      </c>
      <c r="H63">
        <f t="shared" si="1"/>
        <v>0</v>
      </c>
      <c r="I63" s="7">
        <f>_xll.acq_special_normalcdf(B63)</f>
        <v>2.5588059521638031E-2</v>
      </c>
      <c r="J63" s="7">
        <f t="shared" si="5"/>
        <v>2.5588059521638038E-2</v>
      </c>
      <c r="K63">
        <f t="shared" si="2"/>
        <v>6.9388939039072284E-18</v>
      </c>
    </row>
    <row r="64" spans="2:11" x14ac:dyDescent="0.25">
      <c r="B64">
        <v>-1.9000000000000099</v>
      </c>
      <c r="C64" s="7">
        <f>_xll.acq_special_erf(B64)</f>
        <v>-0.99279042923525784</v>
      </c>
      <c r="D64" s="7">
        <f t="shared" si="3"/>
        <v>-0.99279042923525773</v>
      </c>
      <c r="E64">
        <f t="shared" si="0"/>
        <v>1.1102230246251565E-16</v>
      </c>
      <c r="F64" s="7">
        <f>_xll.acq_special_erfc(B64)</f>
        <v>1.9927904292352578</v>
      </c>
      <c r="G64" s="7">
        <f t="shared" si="4"/>
        <v>1.9927904292352578</v>
      </c>
      <c r="H64">
        <f t="shared" si="1"/>
        <v>0</v>
      </c>
      <c r="I64" s="7">
        <f>_xll.acq_special_normalcdf(B64)</f>
        <v>2.8716559816001137E-2</v>
      </c>
      <c r="J64" s="7">
        <f t="shared" si="5"/>
        <v>2.8716559816001137E-2</v>
      </c>
      <c r="K64">
        <f t="shared" si="2"/>
        <v>0</v>
      </c>
    </row>
    <row r="65" spans="2:11" x14ac:dyDescent="0.25">
      <c r="B65">
        <v>-1.8500000000000101</v>
      </c>
      <c r="C65" s="7">
        <f>_xll.acq_special_erf(B65)</f>
        <v>-0.99111103005608614</v>
      </c>
      <c r="D65" s="7">
        <f t="shared" si="3"/>
        <v>-0.99111103005608603</v>
      </c>
      <c r="E65">
        <f t="shared" si="0"/>
        <v>1.1102230246251565E-16</v>
      </c>
      <c r="F65" s="7">
        <f>_xll.acq_special_erfc(B65)</f>
        <v>1.9911110300560861</v>
      </c>
      <c r="G65" s="7">
        <f t="shared" si="4"/>
        <v>1.9911110300560861</v>
      </c>
      <c r="H65">
        <f t="shared" si="1"/>
        <v>0</v>
      </c>
      <c r="I65" s="7">
        <f>_xll.acq_special_normalcdf(B65)</f>
        <v>3.2156774795612977E-2</v>
      </c>
      <c r="J65" s="7">
        <f t="shared" si="5"/>
        <v>3.2156774795612984E-2</v>
      </c>
      <c r="K65">
        <f t="shared" si="2"/>
        <v>6.9388939039072284E-18</v>
      </c>
    </row>
    <row r="66" spans="2:11" x14ac:dyDescent="0.25">
      <c r="B66">
        <v>-1.80000000000001</v>
      </c>
      <c r="C66" s="7">
        <f>_xll.acq_special_erf(B66)</f>
        <v>-0.9890905016357312</v>
      </c>
      <c r="D66" s="7">
        <f t="shared" si="3"/>
        <v>-0.9890905016357312</v>
      </c>
      <c r="E66">
        <f t="shared" ref="E66:E129" si="6">ABS(C66-D66)</f>
        <v>0</v>
      </c>
      <c r="F66" s="7">
        <f>_xll.acq_special_erfc(B66)</f>
        <v>1.9890905016357312</v>
      </c>
      <c r="G66" s="7">
        <f t="shared" si="4"/>
        <v>1.9890905016357312</v>
      </c>
      <c r="H66">
        <f t="shared" ref="H66:H129" si="7">ABS(F66-G66)</f>
        <v>0</v>
      </c>
      <c r="I66" s="7">
        <f>_xll.acq_special_normalcdf(B66)</f>
        <v>3.5930319112924998E-2</v>
      </c>
      <c r="J66" s="7">
        <f t="shared" si="5"/>
        <v>3.5930319112924998E-2</v>
      </c>
      <c r="K66">
        <f t="shared" ref="K66:K129" si="8">ABS(I66-J66)</f>
        <v>0</v>
      </c>
    </row>
    <row r="67" spans="2:11" x14ac:dyDescent="0.25">
      <c r="B67">
        <v>-1.75000000000001</v>
      </c>
      <c r="C67" s="7">
        <f>_xll.acq_special_erf(B67)</f>
        <v>-0.98667167121918298</v>
      </c>
      <c r="D67" s="7">
        <f t="shared" ref="D67:D130" si="9">_xlfn.ERF.PRECISE(B67)</f>
        <v>-0.98667167121918298</v>
      </c>
      <c r="E67">
        <f t="shared" si="6"/>
        <v>0</v>
      </c>
      <c r="F67" s="7">
        <f>_xll.acq_special_erfc(B67)</f>
        <v>1.986671671219183</v>
      </c>
      <c r="G67" s="7">
        <f t="shared" ref="G67:G130" si="10">_xlfn.ERFC.PRECISE(B67)</f>
        <v>1.986671671219183</v>
      </c>
      <c r="H67">
        <f t="shared" si="7"/>
        <v>0</v>
      </c>
      <c r="I67" s="7">
        <f>_xll.acq_special_normalcdf(B67)</f>
        <v>4.0059156863816218E-2</v>
      </c>
      <c r="J67" s="7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25">
      <c r="B68">
        <v>-1.7000000000000099</v>
      </c>
      <c r="C68" s="7">
        <f>_xll.acq_special_erf(B68)</f>
        <v>-0.9837904585907753</v>
      </c>
      <c r="D68" s="7">
        <f t="shared" si="9"/>
        <v>-0.98379045859077519</v>
      </c>
      <c r="E68">
        <f t="shared" si="6"/>
        <v>1.1102230246251565E-16</v>
      </c>
      <c r="F68" s="7">
        <f>_xll.acq_special_erfc(B68)</f>
        <v>1.9837904585907753</v>
      </c>
      <c r="G68" s="7">
        <f t="shared" si="10"/>
        <v>1.9837904585907753</v>
      </c>
      <c r="H68">
        <f t="shared" si="7"/>
        <v>0</v>
      </c>
      <c r="I68" s="7">
        <f>_xll.acq_special_normalcdf(B68)</f>
        <v>4.456546275854209E-2</v>
      </c>
      <c r="J68" s="7">
        <f t="shared" si="11"/>
        <v>4.4565462758542097E-2</v>
      </c>
      <c r="K68">
        <f t="shared" si="8"/>
        <v>6.9388939039072284E-18</v>
      </c>
    </row>
    <row r="69" spans="2:11" x14ac:dyDescent="0.25">
      <c r="B69">
        <v>-1.6500000000000099</v>
      </c>
      <c r="C69" s="7">
        <f>_xll.acq_special_erf(B69)</f>
        <v>-0.98037558502336108</v>
      </c>
      <c r="D69" s="7">
        <f t="shared" si="9"/>
        <v>-0.98037558502336097</v>
      </c>
      <c r="E69">
        <f t="shared" si="6"/>
        <v>1.1102230246251565E-16</v>
      </c>
      <c r="F69" s="7">
        <f>_xll.acq_special_erfc(B69)</f>
        <v>1.9803755850233611</v>
      </c>
      <c r="G69" s="7">
        <f t="shared" si="10"/>
        <v>1.9803755850233611</v>
      </c>
      <c r="H69">
        <f t="shared" si="7"/>
        <v>0</v>
      </c>
      <c r="I69" s="7">
        <f>_xll.acq_special_normalcdf(B69)</f>
        <v>4.947146803364709E-2</v>
      </c>
      <c r="J69" s="7">
        <f t="shared" si="11"/>
        <v>4.947146803364709E-2</v>
      </c>
      <c r="K69">
        <f t="shared" si="8"/>
        <v>0</v>
      </c>
    </row>
    <row r="70" spans="2:11" x14ac:dyDescent="0.25">
      <c r="B70">
        <v>-1.6000000000000101</v>
      </c>
      <c r="C70" s="7">
        <f>_xll.acq_special_erf(B70)</f>
        <v>-0.97634838334464491</v>
      </c>
      <c r="D70" s="7">
        <f t="shared" si="9"/>
        <v>-0.97634838334464491</v>
      </c>
      <c r="E70">
        <f t="shared" si="6"/>
        <v>0</v>
      </c>
      <c r="F70" s="7">
        <f>_xll.acq_special_erfc(B70)</f>
        <v>1.9763483833446449</v>
      </c>
      <c r="G70" s="7">
        <f t="shared" si="10"/>
        <v>1.9763483833446449</v>
      </c>
      <c r="H70">
        <f t="shared" si="7"/>
        <v>0</v>
      </c>
      <c r="I70" s="7">
        <f>_xll.acq_special_normalcdf(B70)</f>
        <v>5.4799291699556843E-2</v>
      </c>
      <c r="J70" s="7">
        <f t="shared" si="11"/>
        <v>5.479929169955685E-2</v>
      </c>
      <c r="K70">
        <f t="shared" si="8"/>
        <v>6.9388939039072284E-18</v>
      </c>
    </row>
    <row r="71" spans="2:11" x14ac:dyDescent="0.25">
      <c r="B71">
        <v>-1.55000000000001</v>
      </c>
      <c r="C71" s="7">
        <f>_xll.acq_special_erf(B71)</f>
        <v>-0.97162273326201354</v>
      </c>
      <c r="D71" s="7">
        <f t="shared" si="9"/>
        <v>-0.97162273326201354</v>
      </c>
      <c r="E71">
        <f t="shared" si="6"/>
        <v>0</v>
      </c>
      <c r="F71" s="7">
        <f>_xll.acq_special_erfc(B71)</f>
        <v>1.9716227332620135</v>
      </c>
      <c r="G71" s="7">
        <f t="shared" si="10"/>
        <v>1.9716227332620135</v>
      </c>
      <c r="H71">
        <f t="shared" si="7"/>
        <v>0</v>
      </c>
      <c r="I71" s="7">
        <f>_xll.acq_special_normalcdf(B71)</f>
        <v>6.0570758002057801E-2</v>
      </c>
      <c r="J71" s="7">
        <f t="shared" si="11"/>
        <v>6.0570758002057801E-2</v>
      </c>
      <c r="K71">
        <f t="shared" si="8"/>
        <v>0</v>
      </c>
    </row>
    <row r="72" spans="2:11" x14ac:dyDescent="0.25">
      <c r="B72">
        <v>-1.50000000000001</v>
      </c>
      <c r="C72" s="7">
        <f>_xll.acq_special_erf(B72)</f>
        <v>-0.96610514647531187</v>
      </c>
      <c r="D72" s="7">
        <f t="shared" si="9"/>
        <v>-0.96610514647531187</v>
      </c>
      <c r="E72">
        <f t="shared" si="6"/>
        <v>0</v>
      </c>
      <c r="F72" s="7">
        <f>_xll.acq_special_erfc(B72)</f>
        <v>1.9661051464753119</v>
      </c>
      <c r="G72" s="7">
        <f t="shared" si="10"/>
        <v>1.9661051464753119</v>
      </c>
      <c r="H72">
        <f t="shared" si="7"/>
        <v>0</v>
      </c>
      <c r="I72" s="7">
        <f>_xll.acq_special_normalcdf(B72)</f>
        <v>6.6807201268856753E-2</v>
      </c>
      <c r="J72" s="7">
        <f t="shared" si="11"/>
        <v>6.6807201268856753E-2</v>
      </c>
      <c r="K72">
        <f t="shared" si="8"/>
        <v>0</v>
      </c>
    </row>
    <row r="73" spans="2:11" x14ac:dyDescent="0.25">
      <c r="B73">
        <v>-1.4500000000000099</v>
      </c>
      <c r="C73" s="7">
        <f>_xll.acq_special_erf(B73)</f>
        <v>-0.95969502563746056</v>
      </c>
      <c r="D73" s="7">
        <f t="shared" si="9"/>
        <v>-0.95969502563746056</v>
      </c>
      <c r="E73">
        <f t="shared" si="6"/>
        <v>0</v>
      </c>
      <c r="F73" s="7">
        <f>_xll.acq_special_erfc(B73)</f>
        <v>1.9596950256374606</v>
      </c>
      <c r="G73" s="7">
        <f t="shared" si="10"/>
        <v>1.9596950256374606</v>
      </c>
      <c r="H73">
        <f t="shared" si="7"/>
        <v>0</v>
      </c>
      <c r="I73" s="7">
        <f>_xll.acq_special_normalcdf(B73)</f>
        <v>7.3529259609646971E-2</v>
      </c>
      <c r="J73" s="7">
        <f t="shared" si="11"/>
        <v>7.3529259609646958E-2</v>
      </c>
      <c r="K73">
        <f t="shared" si="8"/>
        <v>1.3877787807814457E-17</v>
      </c>
    </row>
    <row r="74" spans="2:11" x14ac:dyDescent="0.25">
      <c r="B74">
        <v>-1.4000000000000099</v>
      </c>
      <c r="C74" s="7">
        <f>_xll.acq_special_erf(B74)</f>
        <v>-0.95228511976265029</v>
      </c>
      <c r="D74" s="7">
        <f t="shared" si="9"/>
        <v>-0.9522851197626504</v>
      </c>
      <c r="E74">
        <f t="shared" si="6"/>
        <v>1.1102230246251565E-16</v>
      </c>
      <c r="F74" s="7">
        <f>_xll.acq_special_erfc(B74)</f>
        <v>1.9522851197626503</v>
      </c>
      <c r="G74" s="7">
        <f t="shared" si="10"/>
        <v>1.9522851197626503</v>
      </c>
      <c r="H74">
        <f t="shared" si="7"/>
        <v>0</v>
      </c>
      <c r="I74" s="7">
        <f>_xll.acq_special_normalcdf(B74)</f>
        <v>8.0756659233769623E-2</v>
      </c>
      <c r="J74" s="7">
        <f t="shared" si="11"/>
        <v>8.0756659233769554E-2</v>
      </c>
      <c r="K74">
        <f t="shared" si="8"/>
        <v>6.9388939039072284E-17</v>
      </c>
    </row>
    <row r="75" spans="2:11" x14ac:dyDescent="0.25">
      <c r="B75">
        <v>-1.3500000000000101</v>
      </c>
      <c r="C75" s="7">
        <f>_xll.acq_special_erf(B75)</f>
        <v>-0.94376219612272583</v>
      </c>
      <c r="D75" s="7">
        <f t="shared" si="9"/>
        <v>-0.94376219612272594</v>
      </c>
      <c r="E75">
        <f t="shared" si="6"/>
        <v>1.1102230246251565E-16</v>
      </c>
      <c r="F75" s="7">
        <f>_xll.acq_special_erfc(B75)</f>
        <v>1.9437621961227258</v>
      </c>
      <c r="G75" s="7">
        <f t="shared" si="10"/>
        <v>1.9437621961227258</v>
      </c>
      <c r="H75">
        <f t="shared" si="7"/>
        <v>0</v>
      </c>
      <c r="I75" s="7">
        <f>_xll.acq_special_normalcdf(B75)</f>
        <v>8.8507991437400457E-2</v>
      </c>
      <c r="J75" s="7">
        <f t="shared" si="11"/>
        <v>8.8507991437400374E-2</v>
      </c>
      <c r="K75">
        <f t="shared" si="8"/>
        <v>8.3266726846886741E-17</v>
      </c>
    </row>
    <row r="76" spans="2:11" x14ac:dyDescent="0.25">
      <c r="B76">
        <v>-1.30000000000001</v>
      </c>
      <c r="C76" s="7">
        <f>_xll.acq_special_erf(B76)</f>
        <v>-0.93400794494065442</v>
      </c>
      <c r="D76" s="7">
        <f t="shared" si="9"/>
        <v>-0.93400794494065453</v>
      </c>
      <c r="E76">
        <f t="shared" si="6"/>
        <v>1.1102230246251565E-16</v>
      </c>
      <c r="F76" s="7">
        <f>_xll.acq_special_erfc(B76)</f>
        <v>1.9340079449406544</v>
      </c>
      <c r="G76" s="7">
        <f t="shared" si="10"/>
        <v>1.9340079449406544</v>
      </c>
      <c r="H76">
        <f t="shared" si="7"/>
        <v>0</v>
      </c>
      <c r="I76" s="7">
        <f>_xll.acq_special_normalcdf(B76)</f>
        <v>9.6800484585608582E-2</v>
      </c>
      <c r="J76" s="7">
        <f t="shared" si="11"/>
        <v>9.6800484585608582E-2</v>
      </c>
      <c r="K76">
        <f t="shared" si="8"/>
        <v>0</v>
      </c>
    </row>
    <row r="77" spans="2:11" x14ac:dyDescent="0.25">
      <c r="B77">
        <v>-1.25000000000001</v>
      </c>
      <c r="C77" s="7">
        <f>_xll.acq_special_erf(B77)</f>
        <v>-0.92290012825646062</v>
      </c>
      <c r="D77" s="7">
        <f t="shared" si="9"/>
        <v>-0.92290012825646062</v>
      </c>
      <c r="E77">
        <f t="shared" si="6"/>
        <v>0</v>
      </c>
      <c r="F77" s="7">
        <f>_xll.acq_special_erfc(B77)</f>
        <v>1.9229001282564606</v>
      </c>
      <c r="G77" s="7">
        <f t="shared" si="10"/>
        <v>1.9229001282564606</v>
      </c>
      <c r="H77">
        <f t="shared" si="7"/>
        <v>0</v>
      </c>
      <c r="I77" s="7">
        <f>_xll.acq_special_normalcdf(B77)</f>
        <v>0.10564977366685341</v>
      </c>
      <c r="J77" s="7">
        <f t="shared" si="11"/>
        <v>0.10564977366685342</v>
      </c>
      <c r="K77">
        <f t="shared" si="8"/>
        <v>1.3877787807814457E-17</v>
      </c>
    </row>
    <row r="78" spans="2:11" x14ac:dyDescent="0.25">
      <c r="B78">
        <v>-1.2000000000000099</v>
      </c>
      <c r="C78" s="7">
        <f>_xll.acq_special_erf(B78)</f>
        <v>-0.91031397822963811</v>
      </c>
      <c r="D78" s="7">
        <f t="shared" si="9"/>
        <v>-0.91031397822963811</v>
      </c>
      <c r="E78">
        <f t="shared" si="6"/>
        <v>0</v>
      </c>
      <c r="F78" s="7">
        <f>_xll.acq_special_erfc(B78)</f>
        <v>1.9103139782296381</v>
      </c>
      <c r="G78" s="7">
        <f t="shared" si="10"/>
        <v>1.9103139782296381</v>
      </c>
      <c r="H78">
        <f t="shared" si="7"/>
        <v>0</v>
      </c>
      <c r="I78" s="7">
        <f>_xll.acq_special_normalcdf(B78)</f>
        <v>0.11506967022170633</v>
      </c>
      <c r="J78" s="7">
        <f t="shared" si="11"/>
        <v>0.11506967022170632</v>
      </c>
      <c r="K78">
        <f t="shared" si="8"/>
        <v>1.3877787807814457E-17</v>
      </c>
    </row>
    <row r="79" spans="2:11" x14ac:dyDescent="0.25">
      <c r="B79">
        <v>-1.1500000000000099</v>
      </c>
      <c r="C79" s="7">
        <f>_xll.acq_special_erf(B79)</f>
        <v>-0.89612384293691805</v>
      </c>
      <c r="D79" s="7">
        <f t="shared" si="9"/>
        <v>-0.89612384293691805</v>
      </c>
      <c r="E79">
        <f t="shared" si="6"/>
        <v>0</v>
      </c>
      <c r="F79" s="7">
        <f>_xll.acq_special_erfc(B79)</f>
        <v>1.896123842936918</v>
      </c>
      <c r="G79" s="7">
        <f t="shared" si="10"/>
        <v>1.896123842936918</v>
      </c>
      <c r="H79">
        <f t="shared" si="7"/>
        <v>0</v>
      </c>
      <c r="I79" s="7">
        <f>_xll.acq_special_normalcdf(B79)</f>
        <v>0.12507193563714825</v>
      </c>
      <c r="J79" s="7">
        <f t="shared" si="11"/>
        <v>0.12507193563714819</v>
      </c>
      <c r="K79">
        <f t="shared" si="8"/>
        <v>5.5511151231257827E-17</v>
      </c>
    </row>
    <row r="80" spans="2:11" x14ac:dyDescent="0.25">
      <c r="B80">
        <v>-1.1000000000000101</v>
      </c>
      <c r="C80" s="7">
        <f>_xll.acq_special_erf(B80)</f>
        <v>-0.88020506957408506</v>
      </c>
      <c r="D80" s="7">
        <f t="shared" si="9"/>
        <v>-0.88020506957408506</v>
      </c>
      <c r="E80">
        <f t="shared" si="6"/>
        <v>0</v>
      </c>
      <c r="F80" s="7">
        <f>_xll.acq_special_erfc(B80)</f>
        <v>1.8802050695740851</v>
      </c>
      <c r="G80" s="7">
        <f t="shared" si="10"/>
        <v>1.8802050695740851</v>
      </c>
      <c r="H80">
        <f t="shared" si="7"/>
        <v>0</v>
      </c>
      <c r="I80" s="7">
        <f>_xll.acq_special_normalcdf(B80)</f>
        <v>0.13566606094638051</v>
      </c>
      <c r="J80" s="7">
        <f t="shared" si="11"/>
        <v>0.13566606094638042</v>
      </c>
      <c r="K80">
        <f t="shared" si="8"/>
        <v>8.3266726846886741E-17</v>
      </c>
    </row>
    <row r="81" spans="2:11" x14ac:dyDescent="0.25">
      <c r="B81">
        <v>-1.05000000000001</v>
      </c>
      <c r="C81" s="7">
        <f>_xll.acq_special_erf(B81)</f>
        <v>-0.86243610609010046</v>
      </c>
      <c r="D81" s="7">
        <f t="shared" si="9"/>
        <v>-0.86243610609010046</v>
      </c>
      <c r="E81">
        <f t="shared" si="6"/>
        <v>0</v>
      </c>
      <c r="F81" s="7">
        <f>_xll.acq_special_erfc(B81)</f>
        <v>1.8624361060901005</v>
      </c>
      <c r="G81" s="7">
        <f t="shared" si="10"/>
        <v>1.8624361060901005</v>
      </c>
      <c r="H81">
        <f t="shared" si="7"/>
        <v>0</v>
      </c>
      <c r="I81" s="7">
        <f>_xll.acq_special_normalcdf(B81)</f>
        <v>0.14685905637589358</v>
      </c>
      <c r="J81" s="7">
        <f t="shared" si="11"/>
        <v>0.14685905637589361</v>
      </c>
      <c r="K81">
        <f t="shared" si="8"/>
        <v>2.7755575615628914E-17</v>
      </c>
    </row>
    <row r="82" spans="2:11" x14ac:dyDescent="0.25">
      <c r="B82">
        <v>-1.00000000000001</v>
      </c>
      <c r="C82" s="7">
        <f>_xll.acq_special_erf(B82)</f>
        <v>-0.842700792949719</v>
      </c>
      <c r="D82" s="7">
        <f t="shared" si="9"/>
        <v>-0.842700792949719</v>
      </c>
      <c r="E82">
        <f t="shared" si="6"/>
        <v>0</v>
      </c>
      <c r="F82" s="7">
        <f>_xll.acq_special_erfc(B82)</f>
        <v>1.842700792949719</v>
      </c>
      <c r="G82" s="7">
        <f t="shared" si="10"/>
        <v>1.842700792949719</v>
      </c>
      <c r="H82">
        <f t="shared" si="7"/>
        <v>0</v>
      </c>
      <c r="I82" s="7">
        <f>_xll.acq_special_normalcdf(B82)</f>
        <v>0.15865525393145458</v>
      </c>
      <c r="J82" s="7">
        <f t="shared" si="11"/>
        <v>0.15865525393145458</v>
      </c>
      <c r="K82">
        <f t="shared" si="8"/>
        <v>0</v>
      </c>
    </row>
    <row r="83" spans="2:11" x14ac:dyDescent="0.25">
      <c r="B83">
        <v>-0.95000000000000995</v>
      </c>
      <c r="C83" s="7">
        <f>_xll.acq_special_erf(B83)</f>
        <v>-0.82089080727328234</v>
      </c>
      <c r="D83" s="7">
        <f t="shared" si="9"/>
        <v>-0.82089080727328256</v>
      </c>
      <c r="E83">
        <f t="shared" si="6"/>
        <v>2.2204460492503131E-16</v>
      </c>
      <c r="F83" s="7">
        <f>_xll.acq_special_erfc(B83)</f>
        <v>1.8208908072732823</v>
      </c>
      <c r="G83" s="7">
        <f t="shared" si="10"/>
        <v>1.8208908072732826</v>
      </c>
      <c r="H83">
        <f t="shared" si="7"/>
        <v>2.2204460492503131E-16</v>
      </c>
      <c r="I83" s="7">
        <f>_xll.acq_special_normalcdf(B83)</f>
        <v>0.17105612630847927</v>
      </c>
      <c r="J83" s="7">
        <f t="shared" si="11"/>
        <v>0.17105612630847924</v>
      </c>
      <c r="K83">
        <f t="shared" si="8"/>
        <v>2.7755575615628914E-17</v>
      </c>
    </row>
    <row r="84" spans="2:11" x14ac:dyDescent="0.25">
      <c r="B84">
        <v>-0.90000000000001001</v>
      </c>
      <c r="C84" s="7">
        <f>_xll.acq_special_erf(B84)</f>
        <v>-0.79690821242283716</v>
      </c>
      <c r="D84" s="7">
        <f t="shared" si="9"/>
        <v>-0.79690821242283716</v>
      </c>
      <c r="E84">
        <f t="shared" si="6"/>
        <v>0</v>
      </c>
      <c r="F84" s="7">
        <f>_xll.acq_special_erfc(B84)</f>
        <v>1.7969082124228373</v>
      </c>
      <c r="G84" s="7">
        <f t="shared" si="10"/>
        <v>1.796908212422837</v>
      </c>
      <c r="H84">
        <f t="shared" si="7"/>
        <v>2.2204460492503131E-16</v>
      </c>
      <c r="I84" s="7">
        <f>_xll.acq_special_normalcdf(B84)</f>
        <v>0.18406012534675686</v>
      </c>
      <c r="J84" s="7">
        <f t="shared" si="11"/>
        <v>0.18406012534675684</v>
      </c>
      <c r="K84">
        <f t="shared" si="8"/>
        <v>2.7755575615628914E-17</v>
      </c>
    </row>
    <row r="85" spans="2:11" x14ac:dyDescent="0.25">
      <c r="B85">
        <v>-0.85000000000000997</v>
      </c>
      <c r="C85" s="7">
        <f>_xll.acq_special_erf(B85)</f>
        <v>-0.77066805760835788</v>
      </c>
      <c r="D85" s="7">
        <f t="shared" si="9"/>
        <v>-0.77066805760835799</v>
      </c>
      <c r="E85">
        <f t="shared" si="6"/>
        <v>1.1102230246251565E-16</v>
      </c>
      <c r="F85" s="7">
        <f>_xll.acq_special_erfc(B85)</f>
        <v>1.7706680576083578</v>
      </c>
      <c r="G85" s="7">
        <f t="shared" si="10"/>
        <v>1.770668057608358</v>
      </c>
      <c r="H85">
        <f t="shared" si="7"/>
        <v>2.2204460492503131E-16</v>
      </c>
      <c r="I85" s="7">
        <f>_xll.acq_special_normalcdf(B85)</f>
        <v>0.19766254312268955</v>
      </c>
      <c r="J85" s="7">
        <f t="shared" si="11"/>
        <v>0.1976625431226896</v>
      </c>
      <c r="K85">
        <f t="shared" si="8"/>
        <v>5.5511151231257827E-17</v>
      </c>
    </row>
    <row r="86" spans="2:11" x14ac:dyDescent="0.25">
      <c r="B86">
        <v>-0.80000000000001004</v>
      </c>
      <c r="C86" s="7">
        <f>_xll.acq_special_erf(B86)</f>
        <v>-0.7421009647076664</v>
      </c>
      <c r="D86" s="7">
        <f t="shared" si="9"/>
        <v>-0.74210096470766651</v>
      </c>
      <c r="E86">
        <f t="shared" si="6"/>
        <v>1.1102230246251565E-16</v>
      </c>
      <c r="F86" s="7">
        <f>_xll.acq_special_erfc(B86)</f>
        <v>1.7421009647076664</v>
      </c>
      <c r="G86" s="7">
        <f t="shared" si="10"/>
        <v>1.7421009647076664</v>
      </c>
      <c r="H86">
        <f t="shared" si="7"/>
        <v>0</v>
      </c>
      <c r="I86" s="7">
        <f>_xll.acq_special_normalcdf(B86)</f>
        <v>0.21185539858339381</v>
      </c>
      <c r="J86" s="7">
        <f t="shared" si="11"/>
        <v>0.21185539858339378</v>
      </c>
      <c r="K86">
        <f t="shared" si="8"/>
        <v>2.7755575615628914E-17</v>
      </c>
    </row>
    <row r="87" spans="2:11" x14ac:dyDescent="0.25">
      <c r="B87">
        <v>-0.75000000000001998</v>
      </c>
      <c r="C87" s="7">
        <f>_xll.acq_special_erf(B87)</f>
        <v>-0.71115563365352785</v>
      </c>
      <c r="D87" s="7">
        <f t="shared" si="9"/>
        <v>-0.71115563365352807</v>
      </c>
      <c r="E87">
        <f t="shared" si="6"/>
        <v>2.2204460492503131E-16</v>
      </c>
      <c r="F87" s="7">
        <f>_xll.acq_special_erfc(B87)</f>
        <v>1.7111556336535279</v>
      </c>
      <c r="G87" s="7">
        <f t="shared" si="10"/>
        <v>1.7111556336535281</v>
      </c>
      <c r="H87">
        <f t="shared" si="7"/>
        <v>2.2204460492503131E-16</v>
      </c>
      <c r="I87" s="7">
        <f>_xll.acq_special_normalcdf(B87)</f>
        <v>0.22662735237686216</v>
      </c>
      <c r="J87" s="7">
        <f t="shared" si="11"/>
        <v>0.22662735237686216</v>
      </c>
      <c r="K87">
        <f t="shared" si="8"/>
        <v>0</v>
      </c>
    </row>
    <row r="88" spans="2:11" x14ac:dyDescent="0.25">
      <c r="B88">
        <v>-0.70000000000002005</v>
      </c>
      <c r="C88" s="7">
        <f>_xll.acq_special_erf(B88)</f>
        <v>-0.67780119383743231</v>
      </c>
      <c r="D88" s="7">
        <f t="shared" si="9"/>
        <v>-0.67780119383743243</v>
      </c>
      <c r="E88">
        <f t="shared" si="6"/>
        <v>1.1102230246251565E-16</v>
      </c>
      <c r="F88" s="7">
        <f>_xll.acq_special_erfc(B88)</f>
        <v>1.6778011938374324</v>
      </c>
      <c r="G88" s="7">
        <f t="shared" si="10"/>
        <v>1.6778011938374324</v>
      </c>
      <c r="H88">
        <f t="shared" si="7"/>
        <v>0</v>
      </c>
      <c r="I88" s="7">
        <f>_xll.acq_special_normalcdf(B88)</f>
        <v>0.24196365222306676</v>
      </c>
      <c r="J88" s="7">
        <f t="shared" si="11"/>
        <v>0.24196365222306665</v>
      </c>
      <c r="K88">
        <f t="shared" si="8"/>
        <v>1.1102230246251565E-16</v>
      </c>
    </row>
    <row r="89" spans="2:11" x14ac:dyDescent="0.25">
      <c r="B89">
        <v>-0.65000000000002001</v>
      </c>
      <c r="C89" s="7">
        <f>_xll.acq_special_erf(B89)</f>
        <v>-0.64202932735568652</v>
      </c>
      <c r="D89" s="7">
        <f t="shared" si="9"/>
        <v>-0.64202932735568674</v>
      </c>
      <c r="E89">
        <f t="shared" si="6"/>
        <v>2.2204460492503131E-16</v>
      </c>
      <c r="F89" s="7">
        <f>_xll.acq_special_erfc(B89)</f>
        <v>1.6420293273556865</v>
      </c>
      <c r="G89" s="7">
        <f t="shared" si="10"/>
        <v>1.6420293273556867</v>
      </c>
      <c r="H89">
        <f t="shared" si="7"/>
        <v>2.2204460492503131E-16</v>
      </c>
      <c r="I89" s="7">
        <f>_xll.acq_special_normalcdf(B89)</f>
        <v>0.25784611080585823</v>
      </c>
      <c r="J89" s="7">
        <f t="shared" si="11"/>
        <v>0.25784611080585818</v>
      </c>
      <c r="K89">
        <f t="shared" si="8"/>
        <v>5.5511151231257827E-17</v>
      </c>
    </row>
    <row r="90" spans="2:11" x14ac:dyDescent="0.25">
      <c r="B90">
        <v>-0.60000000000001996</v>
      </c>
      <c r="C90" s="7">
        <f>_xll.acq_special_erf(B90)</f>
        <v>-0.60385609084794156</v>
      </c>
      <c r="D90" s="7">
        <f t="shared" si="9"/>
        <v>-0.60385609084794156</v>
      </c>
      <c r="E90">
        <f t="shared" si="6"/>
        <v>0</v>
      </c>
      <c r="F90" s="7">
        <f>_xll.acq_special_erfc(B90)</f>
        <v>1.6038560908479416</v>
      </c>
      <c r="G90" s="7">
        <f t="shared" si="10"/>
        <v>1.6038560908479416</v>
      </c>
      <c r="H90">
        <f t="shared" si="7"/>
        <v>0</v>
      </c>
      <c r="I90" s="7">
        <f>_xll.acq_special_normalcdf(B90)</f>
        <v>0.27425311775006689</v>
      </c>
      <c r="J90" s="7">
        <f t="shared" si="11"/>
        <v>0.27425311775006689</v>
      </c>
      <c r="K90">
        <f t="shared" si="8"/>
        <v>0</v>
      </c>
    </row>
    <row r="91" spans="2:11" x14ac:dyDescent="0.25">
      <c r="B91">
        <v>-0.55000000000002003</v>
      </c>
      <c r="C91" s="7">
        <f>_xll.acq_special_erf(B91)</f>
        <v>-0.56332336632512559</v>
      </c>
      <c r="D91" s="7">
        <f t="shared" si="9"/>
        <v>-0.56332336632512559</v>
      </c>
      <c r="E91">
        <f t="shared" si="6"/>
        <v>0</v>
      </c>
      <c r="F91" s="7">
        <f>_xll.acq_special_erfc(B91)</f>
        <v>1.5633233663251256</v>
      </c>
      <c r="G91" s="7">
        <f t="shared" si="10"/>
        <v>1.5633233663251256</v>
      </c>
      <c r="H91">
        <f t="shared" si="7"/>
        <v>0</v>
      </c>
      <c r="I91" s="7">
        <f>_xll.acq_special_normalcdf(B91)</f>
        <v>0.29115968678833948</v>
      </c>
      <c r="J91" s="7">
        <f t="shared" si="11"/>
        <v>0.29115968678833948</v>
      </c>
      <c r="K91">
        <f t="shared" si="8"/>
        <v>0</v>
      </c>
    </row>
    <row r="92" spans="2:11" x14ac:dyDescent="0.25">
      <c r="B92">
        <v>-0.50000000000001998</v>
      </c>
      <c r="C92" s="7">
        <f>_xll.acq_special_erf(B92)</f>
        <v>-0.52049987781306406</v>
      </c>
      <c r="D92" s="7">
        <f t="shared" si="9"/>
        <v>-0.52049987781306406</v>
      </c>
      <c r="E92">
        <f t="shared" si="6"/>
        <v>0</v>
      </c>
      <c r="F92" s="7">
        <f>_xll.acq_special_erfc(B92)</f>
        <v>1.5204998778130641</v>
      </c>
      <c r="G92" s="7">
        <f t="shared" si="10"/>
        <v>1.5204998778130641</v>
      </c>
      <c r="H92">
        <f t="shared" si="7"/>
        <v>0</v>
      </c>
      <c r="I92" s="7">
        <f>_xll.acq_special_normalcdf(B92)</f>
        <v>0.30853753872597983</v>
      </c>
      <c r="J92" s="7">
        <f t="shared" si="11"/>
        <v>0.30853753872597978</v>
      </c>
      <c r="K92">
        <f t="shared" si="8"/>
        <v>5.5511151231257827E-17</v>
      </c>
    </row>
    <row r="93" spans="2:11" x14ac:dyDescent="0.25">
      <c r="B93">
        <v>-0.45000000000002</v>
      </c>
      <c r="C93" s="7">
        <f>_xll.acq_special_erf(B93)</f>
        <v>-0.47548171978694204</v>
      </c>
      <c r="D93" s="7">
        <f t="shared" si="9"/>
        <v>-0.47548171978694209</v>
      </c>
      <c r="E93">
        <f t="shared" si="6"/>
        <v>5.5511151231257827E-17</v>
      </c>
      <c r="F93" s="7">
        <f>_xll.acq_special_erfc(B93)</f>
        <v>1.4754817197869421</v>
      </c>
      <c r="G93" s="7">
        <f t="shared" si="10"/>
        <v>1.4754817197869421</v>
      </c>
      <c r="H93">
        <f t="shared" si="7"/>
        <v>0</v>
      </c>
      <c r="I93" s="7">
        <f>_xll.acq_special_normalcdf(B93)</f>
        <v>0.32635522028791286</v>
      </c>
      <c r="J93" s="7">
        <f t="shared" si="11"/>
        <v>0.32635522028791286</v>
      </c>
      <c r="K93">
        <f t="shared" si="8"/>
        <v>0</v>
      </c>
    </row>
    <row r="94" spans="2:11" x14ac:dyDescent="0.25">
      <c r="B94">
        <v>-0.40000000000002001</v>
      </c>
      <c r="C94" s="7">
        <f>_xll.acq_special_erf(B94)</f>
        <v>-0.42839235504668771</v>
      </c>
      <c r="D94" s="7">
        <f t="shared" si="9"/>
        <v>-0.42839235504668777</v>
      </c>
      <c r="E94">
        <f t="shared" si="6"/>
        <v>5.5511151231257827E-17</v>
      </c>
      <c r="F94" s="7">
        <f>_xll.acq_special_erfc(B94)</f>
        <v>1.4283923550466877</v>
      </c>
      <c r="G94" s="7">
        <f t="shared" si="10"/>
        <v>1.4283923550466877</v>
      </c>
      <c r="H94">
        <f t="shared" si="7"/>
        <v>0</v>
      </c>
      <c r="I94" s="7">
        <f>_xll.acq_special_normalcdf(B94)</f>
        <v>0.34457825838966849</v>
      </c>
      <c r="J94" s="7">
        <f t="shared" si="11"/>
        <v>0.34457825838966843</v>
      </c>
      <c r="K94">
        <f t="shared" si="8"/>
        <v>5.5511151231257827E-17</v>
      </c>
    </row>
    <row r="95" spans="2:11" x14ac:dyDescent="0.25">
      <c r="B95">
        <v>-0.35000000000002002</v>
      </c>
      <c r="C95" s="7">
        <f>_xll.acq_special_erf(B95)</f>
        <v>-0.37938205356233029</v>
      </c>
      <c r="D95" s="7">
        <f t="shared" si="9"/>
        <v>-0.37938205356233035</v>
      </c>
      <c r="E95">
        <f t="shared" si="6"/>
        <v>5.5511151231257827E-17</v>
      </c>
      <c r="F95" s="7">
        <f>_xll.acq_special_erfc(B95)</f>
        <v>1.3793820535623302</v>
      </c>
      <c r="G95" s="7">
        <f t="shared" si="10"/>
        <v>1.3793820535623302</v>
      </c>
      <c r="H95">
        <f t="shared" si="7"/>
        <v>0</v>
      </c>
      <c r="I95" s="7">
        <f>_xll.acq_special_normalcdf(B95)</f>
        <v>0.36316934882437341</v>
      </c>
      <c r="J95" s="7">
        <f t="shared" si="11"/>
        <v>0.36316934882437341</v>
      </c>
      <c r="K95">
        <f t="shared" si="8"/>
        <v>0</v>
      </c>
    </row>
    <row r="96" spans="2:11" x14ac:dyDescent="0.25">
      <c r="B96">
        <v>-0.30000000000001997</v>
      </c>
      <c r="C96" s="7">
        <f>_xll.acq_special_erf(B96)</f>
        <v>-0.32862675945914793</v>
      </c>
      <c r="D96" s="7">
        <f t="shared" si="9"/>
        <v>-0.3286267594591481</v>
      </c>
      <c r="E96">
        <f t="shared" si="6"/>
        <v>1.6653345369377348E-16</v>
      </c>
      <c r="F96" s="7">
        <f>_xll.acq_special_erfc(B96)</f>
        <v>1.3286267594591479</v>
      </c>
      <c r="G96" s="7">
        <f t="shared" si="10"/>
        <v>1.3286267594591481</v>
      </c>
      <c r="H96">
        <f t="shared" si="7"/>
        <v>2.2204460492503131E-16</v>
      </c>
      <c r="I96" s="7">
        <f>_xll.acq_special_normalcdf(B96)</f>
        <v>0.38208857781103978</v>
      </c>
      <c r="J96" s="7">
        <f t="shared" si="11"/>
        <v>0.38208857781103972</v>
      </c>
      <c r="K96">
        <f t="shared" si="8"/>
        <v>5.5511151231257827E-17</v>
      </c>
    </row>
    <row r="97" spans="2:11" x14ac:dyDescent="0.25">
      <c r="B97">
        <v>-0.25000000000001998</v>
      </c>
      <c r="C97" s="7">
        <f>_xll.acq_special_erf(B97)</f>
        <v>-0.27632639016825811</v>
      </c>
      <c r="D97" s="7">
        <f t="shared" si="9"/>
        <v>-0.27632639016825811</v>
      </c>
      <c r="E97">
        <f t="shared" si="6"/>
        <v>0</v>
      </c>
      <c r="F97" s="7">
        <f>_xll.acq_special_erfc(B97)</f>
        <v>1.2763263901682582</v>
      </c>
      <c r="G97" s="7">
        <f t="shared" si="10"/>
        <v>1.2763263901682582</v>
      </c>
      <c r="H97">
        <f t="shared" si="7"/>
        <v>0</v>
      </c>
      <c r="I97" s="7">
        <f>_xll.acq_special_normalcdf(B97)</f>
        <v>0.40129367431706853</v>
      </c>
      <c r="J97" s="7">
        <f t="shared" si="11"/>
        <v>0.40129367431706853</v>
      </c>
      <c r="K97">
        <f t="shared" si="8"/>
        <v>0</v>
      </c>
    </row>
    <row r="98" spans="2:11" x14ac:dyDescent="0.25">
      <c r="B98">
        <v>-0.20000000000002</v>
      </c>
      <c r="C98" s="7">
        <f>_xll.acq_special_erf(B98)</f>
        <v>-0.2227025892105001</v>
      </c>
      <c r="D98" s="7">
        <f t="shared" si="9"/>
        <v>-0.22270258921050015</v>
      </c>
      <c r="E98">
        <f t="shared" si="6"/>
        <v>5.5511151231257827E-17</v>
      </c>
      <c r="F98" s="7">
        <f>_xll.acq_special_erfc(B98)</f>
        <v>1.2227025892105001</v>
      </c>
      <c r="G98" s="7">
        <f t="shared" si="10"/>
        <v>1.2227025892105001</v>
      </c>
      <c r="H98">
        <f t="shared" si="7"/>
        <v>0</v>
      </c>
      <c r="I98" s="7">
        <f>_xll.acq_special_normalcdf(B98)</f>
        <v>0.42074029056088913</v>
      </c>
      <c r="J98" s="7">
        <f t="shared" si="11"/>
        <v>0.42074029056088913</v>
      </c>
      <c r="K98">
        <f t="shared" si="8"/>
        <v>0</v>
      </c>
    </row>
    <row r="99" spans="2:11" x14ac:dyDescent="0.25">
      <c r="B99">
        <v>-0.15000000000002001</v>
      </c>
      <c r="C99" s="7">
        <f>_xll.acq_special_erf(B99)</f>
        <v>-0.16799597142738554</v>
      </c>
      <c r="D99" s="7">
        <f t="shared" si="9"/>
        <v>-0.16799597142738559</v>
      </c>
      <c r="E99">
        <f t="shared" si="6"/>
        <v>5.5511151231257827E-17</v>
      </c>
      <c r="F99" s="7">
        <f>_xll.acq_special_erfc(B99)</f>
        <v>1.1679959714273855</v>
      </c>
      <c r="G99" s="7">
        <f t="shared" si="10"/>
        <v>1.1679959714273855</v>
      </c>
      <c r="H99">
        <f t="shared" si="7"/>
        <v>0</v>
      </c>
      <c r="I99" s="7">
        <f>_xll.acq_special_normalcdf(B99)</f>
        <v>0.44038230762974961</v>
      </c>
      <c r="J99" s="7">
        <f t="shared" si="11"/>
        <v>0.44038230762974956</v>
      </c>
      <c r="K99">
        <f t="shared" si="8"/>
        <v>5.5511151231257827E-17</v>
      </c>
    </row>
    <row r="100" spans="2:11" x14ac:dyDescent="0.25">
      <c r="B100">
        <v>-0.10000000000002</v>
      </c>
      <c r="C100" s="7">
        <f>_xll.acq_special_erf(B100)</f>
        <v>-0.11246291601830724</v>
      </c>
      <c r="D100" s="7">
        <f t="shared" si="9"/>
        <v>-0.11246291601830724</v>
      </c>
      <c r="E100">
        <f t="shared" si="6"/>
        <v>0</v>
      </c>
      <c r="F100" s="7">
        <f>_xll.acq_special_erfc(B100)</f>
        <v>1.1124629160183073</v>
      </c>
      <c r="G100" s="7">
        <f t="shared" si="10"/>
        <v>1.1124629160183073</v>
      </c>
      <c r="H100">
        <f t="shared" si="7"/>
        <v>0</v>
      </c>
      <c r="I100" s="7">
        <f>_xll.acq_special_normalcdf(B100)</f>
        <v>0.46017216272296307</v>
      </c>
      <c r="J100" s="7">
        <f t="shared" si="11"/>
        <v>0.46017216272296307</v>
      </c>
      <c r="K100">
        <f t="shared" si="8"/>
        <v>0</v>
      </c>
    </row>
    <row r="101" spans="2:11" x14ac:dyDescent="0.25">
      <c r="B101">
        <v>-5.0000000000020299E-2</v>
      </c>
      <c r="C101" s="7">
        <f>_xll.acq_special_erf(B101)</f>
        <v>-5.6371977797039466E-2</v>
      </c>
      <c r="D101" s="7">
        <f t="shared" si="9"/>
        <v>-5.6371977797039487E-2</v>
      </c>
      <c r="E101">
        <f t="shared" si="6"/>
        <v>2.0816681711721685E-17</v>
      </c>
      <c r="F101" s="7">
        <f>_xll.acq_special_erfc(B101)</f>
        <v>1.0563719777970395</v>
      </c>
      <c r="G101" s="7">
        <f t="shared" si="10"/>
        <v>1.0563719777970395</v>
      </c>
      <c r="H101">
        <f t="shared" si="7"/>
        <v>0</v>
      </c>
      <c r="I101" s="7">
        <f>_xll.acq_special_normalcdf(B101)</f>
        <v>0.48006119416161946</v>
      </c>
      <c r="J101" s="7">
        <f t="shared" si="11"/>
        <v>0.48006119416161946</v>
      </c>
      <c r="K101">
        <f t="shared" si="8"/>
        <v>0</v>
      </c>
    </row>
    <row r="102" spans="2:11" x14ac:dyDescent="0.25">
      <c r="B102">
        <v>-2.0428103653102899E-14</v>
      </c>
      <c r="C102" s="7">
        <f>_xll.acq_special_erf(B102)</f>
        <v>-2.3050646585429045E-14</v>
      </c>
      <c r="D102" s="7">
        <f t="shared" si="9"/>
        <v>-2.3050646585429052E-14</v>
      </c>
      <c r="E102">
        <f t="shared" si="6"/>
        <v>6.3108872417680944E-30</v>
      </c>
      <c r="F102" s="7">
        <f>_xll.acq_special_erfc(B102)</f>
        <v>1.0000000000000231</v>
      </c>
      <c r="G102" s="7">
        <f t="shared" si="10"/>
        <v>1.0000000000000231</v>
      </c>
      <c r="H102">
        <f t="shared" si="7"/>
        <v>0</v>
      </c>
      <c r="I102" s="7">
        <f>_xll.acq_special_normalcdf(B102)</f>
        <v>0.49999999999999184</v>
      </c>
      <c r="J102" s="7">
        <f t="shared" si="11"/>
        <v>0.49999999999999184</v>
      </c>
      <c r="K102">
        <f t="shared" si="8"/>
        <v>0</v>
      </c>
    </row>
    <row r="103" spans="2:11" x14ac:dyDescent="0.25">
      <c r="B103">
        <v>4.9999999999980303E-2</v>
      </c>
      <c r="C103" s="7">
        <f>_xll.acq_special_erf(B103)</f>
        <v>5.6371977796994446E-2</v>
      </c>
      <c r="D103" s="7">
        <f t="shared" si="9"/>
        <v>5.637197779699446E-2</v>
      </c>
      <c r="E103">
        <f t="shared" si="6"/>
        <v>1.3877787807814457E-17</v>
      </c>
      <c r="F103" s="7">
        <f>_xll.acq_special_erfc(B103)</f>
        <v>0.94362802220300557</v>
      </c>
      <c r="G103" s="7">
        <f t="shared" si="10"/>
        <v>0.94362802220300557</v>
      </c>
      <c r="H103">
        <f t="shared" si="7"/>
        <v>0</v>
      </c>
      <c r="I103" s="7">
        <f>_xll.acq_special_normalcdf(B103)</f>
        <v>0.5199388058383646</v>
      </c>
      <c r="J103" s="7">
        <f t="shared" si="11"/>
        <v>0.5199388058383646</v>
      </c>
      <c r="K103">
        <f t="shared" si="8"/>
        <v>0</v>
      </c>
    </row>
    <row r="104" spans="2:11" x14ac:dyDescent="0.25">
      <c r="B104">
        <v>9.9999999999980105E-2</v>
      </c>
      <c r="C104" s="7">
        <f>_xll.acq_special_erf(B104)</f>
        <v>0.11246291601826267</v>
      </c>
      <c r="D104" s="7">
        <f t="shared" si="9"/>
        <v>0.11246291601826267</v>
      </c>
      <c r="E104">
        <f t="shared" si="6"/>
        <v>0</v>
      </c>
      <c r="F104" s="7">
        <f>_xll.acq_special_erfc(B104)</f>
        <v>0.88753708398173736</v>
      </c>
      <c r="G104" s="7">
        <f t="shared" si="10"/>
        <v>0.88753708398173736</v>
      </c>
      <c r="H104">
        <f t="shared" si="7"/>
        <v>0</v>
      </c>
      <c r="I104" s="7">
        <f>_xll.acq_special_normalcdf(B104)</f>
        <v>0.53982783727702111</v>
      </c>
      <c r="J104" s="7">
        <f t="shared" si="11"/>
        <v>0.53982783727702111</v>
      </c>
      <c r="K104">
        <f t="shared" si="8"/>
        <v>0</v>
      </c>
    </row>
    <row r="105" spans="2:11" x14ac:dyDescent="0.25">
      <c r="B105">
        <v>0.14999999999998001</v>
      </c>
      <c r="C105" s="7">
        <f>_xll.acq_special_erf(B105)</f>
        <v>0.16799597142734141</v>
      </c>
      <c r="D105" s="7">
        <f t="shared" si="9"/>
        <v>0.16799597142734146</v>
      </c>
      <c r="E105">
        <f t="shared" si="6"/>
        <v>5.5511151231257827E-17</v>
      </c>
      <c r="F105" s="7">
        <f>_xll.acq_special_erfc(B105)</f>
        <v>0.83200402857265865</v>
      </c>
      <c r="G105" s="7">
        <f t="shared" si="10"/>
        <v>0.83200402857265854</v>
      </c>
      <c r="H105">
        <f t="shared" si="7"/>
        <v>1.1102230246251565E-16</v>
      </c>
      <c r="I105" s="7">
        <f>_xll.acq_special_normalcdf(B105)</f>
        <v>0.55961769237023462</v>
      </c>
      <c r="J105" s="7">
        <f t="shared" si="11"/>
        <v>0.55961769237023462</v>
      </c>
      <c r="K105">
        <f t="shared" si="8"/>
        <v>0</v>
      </c>
    </row>
    <row r="106" spans="2:11" x14ac:dyDescent="0.25">
      <c r="B106">
        <v>0.19999999999998</v>
      </c>
      <c r="C106" s="7">
        <f>_xll.acq_special_erf(B106)</f>
        <v>0.22270258921045677</v>
      </c>
      <c r="D106" s="7">
        <f t="shared" si="9"/>
        <v>0.22270258921045677</v>
      </c>
      <c r="E106">
        <f t="shared" si="6"/>
        <v>0</v>
      </c>
      <c r="F106" s="7">
        <f>_xll.acq_special_erfc(B106)</f>
        <v>0.77729741078954318</v>
      </c>
      <c r="G106" s="7">
        <f t="shared" si="10"/>
        <v>0.77729741078954318</v>
      </c>
      <c r="H106">
        <f t="shared" si="7"/>
        <v>0</v>
      </c>
      <c r="I106" s="7">
        <f>_xll.acq_special_normalcdf(B106)</f>
        <v>0.57925970943909522</v>
      </c>
      <c r="J106" s="7">
        <f t="shared" si="11"/>
        <v>0.57925970943909522</v>
      </c>
      <c r="K106">
        <f t="shared" si="8"/>
        <v>0</v>
      </c>
    </row>
    <row r="107" spans="2:11" x14ac:dyDescent="0.25">
      <c r="B107">
        <v>0.24999999999997999</v>
      </c>
      <c r="C107" s="7">
        <f>_xll.acq_special_erf(B107)</f>
        <v>0.27632639016821564</v>
      </c>
      <c r="D107" s="7">
        <f t="shared" si="9"/>
        <v>0.27632639016821575</v>
      </c>
      <c r="E107">
        <f t="shared" si="6"/>
        <v>1.1102230246251565E-16</v>
      </c>
      <c r="F107" s="7">
        <f>_xll.acq_special_erfc(B107)</f>
        <v>0.72367360983178441</v>
      </c>
      <c r="G107" s="7">
        <f t="shared" si="10"/>
        <v>0.72367360983178419</v>
      </c>
      <c r="H107">
        <f t="shared" si="7"/>
        <v>2.2204460492503131E-16</v>
      </c>
      <c r="I107" s="7">
        <f>_xll.acq_special_normalcdf(B107)</f>
        <v>0.59870632568291593</v>
      </c>
      <c r="J107" s="7">
        <f t="shared" si="11"/>
        <v>0.59870632568291593</v>
      </c>
      <c r="K107">
        <f t="shared" si="8"/>
        <v>0</v>
      </c>
    </row>
    <row r="108" spans="2:11" x14ac:dyDescent="0.25">
      <c r="B108">
        <v>0.29999999999998</v>
      </c>
      <c r="C108" s="7">
        <f>_xll.acq_special_erf(B108)</f>
        <v>0.3286267594591068</v>
      </c>
      <c r="D108" s="7">
        <f t="shared" si="9"/>
        <v>0.32862675945910685</v>
      </c>
      <c r="E108">
        <f t="shared" si="6"/>
        <v>5.5511151231257827E-17</v>
      </c>
      <c r="F108" s="7">
        <f>_xll.acq_special_erfc(B108)</f>
        <v>0.6713732405408932</v>
      </c>
      <c r="G108" s="7">
        <f t="shared" si="10"/>
        <v>0.6713732405408932</v>
      </c>
      <c r="H108">
        <f t="shared" si="7"/>
        <v>0</v>
      </c>
      <c r="I108" s="7">
        <f>_xll.acq_special_normalcdf(B108)</f>
        <v>0.61791142218894501</v>
      </c>
      <c r="J108" s="7">
        <f t="shared" si="11"/>
        <v>0.61791142218894501</v>
      </c>
      <c r="K108">
        <f t="shared" si="8"/>
        <v>0</v>
      </c>
    </row>
    <row r="109" spans="2:11" x14ac:dyDescent="0.25">
      <c r="B109">
        <v>0.34999999999997999</v>
      </c>
      <c r="C109" s="7">
        <f>_xll.acq_special_erf(B109)</f>
        <v>0.37938205356229027</v>
      </c>
      <c r="D109" s="7">
        <f t="shared" si="9"/>
        <v>0.37938205356229032</v>
      </c>
      <c r="E109">
        <f t="shared" si="6"/>
        <v>5.5511151231257827E-17</v>
      </c>
      <c r="F109" s="7">
        <f>_xll.acq_special_erfc(B109)</f>
        <v>0.62061794643770973</v>
      </c>
      <c r="G109" s="7">
        <f t="shared" si="10"/>
        <v>0.62061794643770973</v>
      </c>
      <c r="H109">
        <f t="shared" si="7"/>
        <v>0</v>
      </c>
      <c r="I109" s="7">
        <f>_xll.acq_special_normalcdf(B109)</f>
        <v>0.63683065117561166</v>
      </c>
      <c r="J109" s="7">
        <f t="shared" si="11"/>
        <v>0.63683065117561155</v>
      </c>
      <c r="K109">
        <f t="shared" si="8"/>
        <v>1.1102230246251565E-16</v>
      </c>
    </row>
    <row r="110" spans="2:11" x14ac:dyDescent="0.25">
      <c r="B110">
        <v>0.39999999999997998</v>
      </c>
      <c r="C110" s="7">
        <f>_xll.acq_special_erf(B110)</f>
        <v>0.42839235504664919</v>
      </c>
      <c r="D110" s="7">
        <f t="shared" si="9"/>
        <v>0.42839235504664919</v>
      </c>
      <c r="E110">
        <f t="shared" si="6"/>
        <v>0</v>
      </c>
      <c r="F110" s="7">
        <f>_xll.acq_special_erfc(B110)</f>
        <v>0.57160764495335081</v>
      </c>
      <c r="G110" s="7">
        <f t="shared" si="10"/>
        <v>0.57160764495335081</v>
      </c>
      <c r="H110">
        <f t="shared" si="7"/>
        <v>0</v>
      </c>
      <c r="I110" s="7">
        <f>_xll.acq_special_normalcdf(B110)</f>
        <v>0.65542174161031674</v>
      </c>
      <c r="J110" s="7">
        <f t="shared" si="11"/>
        <v>0.65542174161031674</v>
      </c>
      <c r="K110">
        <f t="shared" si="8"/>
        <v>0</v>
      </c>
    </row>
    <row r="111" spans="2:11" x14ac:dyDescent="0.25">
      <c r="B111">
        <v>0.44999999999998003</v>
      </c>
      <c r="C111" s="7">
        <f>_xll.acq_special_erf(B111)</f>
        <v>0.47548171978690529</v>
      </c>
      <c r="D111" s="7">
        <f t="shared" si="9"/>
        <v>0.47548171978690529</v>
      </c>
      <c r="E111">
        <f t="shared" si="6"/>
        <v>0</v>
      </c>
      <c r="F111" s="7">
        <f>_xll.acq_special_erfc(B111)</f>
        <v>0.52451828021309477</v>
      </c>
      <c r="G111" s="7">
        <f t="shared" si="10"/>
        <v>0.52451828021309477</v>
      </c>
      <c r="H111">
        <f t="shared" si="7"/>
        <v>0</v>
      </c>
      <c r="I111" s="7">
        <f>_xll.acq_special_normalcdf(B111)</f>
        <v>0.67364477971207282</v>
      </c>
      <c r="J111" s="7">
        <f t="shared" si="11"/>
        <v>0.67364477971207282</v>
      </c>
      <c r="K111">
        <f t="shared" si="8"/>
        <v>0</v>
      </c>
    </row>
    <row r="112" spans="2:11" x14ac:dyDescent="0.25">
      <c r="B112">
        <v>0.49999999999998002</v>
      </c>
      <c r="C112" s="7">
        <f>_xll.acq_special_erf(B112)</f>
        <v>0.52049987781302898</v>
      </c>
      <c r="D112" s="7">
        <f t="shared" si="9"/>
        <v>0.52049987781302909</v>
      </c>
      <c r="E112">
        <f t="shared" si="6"/>
        <v>1.1102230246251565E-16</v>
      </c>
      <c r="F112" s="7">
        <f>_xll.acq_special_erfc(B112)</f>
        <v>0.47950012218697102</v>
      </c>
      <c r="G112" s="7">
        <f t="shared" si="10"/>
        <v>0.47950012218697091</v>
      </c>
      <c r="H112">
        <f t="shared" si="7"/>
        <v>1.1102230246251565E-16</v>
      </c>
      <c r="I112" s="7">
        <f>_xll.acq_special_normalcdf(B112)</f>
        <v>0.69146246127400601</v>
      </c>
      <c r="J112" s="7">
        <f t="shared" si="11"/>
        <v>0.69146246127400612</v>
      </c>
      <c r="K112">
        <f t="shared" si="8"/>
        <v>1.1102230246251565E-16</v>
      </c>
    </row>
    <row r="113" spans="2:11" x14ac:dyDescent="0.25">
      <c r="B113">
        <v>0.54999999999997995</v>
      </c>
      <c r="C113" s="7">
        <f>_xll.acq_special_erf(B113)</f>
        <v>0.56332336632509217</v>
      </c>
      <c r="D113" s="7">
        <f t="shared" si="9"/>
        <v>0.56332336632509217</v>
      </c>
      <c r="E113">
        <f t="shared" si="6"/>
        <v>0</v>
      </c>
      <c r="F113" s="7">
        <f>_xll.acq_special_erfc(B113)</f>
        <v>0.43667663367490783</v>
      </c>
      <c r="G113" s="7">
        <f t="shared" si="10"/>
        <v>0.43667663367490783</v>
      </c>
      <c r="H113">
        <f t="shared" si="7"/>
        <v>0</v>
      </c>
      <c r="I113" s="7">
        <f>_xll.acq_special_normalcdf(B113)</f>
        <v>0.70884031321164676</v>
      </c>
      <c r="J113" s="7">
        <f t="shared" si="11"/>
        <v>0.70884031321164676</v>
      </c>
      <c r="K113">
        <f t="shared" si="8"/>
        <v>0</v>
      </c>
    </row>
    <row r="114" spans="2:11" x14ac:dyDescent="0.25">
      <c r="B114">
        <v>0.59999999999997999</v>
      </c>
      <c r="C114" s="7">
        <f>_xll.acq_special_erf(B114)</f>
        <v>0.60385609084791014</v>
      </c>
      <c r="D114" s="7">
        <f t="shared" si="9"/>
        <v>0.60385609084791025</v>
      </c>
      <c r="E114">
        <f t="shared" si="6"/>
        <v>1.1102230246251565E-16</v>
      </c>
      <c r="F114" s="7">
        <f>_xll.acq_special_erfc(B114)</f>
        <v>0.39614390915208986</v>
      </c>
      <c r="G114" s="7">
        <f t="shared" si="10"/>
        <v>0.3961439091520898</v>
      </c>
      <c r="H114">
        <f t="shared" si="7"/>
        <v>5.5511151231257827E-17</v>
      </c>
      <c r="I114" s="7">
        <f>_xll.acq_special_normalcdf(B114)</f>
        <v>0.72574688224991979</v>
      </c>
      <c r="J114" s="7">
        <f t="shared" si="11"/>
        <v>0.72574688224991979</v>
      </c>
      <c r="K114">
        <f t="shared" si="8"/>
        <v>0</v>
      </c>
    </row>
    <row r="115" spans="2:11" x14ac:dyDescent="0.25">
      <c r="B115">
        <v>0.64999999999998004</v>
      </c>
      <c r="C115" s="7">
        <f>_xll.acq_special_erf(B115)</f>
        <v>0.6420293273556571</v>
      </c>
      <c r="D115" s="7">
        <f t="shared" si="9"/>
        <v>0.6420293273556571</v>
      </c>
      <c r="E115">
        <f t="shared" si="6"/>
        <v>0</v>
      </c>
      <c r="F115" s="7">
        <f>_xll.acq_special_erfc(B115)</f>
        <v>0.3579706726443429</v>
      </c>
      <c r="G115" s="7">
        <f t="shared" si="10"/>
        <v>0.3579706726443429</v>
      </c>
      <c r="H115">
        <f t="shared" si="7"/>
        <v>0</v>
      </c>
      <c r="I115" s="7">
        <f>_xll.acq_special_normalcdf(B115)</f>
        <v>0.74215388919412884</v>
      </c>
      <c r="J115" s="7">
        <f t="shared" si="11"/>
        <v>0.74215388919412884</v>
      </c>
      <c r="K115">
        <f t="shared" si="8"/>
        <v>0</v>
      </c>
    </row>
    <row r="116" spans="2:11" x14ac:dyDescent="0.25">
      <c r="B116">
        <v>0.69999999999997997</v>
      </c>
      <c r="C116" s="7">
        <f>_xll.acq_special_erf(B116)</f>
        <v>0.67780119383740456</v>
      </c>
      <c r="D116" s="7">
        <f t="shared" si="9"/>
        <v>0.67780119383740467</v>
      </c>
      <c r="E116">
        <f t="shared" si="6"/>
        <v>1.1102230246251565E-16</v>
      </c>
      <c r="F116" s="7">
        <f>_xll.acq_special_erfc(B116)</f>
        <v>0.32219880616259544</v>
      </c>
      <c r="G116" s="7">
        <f t="shared" si="10"/>
        <v>0.32219880616259533</v>
      </c>
      <c r="H116">
        <f t="shared" si="7"/>
        <v>1.1102230246251565E-16</v>
      </c>
      <c r="I116" s="7">
        <f>_xll.acq_special_normalcdf(B116)</f>
        <v>0.75803634777692075</v>
      </c>
      <c r="J116" s="7">
        <f t="shared" si="11"/>
        <v>0.75803634777692075</v>
      </c>
      <c r="K116">
        <f t="shared" si="8"/>
        <v>0</v>
      </c>
    </row>
    <row r="117" spans="2:11" x14ac:dyDescent="0.25">
      <c r="B117">
        <v>0.74999999999998002</v>
      </c>
      <c r="C117" s="7">
        <f>_xll.acq_special_erf(B117)</f>
        <v>0.71115563365350232</v>
      </c>
      <c r="D117" s="7">
        <f t="shared" si="9"/>
        <v>0.71115563365350232</v>
      </c>
      <c r="E117">
        <f t="shared" si="6"/>
        <v>0</v>
      </c>
      <c r="F117" s="7">
        <f>_xll.acq_special_erfc(B117)</f>
        <v>0.28884436634649768</v>
      </c>
      <c r="G117" s="7">
        <f t="shared" si="10"/>
        <v>0.28884436634649774</v>
      </c>
      <c r="H117">
        <f t="shared" si="7"/>
        <v>5.5511151231257827E-17</v>
      </c>
      <c r="I117" s="7">
        <f>_xll.acq_special_normalcdf(B117)</f>
        <v>0.77337264762312574</v>
      </c>
      <c r="J117" s="7">
        <f t="shared" si="11"/>
        <v>0.77337264762312574</v>
      </c>
      <c r="K117">
        <f t="shared" si="8"/>
        <v>0</v>
      </c>
    </row>
    <row r="118" spans="2:11" x14ac:dyDescent="0.25">
      <c r="B118">
        <v>0.79999999999997995</v>
      </c>
      <c r="C118" s="7">
        <f>_xll.acq_special_erf(B118)</f>
        <v>0.74210096470764852</v>
      </c>
      <c r="D118" s="7">
        <f t="shared" si="9"/>
        <v>0.74210096470764852</v>
      </c>
      <c r="E118">
        <f t="shared" si="6"/>
        <v>0</v>
      </c>
      <c r="F118" s="7">
        <f>_xll.acq_special_erfc(B118)</f>
        <v>0.25789903529235148</v>
      </c>
      <c r="G118" s="7">
        <f t="shared" si="10"/>
        <v>0.25789903529235148</v>
      </c>
      <c r="H118">
        <f t="shared" si="7"/>
        <v>0</v>
      </c>
      <c r="I118" s="7">
        <f>_xll.acq_special_normalcdf(B118)</f>
        <v>0.78814460141659759</v>
      </c>
      <c r="J118" s="7">
        <f t="shared" si="11"/>
        <v>0.78814460141659759</v>
      </c>
      <c r="K118">
        <f t="shared" si="8"/>
        <v>0</v>
      </c>
    </row>
    <row r="119" spans="2:11" x14ac:dyDescent="0.25">
      <c r="B119">
        <v>0.84999999999997999</v>
      </c>
      <c r="C119" s="7">
        <f>_xll.acq_special_erf(B119)</f>
        <v>0.77066805760834156</v>
      </c>
      <c r="D119" s="7">
        <f t="shared" si="9"/>
        <v>0.77066805760834156</v>
      </c>
      <c r="E119">
        <f t="shared" si="6"/>
        <v>0</v>
      </c>
      <c r="F119" s="7">
        <f>_xll.acq_special_erfc(B119)</f>
        <v>0.22933194239165844</v>
      </c>
      <c r="G119" s="7">
        <f t="shared" si="10"/>
        <v>0.22933194239165841</v>
      </c>
      <c r="H119">
        <f t="shared" si="7"/>
        <v>2.7755575615628914E-17</v>
      </c>
      <c r="I119" s="7">
        <f>_xll.acq_special_normalcdf(B119)</f>
        <v>0.80233745687730207</v>
      </c>
      <c r="J119" s="7">
        <f t="shared" si="11"/>
        <v>0.80233745687730207</v>
      </c>
      <c r="K119">
        <f t="shared" si="8"/>
        <v>0</v>
      </c>
    </row>
    <row r="120" spans="2:11" x14ac:dyDescent="0.25">
      <c r="B120">
        <v>0.89999999999998004</v>
      </c>
      <c r="C120" s="7">
        <f>_xll.acq_special_erf(B120)</f>
        <v>0.79690821242282195</v>
      </c>
      <c r="D120" s="7">
        <f t="shared" si="9"/>
        <v>0.79690821242282217</v>
      </c>
      <c r="E120">
        <f t="shared" si="6"/>
        <v>2.2204460492503131E-16</v>
      </c>
      <c r="F120" s="7">
        <f>_xll.acq_special_erfc(B120)</f>
        <v>0.20309178757717805</v>
      </c>
      <c r="G120" s="7">
        <f t="shared" si="10"/>
        <v>0.20309178757717788</v>
      </c>
      <c r="H120">
        <f t="shared" si="7"/>
        <v>1.6653345369377348E-16</v>
      </c>
      <c r="I120" s="7">
        <f>_xll.acq_special_normalcdf(B120)</f>
        <v>0.81593987465323514</v>
      </c>
      <c r="J120" s="7">
        <f t="shared" si="11"/>
        <v>0.81593987465323525</v>
      </c>
      <c r="K120">
        <f t="shared" si="8"/>
        <v>1.1102230246251565E-16</v>
      </c>
    </row>
    <row r="121" spans="2:11" x14ac:dyDescent="0.25">
      <c r="B121">
        <v>0.94999999999997997</v>
      </c>
      <c r="C121" s="7">
        <f>_xll.acq_special_erf(B121)</f>
        <v>0.82089080727326869</v>
      </c>
      <c r="D121" s="7">
        <f t="shared" si="9"/>
        <v>0.8208908072732688</v>
      </c>
      <c r="E121">
        <f t="shared" si="6"/>
        <v>1.1102230246251565E-16</v>
      </c>
      <c r="F121" s="7">
        <f>_xll.acq_special_erfc(B121)</f>
        <v>0.17910919272673131</v>
      </c>
      <c r="G121" s="7">
        <f t="shared" si="10"/>
        <v>0.1791091927267312</v>
      </c>
      <c r="H121">
        <f t="shared" si="7"/>
        <v>1.1102230246251565E-16</v>
      </c>
      <c r="I121" s="7">
        <f>_xll.acq_special_normalcdf(B121)</f>
        <v>0.82894387369151312</v>
      </c>
      <c r="J121" s="7">
        <f t="shared" si="11"/>
        <v>0.82894387369151312</v>
      </c>
      <c r="K121">
        <f t="shared" si="8"/>
        <v>0</v>
      </c>
    </row>
    <row r="122" spans="2:11" x14ac:dyDescent="0.25">
      <c r="B122">
        <v>0.99999999999998002</v>
      </c>
      <c r="C122" s="7">
        <f>_xll.acq_special_erf(B122)</f>
        <v>0.84270079294970657</v>
      </c>
      <c r="D122" s="7">
        <f t="shared" si="9"/>
        <v>0.84270079294970657</v>
      </c>
      <c r="E122">
        <f t="shared" si="6"/>
        <v>0</v>
      </c>
      <c r="F122" s="7">
        <f>_xll.acq_special_erfc(B122)</f>
        <v>0.15729920705029343</v>
      </c>
      <c r="G122" s="7">
        <f t="shared" si="10"/>
        <v>0.15729920705029343</v>
      </c>
      <c r="H122">
        <f t="shared" si="7"/>
        <v>0</v>
      </c>
      <c r="I122" s="7">
        <f>_xll.acq_special_normalcdf(B122)</f>
        <v>0.84134474606853815</v>
      </c>
      <c r="J122" s="7">
        <f t="shared" si="11"/>
        <v>0.84134474606853815</v>
      </c>
      <c r="K122">
        <f t="shared" si="8"/>
        <v>0</v>
      </c>
    </row>
    <row r="123" spans="2:11" x14ac:dyDescent="0.25">
      <c r="B123">
        <v>1.0499999999999801</v>
      </c>
      <c r="C123" s="7">
        <f>_xll.acq_special_erf(B123)</f>
        <v>0.86243610609008914</v>
      </c>
      <c r="D123" s="7">
        <f t="shared" si="9"/>
        <v>0.86243610609008925</v>
      </c>
      <c r="E123">
        <f t="shared" si="6"/>
        <v>1.1102230246251565E-16</v>
      </c>
      <c r="F123" s="7">
        <f>_xll.acq_special_erfc(B123)</f>
        <v>0.13756389390991083</v>
      </c>
      <c r="G123" s="7">
        <f t="shared" si="10"/>
        <v>0.13756389390991078</v>
      </c>
      <c r="H123">
        <f t="shared" si="7"/>
        <v>5.5511151231257827E-17</v>
      </c>
      <c r="I123" s="7">
        <f>_xll.acq_special_normalcdf(B123)</f>
        <v>0.85314094362409953</v>
      </c>
      <c r="J123" s="7">
        <f t="shared" si="11"/>
        <v>0.85314094362409953</v>
      </c>
      <c r="K123">
        <f t="shared" si="8"/>
        <v>0</v>
      </c>
    </row>
    <row r="124" spans="2:11" x14ac:dyDescent="0.25">
      <c r="B124">
        <v>1.0999999999999801</v>
      </c>
      <c r="C124" s="7">
        <f>_xll.acq_special_erf(B124)</f>
        <v>0.88020506957407496</v>
      </c>
      <c r="D124" s="7">
        <f t="shared" si="9"/>
        <v>0.88020506957407496</v>
      </c>
      <c r="E124">
        <f t="shared" si="6"/>
        <v>0</v>
      </c>
      <c r="F124" s="7">
        <f>_xll.acq_special_erfc(B124)</f>
        <v>0.11979493042592501</v>
      </c>
      <c r="G124" s="7">
        <f t="shared" si="10"/>
        <v>0.119794930425925</v>
      </c>
      <c r="H124">
        <f t="shared" si="7"/>
        <v>1.3877787807814457E-17</v>
      </c>
      <c r="I124" s="7">
        <f>_xll.acq_special_normalcdf(B124)</f>
        <v>0.864333939053613</v>
      </c>
      <c r="J124" s="7">
        <f t="shared" si="11"/>
        <v>0.864333939053613</v>
      </c>
      <c r="K124">
        <f t="shared" si="8"/>
        <v>0</v>
      </c>
    </row>
    <row r="125" spans="2:11" x14ac:dyDescent="0.25">
      <c r="B125">
        <v>1.1499999999999799</v>
      </c>
      <c r="C125" s="7">
        <f>_xll.acq_special_erf(B125)</f>
        <v>0.89612384293690894</v>
      </c>
      <c r="D125" s="7">
        <f t="shared" si="9"/>
        <v>0.89612384293690894</v>
      </c>
      <c r="E125">
        <f t="shared" si="6"/>
        <v>0</v>
      </c>
      <c r="F125" s="7">
        <f>_xll.acq_special_erfc(B125)</f>
        <v>0.10387615706309104</v>
      </c>
      <c r="G125" s="7">
        <f t="shared" si="10"/>
        <v>0.10387615706309103</v>
      </c>
      <c r="H125">
        <f t="shared" si="7"/>
        <v>1.3877787807814457E-17</v>
      </c>
      <c r="I125" s="7">
        <f>_xll.acq_special_normalcdf(B125)</f>
        <v>0.87492806436284565</v>
      </c>
      <c r="J125" s="7">
        <f t="shared" si="11"/>
        <v>0.87492806436284565</v>
      </c>
      <c r="K125">
        <f t="shared" si="8"/>
        <v>0</v>
      </c>
    </row>
    <row r="126" spans="2:11" x14ac:dyDescent="0.25">
      <c r="B126">
        <v>1.19999999999998</v>
      </c>
      <c r="C126" s="7">
        <f>_xll.acq_special_erf(B126)</f>
        <v>0.91031397822963012</v>
      </c>
      <c r="D126" s="7">
        <f t="shared" si="9"/>
        <v>0.91031397822963001</v>
      </c>
      <c r="E126">
        <f t="shared" si="6"/>
        <v>1.1102230246251565E-16</v>
      </c>
      <c r="F126" s="7">
        <f>_xll.acq_special_erfc(B126)</f>
        <v>8.9686021770369939E-2</v>
      </c>
      <c r="G126" s="7">
        <f t="shared" si="10"/>
        <v>8.9686021770369981E-2</v>
      </c>
      <c r="H126">
        <f t="shared" si="7"/>
        <v>4.163336342344337E-17</v>
      </c>
      <c r="I126" s="7">
        <f>_xll.acq_special_normalcdf(B126)</f>
        <v>0.88493032977828778</v>
      </c>
      <c r="J126" s="7">
        <f t="shared" si="11"/>
        <v>0.88493032977828789</v>
      </c>
      <c r="K126">
        <f t="shared" si="8"/>
        <v>1.1102230246251565E-16</v>
      </c>
    </row>
    <row r="127" spans="2:11" x14ac:dyDescent="0.25">
      <c r="B127">
        <v>1.24999999999998</v>
      </c>
      <c r="C127" s="7">
        <f>_xll.acq_special_erf(B127)</f>
        <v>0.92290012825645351</v>
      </c>
      <c r="D127" s="7">
        <f t="shared" si="9"/>
        <v>0.92290012825645351</v>
      </c>
      <c r="E127">
        <f t="shared" si="6"/>
        <v>0</v>
      </c>
      <c r="F127" s="7">
        <f>_xll.acq_special_erfc(B127)</f>
        <v>7.7099871743546516E-2</v>
      </c>
      <c r="G127" s="7">
        <f t="shared" si="10"/>
        <v>7.7099871743546503E-2</v>
      </c>
      <c r="H127">
        <f t="shared" si="7"/>
        <v>1.3877787807814457E-17</v>
      </c>
      <c r="I127" s="7">
        <f>_xll.acq_special_normalcdf(B127)</f>
        <v>0.8943502263331411</v>
      </c>
      <c r="J127" s="7">
        <f t="shared" si="11"/>
        <v>0.8943502263331411</v>
      </c>
      <c r="K127">
        <f t="shared" si="8"/>
        <v>0</v>
      </c>
    </row>
    <row r="128" spans="2:11" x14ac:dyDescent="0.25">
      <c r="B128">
        <v>1.2999999999999801</v>
      </c>
      <c r="C128" s="7">
        <f>_xll.acq_special_erf(B128)</f>
        <v>0.93400794494064832</v>
      </c>
      <c r="D128" s="7">
        <f t="shared" si="9"/>
        <v>0.93400794494064832</v>
      </c>
      <c r="E128">
        <f t="shared" si="6"/>
        <v>0</v>
      </c>
      <c r="F128" s="7">
        <f>_xll.acq_special_erfc(B128)</f>
        <v>6.5992055059351726E-2</v>
      </c>
      <c r="G128" s="7">
        <f t="shared" si="10"/>
        <v>6.5992055059351712E-2</v>
      </c>
      <c r="H128">
        <f t="shared" si="7"/>
        <v>1.3877787807814457E-17</v>
      </c>
      <c r="I128" s="7">
        <f>_xll.acq_special_normalcdf(B128)</f>
        <v>0.90319951541438614</v>
      </c>
      <c r="J128" s="7">
        <f t="shared" si="11"/>
        <v>0.90319951541438626</v>
      </c>
      <c r="K128">
        <f t="shared" si="8"/>
        <v>1.1102230246251565E-16</v>
      </c>
    </row>
    <row r="129" spans="2:11" x14ac:dyDescent="0.25">
      <c r="B129">
        <v>1.3499999999999801</v>
      </c>
      <c r="C129" s="7">
        <f>_xll.acq_special_erf(B129)</f>
        <v>0.94376219612272039</v>
      </c>
      <c r="D129" s="7">
        <f t="shared" si="9"/>
        <v>0.94376219612272039</v>
      </c>
      <c r="E129">
        <f t="shared" si="6"/>
        <v>0</v>
      </c>
      <c r="F129" s="7">
        <f>_xll.acq_special_erfc(B129)</f>
        <v>5.6237803877279571E-2</v>
      </c>
      <c r="G129" s="7">
        <f t="shared" si="10"/>
        <v>5.6237803877279571E-2</v>
      </c>
      <c r="H129">
        <f t="shared" si="7"/>
        <v>0</v>
      </c>
      <c r="I129" s="7">
        <f>_xll.acq_special_normalcdf(B129)</f>
        <v>0.91149200856259482</v>
      </c>
      <c r="J129" s="7">
        <f t="shared" si="11"/>
        <v>0.91149200856259482</v>
      </c>
      <c r="K129">
        <f t="shared" si="8"/>
        <v>0</v>
      </c>
    </row>
    <row r="130" spans="2:11" x14ac:dyDescent="0.25">
      <c r="B130">
        <v>1.3999999999999799</v>
      </c>
      <c r="C130" s="7">
        <f>_xll.acq_special_erf(B130)</f>
        <v>0.95228511976264563</v>
      </c>
      <c r="D130" s="7">
        <f t="shared" si="9"/>
        <v>0.95228511976264563</v>
      </c>
      <c r="E130">
        <f t="shared" ref="E130:E193" si="12">ABS(C130-D130)</f>
        <v>0</v>
      </c>
      <c r="F130" s="7">
        <f>_xll.acq_special_erfc(B130)</f>
        <v>4.7714880237354373E-2</v>
      </c>
      <c r="G130" s="7">
        <f t="shared" si="10"/>
        <v>4.7714880237354373E-2</v>
      </c>
      <c r="H130">
        <f t="shared" ref="H130:H193" si="13">ABS(F130-G130)</f>
        <v>0</v>
      </c>
      <c r="I130" s="7">
        <f>_xll.acq_special_normalcdf(B130)</f>
        <v>0.91924334076622594</v>
      </c>
      <c r="J130" s="7">
        <f t="shared" si="11"/>
        <v>0.91924334076622594</v>
      </c>
      <c r="K130">
        <f t="shared" ref="K130:K193" si="14">ABS(I130-J130)</f>
        <v>0</v>
      </c>
    </row>
    <row r="131" spans="2:11" x14ac:dyDescent="0.25">
      <c r="B131">
        <v>1.44999999999998</v>
      </c>
      <c r="C131" s="7">
        <f>_xll.acq_special_erf(B131)</f>
        <v>0.95969502563745646</v>
      </c>
      <c r="D131" s="7">
        <f t="shared" ref="D131:D194" si="15">_xlfn.ERF.PRECISE(B131)</f>
        <v>0.95969502563745646</v>
      </c>
      <c r="E131">
        <f t="shared" si="12"/>
        <v>0</v>
      </c>
      <c r="F131" s="7">
        <f>_xll.acq_special_erfc(B131)</f>
        <v>4.030497436254353E-2</v>
      </c>
      <c r="G131" s="7">
        <f t="shared" ref="G131:G194" si="16">_xlfn.ERFC.PRECISE(B131)</f>
        <v>4.030497436254353E-2</v>
      </c>
      <c r="H131">
        <f t="shared" si="13"/>
        <v>0</v>
      </c>
      <c r="I131" s="7">
        <f>_xll.acq_special_normalcdf(B131)</f>
        <v>0.92647074039034893</v>
      </c>
      <c r="J131" s="7">
        <f t="shared" ref="J131:J194" si="17">_xlfn.NORM.S.DIST(B131,TRUE)</f>
        <v>0.92647074039034893</v>
      </c>
      <c r="K131">
        <f t="shared" si="14"/>
        <v>0</v>
      </c>
    </row>
    <row r="132" spans="2:11" x14ac:dyDescent="0.25">
      <c r="B132">
        <v>1.49999999999998</v>
      </c>
      <c r="C132" s="7">
        <f>_xll.acq_special_erf(B132)</f>
        <v>0.96610514647530832</v>
      </c>
      <c r="D132" s="7">
        <f t="shared" si="15"/>
        <v>0.96610514647530832</v>
      </c>
      <c r="E132">
        <f t="shared" si="12"/>
        <v>0</v>
      </c>
      <c r="F132" s="7">
        <f>_xll.acq_special_erfc(B132)</f>
        <v>3.3894853524691647E-2</v>
      </c>
      <c r="G132" s="7">
        <f t="shared" si="16"/>
        <v>3.3894853524691654E-2</v>
      </c>
      <c r="H132">
        <f t="shared" si="13"/>
        <v>6.9388939039072284E-18</v>
      </c>
      <c r="I132" s="7">
        <f>_xll.acq_special_normalcdf(B132)</f>
        <v>0.93319279873113936</v>
      </c>
      <c r="J132" s="7">
        <f t="shared" si="17"/>
        <v>0.93319279873113936</v>
      </c>
      <c r="K132">
        <f t="shared" si="14"/>
        <v>0</v>
      </c>
    </row>
    <row r="133" spans="2:11" x14ac:dyDescent="0.25">
      <c r="B133">
        <v>1.5499999999999801</v>
      </c>
      <c r="C133" s="7">
        <f>_xll.acq_special_erf(B133)</f>
        <v>0.97162273326201054</v>
      </c>
      <c r="D133" s="7">
        <f t="shared" si="15"/>
        <v>0.97162273326201054</v>
      </c>
      <c r="E133">
        <f t="shared" si="12"/>
        <v>0</v>
      </c>
      <c r="F133" s="7">
        <f>_xll.acq_special_erfc(B133)</f>
        <v>2.8377266737989501E-2</v>
      </c>
      <c r="G133" s="7">
        <f t="shared" si="16"/>
        <v>2.8377266737989505E-2</v>
      </c>
      <c r="H133">
        <f t="shared" si="13"/>
        <v>3.4694469519536142E-18</v>
      </c>
      <c r="I133" s="7">
        <f>_xll.acq_special_normalcdf(B133)</f>
        <v>0.93942924199793865</v>
      </c>
      <c r="J133" s="7">
        <f t="shared" si="17"/>
        <v>0.93942924199793865</v>
      </c>
      <c r="K133">
        <f t="shared" si="14"/>
        <v>0</v>
      </c>
    </row>
    <row r="134" spans="2:11" x14ac:dyDescent="0.25">
      <c r="B134">
        <v>1.5999999999999801</v>
      </c>
      <c r="C134" s="7">
        <f>_xll.acq_special_erf(B134)</f>
        <v>0.97634838334464225</v>
      </c>
      <c r="D134" s="7">
        <f t="shared" si="15"/>
        <v>0.97634838334464225</v>
      </c>
      <c r="E134">
        <f t="shared" si="12"/>
        <v>0</v>
      </c>
      <c r="F134" s="7">
        <f>_xll.acq_special_erfc(B134)</f>
        <v>2.3651616655357723E-2</v>
      </c>
      <c r="G134" s="7">
        <f t="shared" si="16"/>
        <v>2.3651616655357727E-2</v>
      </c>
      <c r="H134">
        <f t="shared" si="13"/>
        <v>3.4694469519536142E-18</v>
      </c>
      <c r="I134" s="7">
        <f>_xll.acq_special_normalcdf(B134)</f>
        <v>0.94520070830043978</v>
      </c>
      <c r="J134" s="7">
        <f t="shared" si="17"/>
        <v>0.94520070830043978</v>
      </c>
      <c r="K134">
        <f t="shared" si="14"/>
        <v>0</v>
      </c>
    </row>
    <row r="135" spans="2:11" x14ac:dyDescent="0.25">
      <c r="B135">
        <v>1.6499999999999799</v>
      </c>
      <c r="C135" s="7">
        <f>_xll.acq_special_erf(B135)</f>
        <v>0.98037558502335886</v>
      </c>
      <c r="D135" s="7">
        <f t="shared" si="15"/>
        <v>0.98037558502335886</v>
      </c>
      <c r="E135">
        <f t="shared" si="12"/>
        <v>0</v>
      </c>
      <c r="F135" s="7">
        <f>_xll.acq_special_erfc(B135)</f>
        <v>1.9624414976641191E-2</v>
      </c>
      <c r="G135" s="7">
        <f t="shared" si="16"/>
        <v>1.9624414976641184E-2</v>
      </c>
      <c r="H135">
        <f t="shared" si="13"/>
        <v>6.9388939039072284E-18</v>
      </c>
      <c r="I135" s="7">
        <f>_xll.acq_special_normalcdf(B135)</f>
        <v>0.9505285319663499</v>
      </c>
      <c r="J135" s="7">
        <f t="shared" si="17"/>
        <v>0.9505285319663499</v>
      </c>
      <c r="K135">
        <f t="shared" si="14"/>
        <v>0</v>
      </c>
    </row>
    <row r="136" spans="2:11" x14ac:dyDescent="0.25">
      <c r="B136">
        <v>1.69999999999998</v>
      </c>
      <c r="C136" s="7">
        <f>_xll.acq_special_erf(B136)</f>
        <v>0.9837904585907733</v>
      </c>
      <c r="D136" s="7">
        <f t="shared" si="15"/>
        <v>0.9837904585907733</v>
      </c>
      <c r="E136">
        <f t="shared" si="12"/>
        <v>0</v>
      </c>
      <c r="F136" s="7">
        <f>_xll.acq_special_erfc(B136)</f>
        <v>1.6209541409226695E-2</v>
      </c>
      <c r="G136" s="7">
        <f t="shared" si="16"/>
        <v>1.6209541409226695E-2</v>
      </c>
      <c r="H136">
        <f t="shared" si="13"/>
        <v>0</v>
      </c>
      <c r="I136" s="7">
        <f>_xll.acq_special_normalcdf(B136)</f>
        <v>0.95543453724145511</v>
      </c>
      <c r="J136" s="7">
        <f t="shared" si="17"/>
        <v>0.95543453724145511</v>
      </c>
      <c r="K136">
        <f t="shared" si="14"/>
        <v>0</v>
      </c>
    </row>
    <row r="137" spans="2:11" x14ac:dyDescent="0.25">
      <c r="B137">
        <v>1.74999999999998</v>
      </c>
      <c r="C137" s="7">
        <f>_xll.acq_special_erf(B137)</f>
        <v>0.98667167121918142</v>
      </c>
      <c r="D137" s="7">
        <f t="shared" si="15"/>
        <v>0.98667167121918142</v>
      </c>
      <c r="E137">
        <f t="shared" si="12"/>
        <v>0</v>
      </c>
      <c r="F137" s="7">
        <f>_xll.acq_special_erfc(B137)</f>
        <v>1.3328328780818608E-2</v>
      </c>
      <c r="G137" s="7">
        <f t="shared" si="16"/>
        <v>1.3328328780818612E-2</v>
      </c>
      <c r="H137">
        <f t="shared" si="13"/>
        <v>3.4694469519536142E-18</v>
      </c>
      <c r="I137" s="7">
        <f>_xll.acq_special_normalcdf(B137)</f>
        <v>0.95994084313618122</v>
      </c>
      <c r="J137" s="7">
        <f t="shared" si="17"/>
        <v>0.95994084313618122</v>
      </c>
      <c r="K137">
        <f t="shared" si="14"/>
        <v>0</v>
      </c>
    </row>
    <row r="138" spans="2:11" x14ac:dyDescent="0.25">
      <c r="B138">
        <v>1.7999999999999801</v>
      </c>
      <c r="C138" s="7">
        <f>_xll.acq_special_erf(B138)</f>
        <v>0.98909050163572987</v>
      </c>
      <c r="D138" s="7">
        <f t="shared" si="15"/>
        <v>0.98909050163572987</v>
      </c>
      <c r="E138">
        <f t="shared" si="12"/>
        <v>0</v>
      </c>
      <c r="F138" s="7">
        <f>_xll.acq_special_erfc(B138)</f>
        <v>1.0909498364270166E-2</v>
      </c>
      <c r="G138" s="7">
        <f t="shared" si="16"/>
        <v>1.0909498364270163E-2</v>
      </c>
      <c r="H138">
        <f t="shared" si="13"/>
        <v>3.4694469519536142E-18</v>
      </c>
      <c r="I138" s="7">
        <f>_xll.acq_special_normalcdf(B138)</f>
        <v>0.96406968088707257</v>
      </c>
      <c r="J138" s="7">
        <f t="shared" si="17"/>
        <v>0.96406968088707268</v>
      </c>
      <c r="K138">
        <f t="shared" si="14"/>
        <v>1.1102230246251565E-16</v>
      </c>
    </row>
    <row r="139" spans="2:11" x14ac:dyDescent="0.25">
      <c r="B139">
        <v>1.8499999999999801</v>
      </c>
      <c r="C139" s="7">
        <f>_xll.acq_special_erf(B139)</f>
        <v>0.99111103005608503</v>
      </c>
      <c r="D139" s="7">
        <f t="shared" si="15"/>
        <v>0.99111103005608503</v>
      </c>
      <c r="E139">
        <f t="shared" si="12"/>
        <v>0</v>
      </c>
      <c r="F139" s="7">
        <f>_xll.acq_special_erfc(B139)</f>
        <v>8.888969943915026E-3</v>
      </c>
      <c r="G139" s="7">
        <f t="shared" si="16"/>
        <v>8.888969943915026E-3</v>
      </c>
      <c r="H139">
        <f t="shared" si="13"/>
        <v>0</v>
      </c>
      <c r="I139" s="7">
        <f>_xll.acq_special_normalcdf(B139)</f>
        <v>0.96784322520438482</v>
      </c>
      <c r="J139" s="7">
        <f t="shared" si="17"/>
        <v>0.96784322520438493</v>
      </c>
      <c r="K139">
        <f t="shared" si="14"/>
        <v>1.1102230246251565E-16</v>
      </c>
    </row>
    <row r="140" spans="2:11" x14ac:dyDescent="0.25">
      <c r="B140">
        <v>1.8999999999999799</v>
      </c>
      <c r="C140" s="7">
        <f>_xll.acq_special_erf(B140)</f>
        <v>0.99279042923525684</v>
      </c>
      <c r="D140" s="7">
        <f t="shared" si="15"/>
        <v>0.99279042923525684</v>
      </c>
      <c r="E140">
        <f t="shared" si="12"/>
        <v>0</v>
      </c>
      <c r="F140" s="7">
        <f>_xll.acq_special_erfc(B140)</f>
        <v>7.2095707647431406E-3</v>
      </c>
      <c r="G140" s="7">
        <f t="shared" si="16"/>
        <v>7.2095707647431388E-3</v>
      </c>
      <c r="H140">
        <f t="shared" si="13"/>
        <v>1.7347234759768071E-18</v>
      </c>
      <c r="I140" s="7">
        <f>_xll.acq_special_normalcdf(B140)</f>
        <v>0.97128344018399693</v>
      </c>
      <c r="J140" s="7">
        <f t="shared" si="17"/>
        <v>0.97128344018399693</v>
      </c>
      <c r="K140">
        <f t="shared" si="14"/>
        <v>0</v>
      </c>
    </row>
    <row r="141" spans="2:11" x14ac:dyDescent="0.25">
      <c r="B141">
        <v>1.94999999999998</v>
      </c>
      <c r="C141" s="7">
        <f>_xll.acq_special_erf(B141)</f>
        <v>0.99417933359218857</v>
      </c>
      <c r="D141" s="7">
        <f t="shared" si="15"/>
        <v>0.99417933359218857</v>
      </c>
      <c r="E141">
        <f t="shared" si="12"/>
        <v>0</v>
      </c>
      <c r="F141" s="7">
        <f>_xll.acq_special_erfc(B141)</f>
        <v>5.820666407811384E-3</v>
      </c>
      <c r="G141" s="7">
        <f t="shared" si="16"/>
        <v>5.820666407811384E-3</v>
      </c>
      <c r="H141">
        <f t="shared" si="13"/>
        <v>0</v>
      </c>
      <c r="I141" s="7">
        <f>_xll.acq_special_normalcdf(B141)</f>
        <v>0.97441194047836022</v>
      </c>
      <c r="J141" s="7">
        <f t="shared" si="17"/>
        <v>0.97441194047836022</v>
      </c>
      <c r="K141">
        <f t="shared" si="14"/>
        <v>0</v>
      </c>
    </row>
    <row r="142" spans="2:11" x14ac:dyDescent="0.25">
      <c r="B142">
        <v>1.99999999999998</v>
      </c>
      <c r="C142" s="7">
        <f>_xll.acq_special_erf(B142)</f>
        <v>0.99532226501895227</v>
      </c>
      <c r="D142" s="7">
        <f t="shared" si="15"/>
        <v>0.99532226501895227</v>
      </c>
      <c r="E142">
        <f t="shared" si="12"/>
        <v>0</v>
      </c>
      <c r="F142" s="7">
        <f>_xll.acq_special_erfc(B142)</f>
        <v>4.6777349810476774E-3</v>
      </c>
      <c r="G142" s="7">
        <f t="shared" si="16"/>
        <v>4.6777349810476782E-3</v>
      </c>
      <c r="H142">
        <f t="shared" si="13"/>
        <v>8.6736173798840355E-19</v>
      </c>
      <c r="I142" s="7">
        <f>_xll.acq_special_normalcdf(B142)</f>
        <v>0.97724986805181968</v>
      </c>
      <c r="J142" s="7">
        <f t="shared" si="17"/>
        <v>0.97724986805181968</v>
      </c>
      <c r="K142">
        <f t="shared" si="14"/>
        <v>0</v>
      </c>
    </row>
    <row r="143" spans="2:11" x14ac:dyDescent="0.25">
      <c r="B143">
        <v>2.0499999999999701</v>
      </c>
      <c r="C143" s="7">
        <f>_xll.acq_special_erf(B143)</f>
        <v>0.99625809604445636</v>
      </c>
      <c r="D143" s="7">
        <f t="shared" si="15"/>
        <v>0.99625809604445636</v>
      </c>
      <c r="E143">
        <f t="shared" si="12"/>
        <v>0</v>
      </c>
      <c r="F143" s="7">
        <f>_xll.acq_special_erfc(B143)</f>
        <v>3.741903955543632E-3</v>
      </c>
      <c r="G143" s="7">
        <f t="shared" si="16"/>
        <v>3.7419039555436316E-3</v>
      </c>
      <c r="H143">
        <f t="shared" si="13"/>
        <v>4.3368086899420177E-19</v>
      </c>
      <c r="I143" s="7">
        <f>_xll.acq_special_normalcdf(B143)</f>
        <v>0.97981778459429414</v>
      </c>
      <c r="J143" s="7">
        <f t="shared" si="17"/>
        <v>0.97981778459429414</v>
      </c>
      <c r="K143">
        <f t="shared" si="14"/>
        <v>0</v>
      </c>
    </row>
    <row r="144" spans="2:11" x14ac:dyDescent="0.25">
      <c r="B144">
        <v>2.0999999999999699</v>
      </c>
      <c r="C144" s="7">
        <f>_xll.acq_special_erf(B144)</f>
        <v>0.99702053334366658</v>
      </c>
      <c r="D144" s="7">
        <f t="shared" si="15"/>
        <v>0.99702053334366658</v>
      </c>
      <c r="E144">
        <f t="shared" si="12"/>
        <v>0</v>
      </c>
      <c r="F144" s="7">
        <f>_xll.acq_special_erfc(B144)</f>
        <v>2.9794666563333996E-3</v>
      </c>
      <c r="G144" s="7">
        <f t="shared" si="16"/>
        <v>2.9794666563333987E-3</v>
      </c>
      <c r="H144">
        <f t="shared" si="13"/>
        <v>8.6736173798840355E-19</v>
      </c>
      <c r="I144" s="7">
        <f>_xll.acq_special_normalcdf(B144)</f>
        <v>0.9821355794371821</v>
      </c>
      <c r="J144" s="7">
        <f t="shared" si="17"/>
        <v>0.9821355794371821</v>
      </c>
      <c r="K144">
        <f t="shared" si="14"/>
        <v>0</v>
      </c>
    </row>
    <row r="145" spans="2:11" x14ac:dyDescent="0.25">
      <c r="B145">
        <v>2.1499999999999702</v>
      </c>
      <c r="C145" s="7">
        <f>_xll.acq_special_erf(B145)</f>
        <v>0.99763860703732499</v>
      </c>
      <c r="D145" s="7">
        <f t="shared" si="15"/>
        <v>0.99763860703732499</v>
      </c>
      <c r="E145">
        <f t="shared" si="12"/>
        <v>0</v>
      </c>
      <c r="F145" s="7">
        <f>_xll.acq_special_erfc(B145)</f>
        <v>2.3613929626749861E-3</v>
      </c>
      <c r="G145" s="7">
        <f t="shared" si="16"/>
        <v>2.3613929626749857E-3</v>
      </c>
      <c r="H145">
        <f t="shared" si="13"/>
        <v>4.3368086899420177E-19</v>
      </c>
      <c r="I145" s="7">
        <f>_xll.acq_special_normalcdf(B145)</f>
        <v>0.98422239260890831</v>
      </c>
      <c r="J145" s="7">
        <f t="shared" si="17"/>
        <v>0.98422239260890831</v>
      </c>
      <c r="K145">
        <f t="shared" si="14"/>
        <v>0</v>
      </c>
    </row>
    <row r="146" spans="2:11" x14ac:dyDescent="0.25">
      <c r="B146">
        <v>2.19999999999997</v>
      </c>
      <c r="C146" s="7">
        <f>_xll.acq_special_erf(B146)</f>
        <v>0.99813715370201783</v>
      </c>
      <c r="D146" s="7">
        <f t="shared" si="15"/>
        <v>0.99813715370201783</v>
      </c>
      <c r="E146">
        <f t="shared" si="12"/>
        <v>0</v>
      </c>
      <c r="F146" s="7">
        <f>_xll.acq_special_erfc(B146)</f>
        <v>1.86284629798216E-3</v>
      </c>
      <c r="G146" s="7">
        <f t="shared" si="16"/>
        <v>1.8628462979821602E-3</v>
      </c>
      <c r="H146">
        <f t="shared" si="13"/>
        <v>2.1684043449710089E-19</v>
      </c>
      <c r="I146" s="7">
        <f>_xll.acq_special_normalcdf(B146)</f>
        <v>0.9860965524865003</v>
      </c>
      <c r="J146" s="7">
        <f t="shared" si="17"/>
        <v>0.9860965524865003</v>
      </c>
      <c r="K146">
        <f t="shared" si="14"/>
        <v>0</v>
      </c>
    </row>
    <row r="147" spans="2:11" x14ac:dyDescent="0.25">
      <c r="B147">
        <v>2.2499999999999698</v>
      </c>
      <c r="C147" s="7">
        <f>_xll.acq_special_erf(B147)</f>
        <v>0.9985372834133186</v>
      </c>
      <c r="D147" s="7">
        <f t="shared" si="15"/>
        <v>0.9985372834133186</v>
      </c>
      <c r="E147">
        <f t="shared" si="12"/>
        <v>0</v>
      </c>
      <c r="F147" s="7">
        <f>_xll.acq_special_erfc(B147)</f>
        <v>1.4627165866813675E-3</v>
      </c>
      <c r="G147" s="7">
        <f t="shared" si="16"/>
        <v>1.4627165866813675E-3</v>
      </c>
      <c r="H147">
        <f t="shared" si="13"/>
        <v>0</v>
      </c>
      <c r="I147" s="7">
        <f>_xll.acq_special_normalcdf(B147)</f>
        <v>0.98777552734495433</v>
      </c>
      <c r="J147" s="7">
        <f t="shared" si="17"/>
        <v>0.98777552734495433</v>
      </c>
      <c r="K147">
        <f t="shared" si="14"/>
        <v>0</v>
      </c>
    </row>
    <row r="148" spans="2:11" x14ac:dyDescent="0.25">
      <c r="B148">
        <v>2.2999999999999701</v>
      </c>
      <c r="C148" s="7">
        <f>_xll.acq_special_erf(B148)</f>
        <v>0.99885682340264315</v>
      </c>
      <c r="D148" s="7">
        <f t="shared" si="15"/>
        <v>0.99885682340264315</v>
      </c>
      <c r="E148">
        <f t="shared" si="12"/>
        <v>0</v>
      </c>
      <c r="F148" s="7">
        <f>_xll.acq_special_erfc(B148)</f>
        <v>1.1431765973568216E-3</v>
      </c>
      <c r="G148" s="7">
        <f t="shared" si="16"/>
        <v>1.1431765973568219E-3</v>
      </c>
      <c r="H148">
        <f t="shared" si="13"/>
        <v>2.1684043449710089E-19</v>
      </c>
      <c r="I148" s="7">
        <f>_xll.acq_special_normalcdf(B148)</f>
        <v>0.98927588997832339</v>
      </c>
      <c r="J148" s="7">
        <f t="shared" si="17"/>
        <v>0.98927588997832339</v>
      </c>
      <c r="K148">
        <f t="shared" si="14"/>
        <v>0</v>
      </c>
    </row>
    <row r="149" spans="2:11" x14ac:dyDescent="0.25">
      <c r="B149">
        <v>2.3499999999999699</v>
      </c>
      <c r="C149" s="7">
        <f>_xll.acq_special_erf(B149)</f>
        <v>0.99911073296786745</v>
      </c>
      <c r="D149" s="7">
        <f t="shared" si="15"/>
        <v>0.99911073296786745</v>
      </c>
      <c r="E149">
        <f t="shared" si="12"/>
        <v>0</v>
      </c>
      <c r="F149" s="7">
        <f>_xll.acq_special_erfc(B149)</f>
        <v>8.8926703213259065E-4</v>
      </c>
      <c r="G149" s="7">
        <f t="shared" si="16"/>
        <v>8.8926703213259065E-4</v>
      </c>
      <c r="H149">
        <f t="shared" si="13"/>
        <v>0</v>
      </c>
      <c r="I149" s="7">
        <f>_xll.acq_special_normalcdf(B149)</f>
        <v>0.99061329446516067</v>
      </c>
      <c r="J149" s="7">
        <f t="shared" si="17"/>
        <v>0.99061329446516067</v>
      </c>
      <c r="K149">
        <f t="shared" si="14"/>
        <v>0</v>
      </c>
    </row>
    <row r="150" spans="2:11" x14ac:dyDescent="0.25">
      <c r="B150">
        <v>2.3999999999999702</v>
      </c>
      <c r="C150" s="7">
        <f>_xll.acq_special_erf(B150)</f>
        <v>0.99931148610335485</v>
      </c>
      <c r="D150" s="7">
        <f t="shared" si="15"/>
        <v>0.99931148610335485</v>
      </c>
      <c r="E150">
        <f t="shared" si="12"/>
        <v>0</v>
      </c>
      <c r="F150" s="7">
        <f>_xll.acq_special_erfc(B150)</f>
        <v>6.8851389664518461E-4</v>
      </c>
      <c r="G150" s="7">
        <f t="shared" si="16"/>
        <v>6.8851389664518461E-4</v>
      </c>
      <c r="H150">
        <f t="shared" si="13"/>
        <v>0</v>
      </c>
      <c r="I150" s="7">
        <f>_xll.acq_special_normalcdf(B150)</f>
        <v>0.99180246407540318</v>
      </c>
      <c r="J150" s="7">
        <f t="shared" si="17"/>
        <v>0.99180246407540318</v>
      </c>
      <c r="K150">
        <f t="shared" si="14"/>
        <v>0</v>
      </c>
    </row>
    <row r="151" spans="2:11" x14ac:dyDescent="0.25">
      <c r="B151">
        <v>2.44999999999997</v>
      </c>
      <c r="C151" s="7">
        <f>_xll.acq_special_erf(B151)</f>
        <v>0.99946941988774884</v>
      </c>
      <c r="D151" s="7">
        <f t="shared" si="15"/>
        <v>0.99946941988774884</v>
      </c>
      <c r="E151">
        <f t="shared" si="12"/>
        <v>0</v>
      </c>
      <c r="F151" s="7">
        <f>_xll.acq_special_erfc(B151)</f>
        <v>5.3058011225113808E-4</v>
      </c>
      <c r="G151" s="7">
        <f t="shared" si="16"/>
        <v>5.3058011225113819E-4</v>
      </c>
      <c r="H151">
        <f t="shared" si="13"/>
        <v>1.0842021724855044E-19</v>
      </c>
      <c r="I151" s="7">
        <f>_xll.acq_special_normalcdf(B151)</f>
        <v>0.99285718926472799</v>
      </c>
      <c r="J151" s="7">
        <f t="shared" si="17"/>
        <v>0.99285718926472799</v>
      </c>
      <c r="K151">
        <f t="shared" si="14"/>
        <v>0</v>
      </c>
    </row>
    <row r="152" spans="2:11" x14ac:dyDescent="0.25">
      <c r="B152">
        <v>2.4999999999999698</v>
      </c>
      <c r="C152" s="7">
        <f>_xll.acq_special_erf(B152)</f>
        <v>0.99959304798255499</v>
      </c>
      <c r="D152" s="7">
        <f t="shared" si="15"/>
        <v>0.99959304798255499</v>
      </c>
      <c r="E152">
        <f t="shared" si="12"/>
        <v>0</v>
      </c>
      <c r="F152" s="7">
        <f>_xll.acq_special_erfc(B152)</f>
        <v>4.0695201744502468E-4</v>
      </c>
      <c r="G152" s="7">
        <f t="shared" si="16"/>
        <v>4.0695201744502468E-4</v>
      </c>
      <c r="H152">
        <f t="shared" si="13"/>
        <v>0</v>
      </c>
      <c r="I152" s="7">
        <f>_xll.acq_special_normalcdf(B152)</f>
        <v>0.99379033467422329</v>
      </c>
      <c r="J152" s="7">
        <f t="shared" si="17"/>
        <v>0.99379033467422329</v>
      </c>
      <c r="K152">
        <f t="shared" si="14"/>
        <v>0</v>
      </c>
    </row>
    <row r="153" spans="2:11" x14ac:dyDescent="0.25">
      <c r="B153">
        <v>2.5499999999999701</v>
      </c>
      <c r="C153" s="7">
        <f>_xll.acq_special_erf(B153)</f>
        <v>0.99968933965736073</v>
      </c>
      <c r="D153" s="7">
        <f t="shared" si="15"/>
        <v>0.99968933965736073</v>
      </c>
      <c r="E153">
        <f t="shared" si="12"/>
        <v>0</v>
      </c>
      <c r="F153" s="7">
        <f>_xll.acq_special_erfc(B153)</f>
        <v>3.1066034263924102E-4</v>
      </c>
      <c r="G153" s="7">
        <f t="shared" si="16"/>
        <v>3.1066034263924107E-4</v>
      </c>
      <c r="H153">
        <f t="shared" si="13"/>
        <v>5.4210108624275222E-20</v>
      </c>
      <c r="I153" s="7">
        <f>_xll.acq_special_normalcdf(B153)</f>
        <v>0.99461385404593283</v>
      </c>
      <c r="J153" s="7">
        <f t="shared" si="17"/>
        <v>0.99461385404593283</v>
      </c>
      <c r="K153">
        <f t="shared" si="14"/>
        <v>0</v>
      </c>
    </row>
    <row r="154" spans="2:11" x14ac:dyDescent="0.25">
      <c r="B154">
        <v>2.5999999999999699</v>
      </c>
      <c r="C154" s="7">
        <f>_xll.acq_special_erf(B154)</f>
        <v>0.99976396558347058</v>
      </c>
      <c r="D154" s="7">
        <f t="shared" si="15"/>
        <v>0.99976396558347058</v>
      </c>
      <c r="E154">
        <f t="shared" si="12"/>
        <v>0</v>
      </c>
      <c r="F154" s="7">
        <f>_xll.acq_special_erfc(B154)</f>
        <v>2.3603441652938855E-4</v>
      </c>
      <c r="G154" s="7">
        <f t="shared" si="16"/>
        <v>2.360344165293886E-4</v>
      </c>
      <c r="H154">
        <f t="shared" si="13"/>
        <v>5.4210108624275222E-20</v>
      </c>
      <c r="I154" s="7">
        <f>_xll.acq_special_normalcdf(B154)</f>
        <v>0.99533881197628082</v>
      </c>
      <c r="J154" s="7">
        <f t="shared" si="17"/>
        <v>0.99533881197628082</v>
      </c>
      <c r="K154">
        <f t="shared" si="14"/>
        <v>0</v>
      </c>
    </row>
    <row r="155" spans="2:11" x14ac:dyDescent="0.25">
      <c r="B155">
        <v>2.6499999999999702</v>
      </c>
      <c r="C155" s="7">
        <f>_xll.acq_special_erf(B155)</f>
        <v>0.999821512247976</v>
      </c>
      <c r="D155" s="7">
        <f t="shared" si="15"/>
        <v>0.999821512247976</v>
      </c>
      <c r="E155">
        <f t="shared" si="12"/>
        <v>0</v>
      </c>
      <c r="F155" s="7">
        <f>_xll.acq_special_erfc(B155)</f>
        <v>1.784877520240309E-4</v>
      </c>
      <c r="G155" s="7">
        <f t="shared" si="16"/>
        <v>1.784877520240309E-4</v>
      </c>
      <c r="H155">
        <f t="shared" si="13"/>
        <v>0</v>
      </c>
      <c r="I155" s="7">
        <f>_xll.acq_special_normalcdf(B155)</f>
        <v>0.99597541145724133</v>
      </c>
      <c r="J155" s="7">
        <f t="shared" si="17"/>
        <v>0.99597541145724133</v>
      </c>
      <c r="K155">
        <f t="shared" si="14"/>
        <v>0</v>
      </c>
    </row>
    <row r="156" spans="2:11" x14ac:dyDescent="0.25">
      <c r="B156">
        <v>2.69999999999997</v>
      </c>
      <c r="C156" s="7">
        <f>_xll.acq_special_erf(B156)</f>
        <v>0.99986566726005943</v>
      </c>
      <c r="D156" s="7">
        <f t="shared" si="15"/>
        <v>0.99986566726005943</v>
      </c>
      <c r="E156">
        <f t="shared" si="12"/>
        <v>0</v>
      </c>
      <c r="F156" s="7">
        <f>_xll.acq_special_erfc(B156)</f>
        <v>1.3433273994054747E-4</v>
      </c>
      <c r="G156" s="7">
        <f t="shared" si="16"/>
        <v>1.343327399405475E-4</v>
      </c>
      <c r="H156">
        <f t="shared" si="13"/>
        <v>2.7105054312137611E-20</v>
      </c>
      <c r="I156" s="7">
        <f>_xll.acq_special_normalcdf(B156)</f>
        <v>0.99653302619695905</v>
      </c>
      <c r="J156" s="7">
        <f t="shared" si="17"/>
        <v>0.99653302619695905</v>
      </c>
      <c r="K156">
        <f t="shared" si="14"/>
        <v>0</v>
      </c>
    </row>
    <row r="157" spans="2:11" x14ac:dyDescent="0.25">
      <c r="B157">
        <v>2.7499999999999698</v>
      </c>
      <c r="C157" s="7">
        <f>_xll.acq_special_erf(B157)</f>
        <v>0.99989937807788032</v>
      </c>
      <c r="D157" s="7">
        <f t="shared" si="15"/>
        <v>0.99989937807788032</v>
      </c>
      <c r="E157">
        <f t="shared" si="12"/>
        <v>0</v>
      </c>
      <c r="F157" s="7">
        <f>_xll.acq_special_erfc(B157)</f>
        <v>1.0062192211965452E-4</v>
      </c>
      <c r="G157" s="7">
        <f t="shared" si="16"/>
        <v>1.0062192211965454E-4</v>
      </c>
      <c r="H157">
        <f t="shared" si="13"/>
        <v>2.7105054312137611E-20</v>
      </c>
      <c r="I157" s="7">
        <f>_xll.acq_special_normalcdf(B157)</f>
        <v>0.99702023676494522</v>
      </c>
      <c r="J157" s="7">
        <f t="shared" si="17"/>
        <v>0.99702023676494522</v>
      </c>
      <c r="K157">
        <f t="shared" si="14"/>
        <v>0</v>
      </c>
    </row>
    <row r="158" spans="2:11" x14ac:dyDescent="0.25">
      <c r="B158">
        <v>2.7999999999999701</v>
      </c>
      <c r="C158" s="7">
        <f>_xll.acq_special_erf(B158)</f>
        <v>0.99992498680533448</v>
      </c>
      <c r="D158" s="7">
        <f t="shared" si="15"/>
        <v>0.99992498680533448</v>
      </c>
      <c r="E158">
        <f t="shared" si="12"/>
        <v>0</v>
      </c>
      <c r="F158" s="7">
        <f>_xll.acq_special_erfc(B158)</f>
        <v>7.5013194665472362E-5</v>
      </c>
      <c r="G158" s="7">
        <f t="shared" si="16"/>
        <v>7.5013194665472362E-5</v>
      </c>
      <c r="H158">
        <f t="shared" si="13"/>
        <v>0</v>
      </c>
      <c r="I158" s="7">
        <f>_xll.acq_special_normalcdf(B158)</f>
        <v>0.9974448696695718</v>
      </c>
      <c r="J158" s="7">
        <f t="shared" si="17"/>
        <v>0.9974448696695718</v>
      </c>
      <c r="K158">
        <f t="shared" si="14"/>
        <v>0</v>
      </c>
    </row>
    <row r="159" spans="2:11" x14ac:dyDescent="0.25">
      <c r="B159">
        <v>2.8499999999999699</v>
      </c>
      <c r="C159" s="7">
        <f>_xll.acq_special_erf(B159)</f>
        <v>0.9999443437200386</v>
      </c>
      <c r="D159" s="7">
        <f t="shared" si="15"/>
        <v>0.9999443437200386</v>
      </c>
      <c r="E159">
        <f t="shared" si="12"/>
        <v>0</v>
      </c>
      <c r="F159" s="7">
        <f>_xll.acq_special_erfc(B159)</f>
        <v>5.5656279961409087E-5</v>
      </c>
      <c r="G159" s="7">
        <f t="shared" si="16"/>
        <v>5.565627996140906E-5</v>
      </c>
      <c r="H159">
        <f t="shared" si="13"/>
        <v>2.7105054312137611E-20</v>
      </c>
      <c r="I159" s="7">
        <f>_xll.acq_special_normalcdf(B159)</f>
        <v>0.99781403854508655</v>
      </c>
      <c r="J159" s="7">
        <f t="shared" si="17"/>
        <v>0.99781403854508655</v>
      </c>
      <c r="K159">
        <f t="shared" si="14"/>
        <v>0</v>
      </c>
    </row>
    <row r="160" spans="2:11" x14ac:dyDescent="0.25">
      <c r="B160">
        <v>2.8999999999999702</v>
      </c>
      <c r="C160" s="7">
        <f>_xll.acq_special_erf(B160)</f>
        <v>0.99995890212190053</v>
      </c>
      <c r="D160" s="7">
        <f t="shared" si="15"/>
        <v>0.99995890212190053</v>
      </c>
      <c r="E160">
        <f t="shared" si="12"/>
        <v>0</v>
      </c>
      <c r="F160" s="7">
        <f>_xll.acq_special_erfc(B160)</f>
        <v>4.1097878099466366E-5</v>
      </c>
      <c r="G160" s="7">
        <f t="shared" si="16"/>
        <v>4.1097878099466359E-5</v>
      </c>
      <c r="H160">
        <f t="shared" si="13"/>
        <v>6.7762635780344027E-21</v>
      </c>
      <c r="I160" s="7">
        <f>_xll.acq_special_normalcdf(B160)</f>
        <v>0.99813418669961573</v>
      </c>
      <c r="J160" s="7">
        <f t="shared" si="17"/>
        <v>0.99813418669961573</v>
      </c>
      <c r="K160">
        <f t="shared" si="14"/>
        <v>0</v>
      </c>
    </row>
    <row r="161" spans="2:11" x14ac:dyDescent="0.25">
      <c r="B161">
        <v>2.94999999999997</v>
      </c>
      <c r="C161" s="7">
        <f>_xll.acq_special_erf(B161)</f>
        <v>0.99996979695793586</v>
      </c>
      <c r="D161" s="7">
        <f t="shared" si="15"/>
        <v>0.99996979695793586</v>
      </c>
      <c r="E161">
        <f t="shared" si="12"/>
        <v>0</v>
      </c>
      <c r="F161" s="7">
        <f>_xll.acq_special_erfc(B161)</f>
        <v>3.0203042064143898E-5</v>
      </c>
      <c r="G161" s="7">
        <f t="shared" si="16"/>
        <v>3.0203042064143891E-5</v>
      </c>
      <c r="H161">
        <f t="shared" si="13"/>
        <v>6.7762635780344027E-21</v>
      </c>
      <c r="I161" s="7">
        <f>_xll.acq_special_normalcdf(B161)</f>
        <v>0.99841113035263496</v>
      </c>
      <c r="J161" s="7">
        <f t="shared" si="17"/>
        <v>0.99841113035263496</v>
      </c>
      <c r="K161">
        <f t="shared" si="14"/>
        <v>0</v>
      </c>
    </row>
    <row r="162" spans="2:11" x14ac:dyDescent="0.25">
      <c r="B162">
        <v>2.9999999999999698</v>
      </c>
      <c r="C162" s="7">
        <f>_xll.acq_special_erf(B162)</f>
        <v>0.99997790950300136</v>
      </c>
      <c r="D162" s="7">
        <f t="shared" si="15"/>
        <v>0.99997790950300136</v>
      </c>
      <c r="E162">
        <f t="shared" si="12"/>
        <v>0</v>
      </c>
      <c r="F162" s="7">
        <f>_xll.acq_special_erfc(B162)</f>
        <v>2.2090496998589649E-5</v>
      </c>
      <c r="G162" s="7">
        <f t="shared" si="16"/>
        <v>2.2090496998589649E-5</v>
      </c>
      <c r="H162">
        <f t="shared" si="13"/>
        <v>0</v>
      </c>
      <c r="I162" s="7">
        <f>_xll.acq_special_normalcdf(B162)</f>
        <v>0.99865010196836979</v>
      </c>
      <c r="J162" s="7">
        <f t="shared" si="17"/>
        <v>0.99865010196836979</v>
      </c>
      <c r="K162">
        <f t="shared" si="14"/>
        <v>0</v>
      </c>
    </row>
    <row r="163" spans="2:11" x14ac:dyDescent="0.25">
      <c r="B163">
        <v>3.0499999999999701</v>
      </c>
      <c r="C163" s="7">
        <f>_xll.acq_special_erf(B163)</f>
        <v>0.99998392017423987</v>
      </c>
      <c r="D163" s="7">
        <f t="shared" si="15"/>
        <v>0.99998392017423987</v>
      </c>
      <c r="E163">
        <f t="shared" si="12"/>
        <v>0</v>
      </c>
      <c r="F163" s="7">
        <f>_xll.acq_special_erfc(B163)</f>
        <v>1.6079825760170064E-5</v>
      </c>
      <c r="G163" s="7">
        <f t="shared" si="16"/>
        <v>1.6079825760170067E-5</v>
      </c>
      <c r="H163">
        <f t="shared" si="13"/>
        <v>3.3881317890172014E-21</v>
      </c>
      <c r="I163" s="7">
        <f>_xll.acq_special_normalcdf(B163)</f>
        <v>0.99885579316897721</v>
      </c>
      <c r="J163" s="7">
        <f t="shared" si="17"/>
        <v>0.99885579316897721</v>
      </c>
      <c r="K163">
        <f t="shared" si="14"/>
        <v>0</v>
      </c>
    </row>
    <row r="164" spans="2:11" x14ac:dyDescent="0.25">
      <c r="B164">
        <v>3.0999999999999699</v>
      </c>
      <c r="C164" s="7">
        <f>_xll.acq_special_erf(B164)</f>
        <v>0.99998835134263275</v>
      </c>
      <c r="D164" s="7">
        <f t="shared" si="15"/>
        <v>0.99998835134263275</v>
      </c>
      <c r="E164">
        <f t="shared" si="12"/>
        <v>0</v>
      </c>
      <c r="F164" s="7">
        <f>_xll.acq_special_erfc(B164)</f>
        <v>1.1648657367201876E-5</v>
      </c>
      <c r="G164" s="7">
        <f t="shared" si="16"/>
        <v>1.1648657367201876E-5</v>
      </c>
      <c r="H164">
        <f t="shared" si="13"/>
        <v>0</v>
      </c>
      <c r="I164" s="7">
        <f>_xll.acq_special_normalcdf(B164)</f>
        <v>0.99903239678678157</v>
      </c>
      <c r="J164" s="7">
        <f t="shared" si="17"/>
        <v>0.99903239678678157</v>
      </c>
      <c r="K164">
        <f t="shared" si="14"/>
        <v>0</v>
      </c>
    </row>
    <row r="165" spans="2:11" x14ac:dyDescent="0.25">
      <c r="B165">
        <v>3.1499999999999702</v>
      </c>
      <c r="C165" s="7">
        <f>_xll.acq_special_erf(B165)</f>
        <v>0.99999160178868474</v>
      </c>
      <c r="D165" s="7">
        <f t="shared" si="15"/>
        <v>0.99999160178868474</v>
      </c>
      <c r="E165">
        <f t="shared" si="12"/>
        <v>0</v>
      </c>
      <c r="F165" s="7">
        <f>_xll.acq_special_erfc(B165)</f>
        <v>8.3982113152175875E-6</v>
      </c>
      <c r="G165" s="7">
        <f t="shared" si="16"/>
        <v>8.3982113152175909E-6</v>
      </c>
      <c r="H165">
        <f t="shared" si="13"/>
        <v>3.3881317890172014E-21</v>
      </c>
      <c r="I165" s="7">
        <f>_xll.acq_special_normalcdf(B165)</f>
        <v>0.99918364768717138</v>
      </c>
      <c r="J165" s="7">
        <f t="shared" si="17"/>
        <v>0.99918364768717138</v>
      </c>
      <c r="K165">
        <f t="shared" si="14"/>
        <v>0</v>
      </c>
    </row>
    <row r="166" spans="2:11" x14ac:dyDescent="0.25">
      <c r="B166">
        <v>3.19999999999997</v>
      </c>
      <c r="C166" s="7">
        <f>_xll.acq_special_erf(B166)</f>
        <v>0.99999397423884828</v>
      </c>
      <c r="D166" s="7">
        <f t="shared" si="15"/>
        <v>0.99999397423884828</v>
      </c>
      <c r="E166">
        <f t="shared" si="12"/>
        <v>0</v>
      </c>
      <c r="F166" s="7">
        <f>_xll.acq_special_erfc(B166)</f>
        <v>6.0257611517633039E-6</v>
      </c>
      <c r="G166" s="7">
        <f t="shared" si="16"/>
        <v>6.0257611517633031E-6</v>
      </c>
      <c r="H166">
        <f t="shared" si="13"/>
        <v>8.4703294725430034E-22</v>
      </c>
      <c r="I166" s="7">
        <f>_xll.acq_special_normalcdf(B166)</f>
        <v>0.99931286206208403</v>
      </c>
      <c r="J166" s="7">
        <f t="shared" si="17"/>
        <v>0.99931286206208403</v>
      </c>
      <c r="K166">
        <f t="shared" si="14"/>
        <v>0</v>
      </c>
    </row>
    <row r="167" spans="2:11" x14ac:dyDescent="0.25">
      <c r="B167">
        <v>3.2499999999999698</v>
      </c>
      <c r="C167" s="7">
        <f>_xll.acq_special_erf(B167)</f>
        <v>0.99999569722053627</v>
      </c>
      <c r="D167" s="7">
        <f t="shared" si="15"/>
        <v>0.99999569722053627</v>
      </c>
      <c r="E167">
        <f t="shared" si="12"/>
        <v>0</v>
      </c>
      <c r="F167" s="7">
        <f>_xll.acq_special_erfc(B167)</f>
        <v>4.3027794636760003E-6</v>
      </c>
      <c r="G167" s="7">
        <f t="shared" si="16"/>
        <v>4.3027794636759995E-6</v>
      </c>
      <c r="H167">
        <f t="shared" si="13"/>
        <v>8.4703294725430034E-22</v>
      </c>
      <c r="I167" s="7">
        <f>_xll.acq_special_normalcdf(B167)</f>
        <v>0.99942297495760912</v>
      </c>
      <c r="J167" s="7">
        <f t="shared" si="17"/>
        <v>0.99942297495760912</v>
      </c>
      <c r="K167">
        <f t="shared" si="14"/>
        <v>0</v>
      </c>
    </row>
    <row r="168" spans="2:11" x14ac:dyDescent="0.25">
      <c r="B168">
        <v>3.2999999999999701</v>
      </c>
      <c r="C168" s="7">
        <f>_xll.acq_special_erf(B168)</f>
        <v>0.99999694229020353</v>
      </c>
      <c r="D168" s="7">
        <f t="shared" si="15"/>
        <v>0.99999694229020353</v>
      </c>
      <c r="E168">
        <f t="shared" si="12"/>
        <v>0</v>
      </c>
      <c r="F168" s="7">
        <f>_xll.acq_special_erfc(B168)</f>
        <v>3.0577097964387931E-6</v>
      </c>
      <c r="G168" s="7">
        <f t="shared" si="16"/>
        <v>3.0577097964387939E-6</v>
      </c>
      <c r="H168">
        <f t="shared" si="13"/>
        <v>8.4703294725430034E-22</v>
      </c>
      <c r="I168" s="7">
        <f>_xll.acq_special_normalcdf(B168)</f>
        <v>0.99951657585761622</v>
      </c>
      <c r="J168" s="7">
        <f t="shared" si="17"/>
        <v>0.99951657585761622</v>
      </c>
      <c r="K168">
        <f t="shared" si="14"/>
        <v>0</v>
      </c>
    </row>
    <row r="169" spans="2:11" x14ac:dyDescent="0.25">
      <c r="B169">
        <v>3.3499999999999699</v>
      </c>
      <c r="C169" s="7">
        <f>_xll.acq_special_erf(B169)</f>
        <v>0.99999783752317994</v>
      </c>
      <c r="D169" s="7">
        <f t="shared" si="15"/>
        <v>0.99999783752317994</v>
      </c>
      <c r="E169">
        <f t="shared" si="12"/>
        <v>0</v>
      </c>
      <c r="F169" s="7">
        <f>_xll.acq_special_erfc(B169)</f>
        <v>2.1624768200406388E-6</v>
      </c>
      <c r="G169" s="7">
        <f t="shared" si="16"/>
        <v>2.1624768200406383E-6</v>
      </c>
      <c r="H169">
        <f t="shared" si="13"/>
        <v>4.2351647362715017E-22</v>
      </c>
      <c r="I169" s="7">
        <f>_xll.acq_special_normalcdf(B169)</f>
        <v>0.99959594219813597</v>
      </c>
      <c r="J169" s="7">
        <f t="shared" si="17"/>
        <v>0.99959594219813597</v>
      </c>
      <c r="K169">
        <f t="shared" si="14"/>
        <v>0</v>
      </c>
    </row>
    <row r="170" spans="2:11" x14ac:dyDescent="0.25">
      <c r="B170">
        <v>3.3999999999999702</v>
      </c>
      <c r="C170" s="7">
        <f>_xll.acq_special_erf(B170)</f>
        <v>0.9999984780066371</v>
      </c>
      <c r="D170" s="7">
        <f t="shared" si="15"/>
        <v>0.9999984780066371</v>
      </c>
      <c r="E170">
        <f t="shared" si="12"/>
        <v>0</v>
      </c>
      <c r="F170" s="7">
        <f>_xll.acq_special_erfc(B170)</f>
        <v>1.5219933628626078E-6</v>
      </c>
      <c r="G170" s="7">
        <f t="shared" si="16"/>
        <v>1.5219933628626074E-6</v>
      </c>
      <c r="H170">
        <f t="shared" si="13"/>
        <v>4.2351647362715017E-22</v>
      </c>
      <c r="I170" s="7">
        <f>_xll.acq_special_normalcdf(B170)</f>
        <v>0.99966307073432303</v>
      </c>
      <c r="J170" s="7">
        <f t="shared" si="17"/>
        <v>0.99966307073432303</v>
      </c>
      <c r="K170">
        <f t="shared" si="14"/>
        <v>0</v>
      </c>
    </row>
    <row r="171" spans="2:11" x14ac:dyDescent="0.25">
      <c r="B171">
        <v>3.44999999999997</v>
      </c>
      <c r="C171" s="7">
        <f>_xll.acq_special_erf(B171)</f>
        <v>0.99999893394820649</v>
      </c>
      <c r="D171" s="7">
        <f t="shared" si="15"/>
        <v>0.99999893394820649</v>
      </c>
      <c r="E171">
        <f t="shared" si="12"/>
        <v>0</v>
      </c>
      <c r="F171" s="7">
        <f>_xll.acq_special_erfc(B171)</f>
        <v>1.0660517934740115E-6</v>
      </c>
      <c r="G171" s="7">
        <f t="shared" si="16"/>
        <v>1.0660517934740113E-6</v>
      </c>
      <c r="H171">
        <f t="shared" si="13"/>
        <v>2.1175823681357508E-22</v>
      </c>
      <c r="I171" s="7">
        <f>_xll.acq_special_normalcdf(B171)</f>
        <v>0.99971970672318378</v>
      </c>
      <c r="J171" s="7">
        <f t="shared" si="17"/>
        <v>0.99971970672318378</v>
      </c>
      <c r="K171">
        <f t="shared" si="14"/>
        <v>0</v>
      </c>
    </row>
    <row r="172" spans="2:11" x14ac:dyDescent="0.25">
      <c r="B172">
        <v>3.4999999999999698</v>
      </c>
      <c r="C172" s="7">
        <f>_xll.acq_special_erf(B172)</f>
        <v>0.99999925690162761</v>
      </c>
      <c r="D172" s="7">
        <f t="shared" si="15"/>
        <v>0.99999925690162761</v>
      </c>
      <c r="E172">
        <f t="shared" si="12"/>
        <v>0</v>
      </c>
      <c r="F172" s="7">
        <f>_xll.acq_special_erfc(B172)</f>
        <v>7.4309837234157562E-7</v>
      </c>
      <c r="G172" s="7">
        <f t="shared" si="16"/>
        <v>7.4309837234157572E-7</v>
      </c>
      <c r="H172">
        <f t="shared" si="13"/>
        <v>1.0587911840678754E-22</v>
      </c>
      <c r="I172" s="7">
        <f>_xll.acq_special_normalcdf(B172)</f>
        <v>0.99976737092096446</v>
      </c>
      <c r="J172" s="7">
        <f t="shared" si="17"/>
        <v>0.99976737092096446</v>
      </c>
      <c r="K172">
        <f t="shared" si="14"/>
        <v>0</v>
      </c>
    </row>
    <row r="173" spans="2:11" x14ac:dyDescent="0.25">
      <c r="B173">
        <v>3.5499999999999701</v>
      </c>
      <c r="C173" s="7">
        <f>_xll.acq_special_erf(B173)</f>
        <v>0.99999948451617537</v>
      </c>
      <c r="D173" s="7">
        <f t="shared" si="15"/>
        <v>0.99999948451617537</v>
      </c>
      <c r="E173">
        <f t="shared" si="12"/>
        <v>0</v>
      </c>
      <c r="F173" s="7">
        <f>_xll.acq_special_erfc(B173)</f>
        <v>5.1548382463390851E-7</v>
      </c>
      <c r="G173" s="7">
        <f t="shared" si="16"/>
        <v>5.154838246339084E-7</v>
      </c>
      <c r="H173">
        <f t="shared" si="13"/>
        <v>1.0587911840678754E-22</v>
      </c>
      <c r="I173" s="7">
        <f>_xll.acq_special_normalcdf(B173)</f>
        <v>0.99980738442436434</v>
      </c>
      <c r="J173" s="7">
        <f t="shared" si="17"/>
        <v>0.99980738442436434</v>
      </c>
      <c r="K173">
        <f t="shared" si="14"/>
        <v>0</v>
      </c>
    </row>
    <row r="174" spans="2:11" x14ac:dyDescent="0.25">
      <c r="B174">
        <v>3.5999999999999699</v>
      </c>
      <c r="C174" s="7">
        <f>_xll.acq_special_erf(B174)</f>
        <v>0.99999964413700704</v>
      </c>
      <c r="D174" s="7">
        <f t="shared" si="15"/>
        <v>0.99999964413700704</v>
      </c>
      <c r="E174">
        <f t="shared" si="12"/>
        <v>0</v>
      </c>
      <c r="F174" s="7">
        <f>_xll.acq_special_erfc(B174)</f>
        <v>3.5586299300776551E-7</v>
      </c>
      <c r="G174" s="7">
        <f t="shared" si="16"/>
        <v>3.5586299300776556E-7</v>
      </c>
      <c r="H174">
        <f t="shared" si="13"/>
        <v>5.2939559203393771E-23</v>
      </c>
      <c r="I174" s="7">
        <f>_xll.acq_special_normalcdf(B174)</f>
        <v>0.99984089140984245</v>
      </c>
      <c r="J174" s="7">
        <f t="shared" si="17"/>
        <v>0.99984089140984245</v>
      </c>
      <c r="K174">
        <f t="shared" si="14"/>
        <v>0</v>
      </c>
    </row>
    <row r="175" spans="2:11" x14ac:dyDescent="0.25">
      <c r="B175">
        <v>3.6499999999999702</v>
      </c>
      <c r="C175" s="7">
        <f>_xll.acq_special_erf(B175)</f>
        <v>0.99999975551734943</v>
      </c>
      <c r="D175" s="7">
        <f t="shared" si="15"/>
        <v>0.99999975551734943</v>
      </c>
      <c r="E175">
        <f t="shared" si="12"/>
        <v>0</v>
      </c>
      <c r="F175" s="7">
        <f>_xll.acq_special_erfc(B175)</f>
        <v>2.4448265057543263E-7</v>
      </c>
      <c r="G175" s="7">
        <f t="shared" si="16"/>
        <v>2.4448265057543274E-7</v>
      </c>
      <c r="H175">
        <f t="shared" si="13"/>
        <v>1.0587911840678754E-22</v>
      </c>
      <c r="I175" s="7">
        <f>_xll.acq_special_normalcdf(B175)</f>
        <v>0.99986887984557948</v>
      </c>
      <c r="J175" s="7">
        <f t="shared" si="17"/>
        <v>0.99986887984557948</v>
      </c>
      <c r="K175">
        <f t="shared" si="14"/>
        <v>0</v>
      </c>
    </row>
    <row r="176" spans="2:11" x14ac:dyDescent="0.25">
      <c r="B176">
        <v>3.69999999999997</v>
      </c>
      <c r="C176" s="7">
        <f>_xll.acq_special_erf(B176)</f>
        <v>0.99999983284894212</v>
      </c>
      <c r="D176" s="7">
        <f t="shared" si="15"/>
        <v>0.99999983284894212</v>
      </c>
      <c r="E176">
        <f t="shared" si="12"/>
        <v>0</v>
      </c>
      <c r="F176" s="7">
        <f>_xll.acq_special_erfc(B176)</f>
        <v>1.6715105790918469E-7</v>
      </c>
      <c r="G176" s="7">
        <f t="shared" si="16"/>
        <v>1.6715105790918466E-7</v>
      </c>
      <c r="H176">
        <f t="shared" si="13"/>
        <v>2.6469779601696886E-23</v>
      </c>
      <c r="I176" s="7">
        <f>_xll.acq_special_normalcdf(B176)</f>
        <v>0.99989220026652259</v>
      </c>
      <c r="J176" s="7">
        <f t="shared" si="17"/>
        <v>0.99989220026652259</v>
      </c>
      <c r="K176">
        <f t="shared" si="14"/>
        <v>0</v>
      </c>
    </row>
    <row r="177" spans="2:11" x14ac:dyDescent="0.25">
      <c r="B177">
        <v>3.7499999999999698</v>
      </c>
      <c r="C177" s="7">
        <f>_xll.acq_special_erf(B177)</f>
        <v>0.99999988627274339</v>
      </c>
      <c r="D177" s="7">
        <f t="shared" si="15"/>
        <v>0.99999988627274339</v>
      </c>
      <c r="E177">
        <f t="shared" si="12"/>
        <v>0</v>
      </c>
      <c r="F177" s="7">
        <f>_xll.acq_special_erfc(B177)</f>
        <v>1.137272565698232E-7</v>
      </c>
      <c r="G177" s="7">
        <f t="shared" si="16"/>
        <v>1.1372725656982336E-7</v>
      </c>
      <c r="H177">
        <f t="shared" si="13"/>
        <v>1.5881867761018131E-22</v>
      </c>
      <c r="I177" s="7">
        <f>_xll.acq_special_normalcdf(B177)</f>
        <v>0.99991158271479919</v>
      </c>
      <c r="J177" s="7">
        <f t="shared" si="17"/>
        <v>0.99991158271479919</v>
      </c>
      <c r="K177">
        <f t="shared" si="14"/>
        <v>0</v>
      </c>
    </row>
    <row r="178" spans="2:11" x14ac:dyDescent="0.25">
      <c r="B178">
        <v>3.7999999999999701</v>
      </c>
      <c r="C178" s="7">
        <f>_xll.acq_special_erf(B178)</f>
        <v>0.99999992299607254</v>
      </c>
      <c r="D178" s="7">
        <f t="shared" si="15"/>
        <v>0.99999992299607254</v>
      </c>
      <c r="E178">
        <f t="shared" si="12"/>
        <v>0</v>
      </c>
      <c r="F178" s="7">
        <f>_xll.acq_special_erfc(B178)</f>
        <v>7.7003927456982275E-8</v>
      </c>
      <c r="G178" s="7">
        <f t="shared" si="16"/>
        <v>7.7003927456982235E-8</v>
      </c>
      <c r="H178">
        <f t="shared" si="13"/>
        <v>3.9704669402545328E-23</v>
      </c>
      <c r="I178" s="7">
        <f>_xll.acq_special_normalcdf(B178)</f>
        <v>0.99992765195607491</v>
      </c>
      <c r="J178" s="7">
        <f t="shared" si="17"/>
        <v>0.99992765195607491</v>
      </c>
      <c r="K178">
        <f t="shared" si="14"/>
        <v>0</v>
      </c>
    </row>
    <row r="179" spans="2:11" x14ac:dyDescent="0.25">
      <c r="B179">
        <v>3.8499999999999699</v>
      </c>
      <c r="C179" s="7">
        <f>_xll.acq_special_erf(B179)</f>
        <v>0.99999994811370663</v>
      </c>
      <c r="D179" s="7">
        <f t="shared" si="15"/>
        <v>0.99999994811370663</v>
      </c>
      <c r="E179">
        <f t="shared" si="12"/>
        <v>0</v>
      </c>
      <c r="F179" s="7">
        <f>_xll.acq_special_erfc(B179)</f>
        <v>5.1886293410484961E-8</v>
      </c>
      <c r="G179" s="7">
        <f t="shared" si="16"/>
        <v>5.1886293410484967E-8</v>
      </c>
      <c r="H179">
        <f t="shared" si="13"/>
        <v>6.6174449004242214E-24</v>
      </c>
      <c r="I179" s="7">
        <f>_xll.acq_special_normalcdf(B179)</f>
        <v>0.99994094108758103</v>
      </c>
      <c r="J179" s="7">
        <f t="shared" si="17"/>
        <v>0.99994094108758103</v>
      </c>
      <c r="K179">
        <f t="shared" si="14"/>
        <v>0</v>
      </c>
    </row>
    <row r="180" spans="2:11" x14ac:dyDescent="0.25">
      <c r="B180">
        <v>3.8999999999999702</v>
      </c>
      <c r="C180" s="7">
        <f>_xll.acq_special_erf(B180)</f>
        <v>0.99999996520775136</v>
      </c>
      <c r="D180" s="7">
        <f t="shared" si="15"/>
        <v>0.99999996520775136</v>
      </c>
      <c r="E180">
        <f t="shared" si="12"/>
        <v>0</v>
      </c>
      <c r="F180" s="7">
        <f>_xll.acq_special_erfc(B180)</f>
        <v>3.4792248597240123E-8</v>
      </c>
      <c r="G180" s="7">
        <f t="shared" si="16"/>
        <v>3.479224859724011E-8</v>
      </c>
      <c r="H180">
        <f t="shared" si="13"/>
        <v>1.3234889800848443E-23</v>
      </c>
      <c r="I180" s="7">
        <f>_xll.acq_special_normalcdf(B180)</f>
        <v>0.99995190365598241</v>
      </c>
      <c r="J180" s="7">
        <f t="shared" si="17"/>
        <v>0.99995190365598241</v>
      </c>
      <c r="K180">
        <f t="shared" si="14"/>
        <v>0</v>
      </c>
    </row>
    <row r="181" spans="2:11" x14ac:dyDescent="0.25">
      <c r="B181">
        <v>3.94999999999997</v>
      </c>
      <c r="C181" s="7">
        <f>_xll.acq_special_erf(B181)</f>
        <v>0.9999999767832678</v>
      </c>
      <c r="D181" s="7">
        <f t="shared" si="15"/>
        <v>0.9999999767832678</v>
      </c>
      <c r="E181">
        <f t="shared" si="12"/>
        <v>0</v>
      </c>
      <c r="F181" s="7">
        <f>_xll.acq_special_erfc(B181)</f>
        <v>2.321673223665498E-8</v>
      </c>
      <c r="G181" s="7">
        <f t="shared" si="16"/>
        <v>2.3216732236654976E-8</v>
      </c>
      <c r="H181">
        <f t="shared" si="13"/>
        <v>3.3087224502121107E-24</v>
      </c>
      <c r="I181" s="7">
        <f>_xll.acq_special_normalcdf(B181)</f>
        <v>0.99996092440340223</v>
      </c>
      <c r="J181" s="7">
        <f t="shared" si="17"/>
        <v>0.99996092440340223</v>
      </c>
      <c r="K181">
        <f t="shared" si="14"/>
        <v>0</v>
      </c>
    </row>
    <row r="182" spans="2:11" x14ac:dyDescent="0.25">
      <c r="B182">
        <v>3.9999999999999698</v>
      </c>
      <c r="C182" s="7">
        <f>_xll.acq_special_erf(B182)</f>
        <v>0.99999998458274209</v>
      </c>
      <c r="D182" s="7">
        <f t="shared" si="15"/>
        <v>0.99999998458274209</v>
      </c>
      <c r="E182">
        <f t="shared" si="12"/>
        <v>0</v>
      </c>
      <c r="F182" s="7">
        <f>_xll.acq_special_erfc(B182)</f>
        <v>1.5417257900283858E-8</v>
      </c>
      <c r="G182" s="7">
        <f t="shared" si="16"/>
        <v>1.5417257900283851E-8</v>
      </c>
      <c r="H182">
        <f t="shared" si="13"/>
        <v>6.6174449004242214E-24</v>
      </c>
      <c r="I182" s="7">
        <f>_xll.acq_special_normalcdf(B182)</f>
        <v>0.99996832875816688</v>
      </c>
      <c r="J182" s="7">
        <f t="shared" si="17"/>
        <v>0.99996832875816688</v>
      </c>
      <c r="K182">
        <f t="shared" si="14"/>
        <v>0</v>
      </c>
    </row>
    <row r="183" spans="2:11" x14ac:dyDescent="0.25">
      <c r="B183">
        <v>4.0499999999999696</v>
      </c>
      <c r="C183" s="7">
        <f>_xll.acq_special_erf(B183)</f>
        <v>0.99999998981175509</v>
      </c>
      <c r="D183" s="7">
        <f t="shared" si="15"/>
        <v>0.99999998981175509</v>
      </c>
      <c r="E183">
        <f t="shared" si="12"/>
        <v>0</v>
      </c>
      <c r="F183" s="7">
        <f>_xll.acq_special_erfc(B183)</f>
        <v>1.0188244933543599E-8</v>
      </c>
      <c r="G183" s="7">
        <f t="shared" si="16"/>
        <v>1.0188244933543602E-8</v>
      </c>
      <c r="H183">
        <f t="shared" si="13"/>
        <v>3.3087224502121107E-24</v>
      </c>
      <c r="I183" s="7">
        <f>_xll.acq_special_normalcdf(B183)</f>
        <v>0.99997439118352593</v>
      </c>
      <c r="J183" s="7">
        <f t="shared" si="17"/>
        <v>0.99997439118352593</v>
      </c>
      <c r="K183">
        <f t="shared" si="14"/>
        <v>0</v>
      </c>
    </row>
    <row r="184" spans="2:11" x14ac:dyDescent="0.25">
      <c r="B184">
        <v>4.0999999999999703</v>
      </c>
      <c r="C184" s="7">
        <f>_xll.acq_special_erf(B184)</f>
        <v>0.99999999329997236</v>
      </c>
      <c r="D184" s="7">
        <f t="shared" si="15"/>
        <v>0.99999999329997236</v>
      </c>
      <c r="E184">
        <f t="shared" si="12"/>
        <v>0</v>
      </c>
      <c r="F184" s="7">
        <f>_xll.acq_special_erfc(B184)</f>
        <v>6.7000276540865718E-9</v>
      </c>
      <c r="G184" s="7">
        <f t="shared" si="16"/>
        <v>6.7000276540865726E-9</v>
      </c>
      <c r="H184">
        <f t="shared" si="13"/>
        <v>8.2718061255302767E-25</v>
      </c>
      <c r="I184" s="7">
        <f>_xll.acq_special_normalcdf(B184)</f>
        <v>0.9999793424930874</v>
      </c>
      <c r="J184" s="7">
        <f t="shared" si="17"/>
        <v>0.9999793424930874</v>
      </c>
      <c r="K184">
        <f t="shared" si="14"/>
        <v>0</v>
      </c>
    </row>
    <row r="185" spans="2:11" x14ac:dyDescent="0.25">
      <c r="B185">
        <v>4.1499999999999702</v>
      </c>
      <c r="C185" s="7">
        <f>_xll.acq_special_erf(B185)</f>
        <v>0.99999999561532293</v>
      </c>
      <c r="D185" s="7">
        <f t="shared" si="15"/>
        <v>0.99999999561532293</v>
      </c>
      <c r="E185">
        <f t="shared" si="12"/>
        <v>0</v>
      </c>
      <c r="F185" s="7">
        <f>_xll.acq_special_erfc(B185)</f>
        <v>4.3846770477549405E-9</v>
      </c>
      <c r="G185" s="7">
        <f t="shared" si="16"/>
        <v>4.3846770477549389E-9</v>
      </c>
      <c r="H185">
        <f t="shared" si="13"/>
        <v>1.6543612251060553E-24</v>
      </c>
      <c r="I185" s="7">
        <f>_xll.acq_special_normalcdf(B185)</f>
        <v>0.99998337623627032</v>
      </c>
      <c r="J185" s="7">
        <f t="shared" si="17"/>
        <v>0.99998337623627032</v>
      </c>
      <c r="K185">
        <f t="shared" si="14"/>
        <v>0</v>
      </c>
    </row>
    <row r="186" spans="2:11" x14ac:dyDescent="0.25">
      <c r="B186">
        <v>4.19999999999997</v>
      </c>
      <c r="C186" s="7">
        <f>_xll.acq_special_erf(B186)</f>
        <v>0.99999999714450583</v>
      </c>
      <c r="D186" s="7">
        <f t="shared" si="15"/>
        <v>0.99999999714450583</v>
      </c>
      <c r="E186">
        <f t="shared" si="12"/>
        <v>0</v>
      </c>
      <c r="F186" s="7">
        <f>_xll.acq_special_erfc(B186)</f>
        <v>2.8554941795929263E-9</v>
      </c>
      <c r="G186" s="7">
        <f t="shared" si="16"/>
        <v>2.8554941795929263E-9</v>
      </c>
      <c r="H186">
        <f t="shared" si="13"/>
        <v>0</v>
      </c>
      <c r="I186" s="7">
        <f>_xll.acq_special_normalcdf(B186)</f>
        <v>0.9999866542509841</v>
      </c>
      <c r="J186" s="7">
        <f t="shared" si="17"/>
        <v>0.9999866542509841</v>
      </c>
      <c r="K186">
        <f t="shared" si="14"/>
        <v>0</v>
      </c>
    </row>
    <row r="187" spans="2:11" x14ac:dyDescent="0.25">
      <c r="B187">
        <v>4.2499999999999698</v>
      </c>
      <c r="C187" s="7">
        <f>_xll.acq_special_erf(B187)</f>
        <v>0.99999999814942586</v>
      </c>
      <c r="D187" s="7">
        <f t="shared" si="15"/>
        <v>0.99999999814942586</v>
      </c>
      <c r="E187">
        <f t="shared" si="12"/>
        <v>0</v>
      </c>
      <c r="F187" s="7">
        <f>_xll.acq_special_erfc(B187)</f>
        <v>1.8505741373872282E-9</v>
      </c>
      <c r="G187" s="7">
        <f t="shared" si="16"/>
        <v>1.850574137387228E-9</v>
      </c>
      <c r="H187">
        <f t="shared" si="13"/>
        <v>2.0679515313825692E-25</v>
      </c>
      <c r="I187" s="7">
        <f>_xll.acq_special_normalcdf(B187)</f>
        <v>0.9999893114742251</v>
      </c>
      <c r="J187" s="7">
        <f t="shared" si="17"/>
        <v>0.9999893114742251</v>
      </c>
      <c r="K187">
        <f t="shared" si="14"/>
        <v>0</v>
      </c>
    </row>
    <row r="188" spans="2:11" x14ac:dyDescent="0.25">
      <c r="B188">
        <v>4.2999999999999696</v>
      </c>
      <c r="C188" s="7">
        <f>_xll.acq_special_erf(B188)</f>
        <v>0.99999999880652823</v>
      </c>
      <c r="D188" s="7">
        <f t="shared" si="15"/>
        <v>0.99999999880652823</v>
      </c>
      <c r="E188">
        <f t="shared" si="12"/>
        <v>0</v>
      </c>
      <c r="F188" s="7">
        <f>_xll.acq_special_erfc(B188)</f>
        <v>1.1934717937223609E-9</v>
      </c>
      <c r="G188" s="7">
        <f t="shared" si="16"/>
        <v>1.1934717937223611E-9</v>
      </c>
      <c r="H188">
        <f t="shared" si="13"/>
        <v>2.0679515313825692E-25</v>
      </c>
      <c r="I188" s="7">
        <f>_xll.acq_special_normalcdf(B188)</f>
        <v>0.99999146009452899</v>
      </c>
      <c r="J188" s="7">
        <f t="shared" si="17"/>
        <v>0.99999146009452899</v>
      </c>
      <c r="K188">
        <f t="shared" si="14"/>
        <v>0</v>
      </c>
    </row>
    <row r="189" spans="2:11" x14ac:dyDescent="0.25">
      <c r="B189">
        <v>4.3499999999999703</v>
      </c>
      <c r="C189" s="7">
        <f>_xll.acq_special_erf(B189)</f>
        <v>0.99999999923405558</v>
      </c>
      <c r="D189" s="7">
        <f t="shared" si="15"/>
        <v>0.99999999923405558</v>
      </c>
      <c r="E189">
        <f t="shared" si="12"/>
        <v>0</v>
      </c>
      <c r="F189" s="7">
        <f>_xll.acq_special_erfc(B189)</f>
        <v>7.6594439884240892E-10</v>
      </c>
      <c r="G189" s="7">
        <f t="shared" si="16"/>
        <v>7.6594439884240861E-10</v>
      </c>
      <c r="H189">
        <f t="shared" si="13"/>
        <v>3.1019272970738538E-25</v>
      </c>
      <c r="I189" s="7">
        <f>_xll.acq_special_normalcdf(B189)</f>
        <v>0.99999319312340063</v>
      </c>
      <c r="J189" s="7">
        <f t="shared" si="17"/>
        <v>0.99999319312340063</v>
      </c>
      <c r="K189">
        <f t="shared" si="14"/>
        <v>0</v>
      </c>
    </row>
    <row r="190" spans="2:11" x14ac:dyDescent="0.25">
      <c r="B190">
        <v>4.3999999999999702</v>
      </c>
      <c r="C190" s="7">
        <f>_xll.acq_special_erf(B190)</f>
        <v>0.99999999951082896</v>
      </c>
      <c r="D190" s="7">
        <f t="shared" si="15"/>
        <v>0.99999999951082896</v>
      </c>
      <c r="E190">
        <f t="shared" si="12"/>
        <v>0</v>
      </c>
      <c r="F190" s="7">
        <f>_xll.acq_special_erfc(B190)</f>
        <v>4.8917102706072093E-10</v>
      </c>
      <c r="G190" s="7">
        <f t="shared" si="16"/>
        <v>4.8917102706072073E-10</v>
      </c>
      <c r="H190">
        <f t="shared" si="13"/>
        <v>2.0679515313825692E-25</v>
      </c>
      <c r="I190" s="7">
        <f>_xll.acq_special_normalcdf(B190)</f>
        <v>0.99999458745609227</v>
      </c>
      <c r="J190" s="7">
        <f t="shared" si="17"/>
        <v>0.99999458745609227</v>
      </c>
      <c r="K190">
        <f t="shared" si="14"/>
        <v>0</v>
      </c>
    </row>
    <row r="191" spans="2:11" x14ac:dyDescent="0.25">
      <c r="B191">
        <v>4.44999999999997</v>
      </c>
      <c r="C191" s="7">
        <f>_xll.acq_special_erf(B191)</f>
        <v>0.99999999968911368</v>
      </c>
      <c r="D191" s="7">
        <f t="shared" si="15"/>
        <v>0.99999999968911368</v>
      </c>
      <c r="E191">
        <f t="shared" si="12"/>
        <v>0</v>
      </c>
      <c r="F191" s="7">
        <f>_xll.acq_special_erfc(B191)</f>
        <v>3.1088632307632166E-10</v>
      </c>
      <c r="G191" s="7">
        <f t="shared" si="16"/>
        <v>3.108863230763216E-10</v>
      </c>
      <c r="H191">
        <f t="shared" si="13"/>
        <v>5.169878828456423E-26</v>
      </c>
      <c r="I191" s="7">
        <f>_xll.acq_special_normalcdf(B191)</f>
        <v>0.99999570648553004</v>
      </c>
      <c r="J191" s="7">
        <f t="shared" si="17"/>
        <v>0.99999570648553004</v>
      </c>
      <c r="K191">
        <f t="shared" si="14"/>
        <v>0</v>
      </c>
    </row>
    <row r="192" spans="2:11" x14ac:dyDescent="0.25">
      <c r="B192">
        <v>4.4999999999999698</v>
      </c>
      <c r="C192" s="7">
        <f>_xll.acq_special_erf(B192)</f>
        <v>0.99999999980338394</v>
      </c>
      <c r="D192" s="7">
        <f t="shared" si="15"/>
        <v>0.99999999980338394</v>
      </c>
      <c r="E192">
        <f t="shared" si="12"/>
        <v>0</v>
      </c>
      <c r="F192" s="7">
        <f>_xll.acq_special_erfc(B192)</f>
        <v>1.9661604415434312E-10</v>
      </c>
      <c r="G192" s="7">
        <f t="shared" si="16"/>
        <v>1.9661604415434309E-10</v>
      </c>
      <c r="H192">
        <f t="shared" si="13"/>
        <v>2.5849394142282115E-26</v>
      </c>
      <c r="I192" s="7">
        <f>_xll.acq_special_normalcdf(B192)</f>
        <v>0.99999660232687526</v>
      </c>
      <c r="J192" s="7">
        <f t="shared" si="17"/>
        <v>0.99999660232687526</v>
      </c>
      <c r="K192">
        <f t="shared" si="14"/>
        <v>0</v>
      </c>
    </row>
    <row r="193" spans="2:11" x14ac:dyDescent="0.25">
      <c r="B193">
        <v>4.5499999999999696</v>
      </c>
      <c r="C193" s="7">
        <f>_xll.acq_special_erf(B193)</f>
        <v>0.99999999987625954</v>
      </c>
      <c r="D193" s="7">
        <f t="shared" si="15"/>
        <v>0.99999999987625954</v>
      </c>
      <c r="E193">
        <f t="shared" si="12"/>
        <v>0</v>
      </c>
      <c r="F193" s="7">
        <f>_xll.acq_special_erfc(B193)</f>
        <v>1.2374048267633829E-10</v>
      </c>
      <c r="G193" s="7">
        <f t="shared" si="16"/>
        <v>1.2374048267633827E-10</v>
      </c>
      <c r="H193">
        <f t="shared" si="13"/>
        <v>2.5849394142282115E-26</v>
      </c>
      <c r="I193" s="7">
        <f>_xll.acq_special_normalcdf(B193)</f>
        <v>0.9999973177042204</v>
      </c>
      <c r="J193" s="7">
        <f t="shared" si="17"/>
        <v>0.9999973177042204</v>
      </c>
      <c r="K193">
        <f t="shared" si="14"/>
        <v>0</v>
      </c>
    </row>
    <row r="194" spans="2:11" x14ac:dyDescent="0.25">
      <c r="B194">
        <v>4.5999999999999703</v>
      </c>
      <c r="C194" s="7">
        <f>_xll.acq_special_erf(B194)</f>
        <v>0.99999999992250399</v>
      </c>
      <c r="D194" s="7">
        <f t="shared" si="15"/>
        <v>0.99999999992250399</v>
      </c>
      <c r="E194">
        <f t="shared" ref="E194:E202" si="18">ABS(C194-D194)</f>
        <v>0</v>
      </c>
      <c r="F194" s="7">
        <f>_xll.acq_special_erfc(B194)</f>
        <v>7.7495995974439996E-11</v>
      </c>
      <c r="G194" s="7">
        <f t="shared" si="16"/>
        <v>7.7495995974439957E-11</v>
      </c>
      <c r="H194">
        <f t="shared" ref="H194:H202" si="19">ABS(F194-G194)</f>
        <v>3.8774091213423172E-26</v>
      </c>
      <c r="I194" s="7">
        <f>_xll.acq_special_normalcdf(B194)</f>
        <v>0.9999978875452975</v>
      </c>
      <c r="J194" s="7">
        <f t="shared" si="17"/>
        <v>0.9999978875452975</v>
      </c>
      <c r="K194">
        <f t="shared" ref="K194:K202" si="20">ABS(I194-J194)</f>
        <v>0</v>
      </c>
    </row>
    <row r="195" spans="2:11" x14ac:dyDescent="0.25">
      <c r="B195">
        <v>4.6499999999999702</v>
      </c>
      <c r="C195" s="7">
        <f>_xll.acq_special_erf(B195)</f>
        <v>0.99999999995170297</v>
      </c>
      <c r="D195" s="7">
        <f t="shared" ref="D195:D202" si="21">_xlfn.ERF.PRECISE(B195)</f>
        <v>0.99999999995170297</v>
      </c>
      <c r="E195">
        <f t="shared" si="18"/>
        <v>0</v>
      </c>
      <c r="F195" s="7">
        <f>_xll.acq_special_erfc(B195)</f>
        <v>4.829703245092499E-11</v>
      </c>
      <c r="G195" s="7">
        <f t="shared" ref="G195:G202" si="22">_xlfn.ERFC.PRECISE(B195)</f>
        <v>4.8297032450924977E-11</v>
      </c>
      <c r="H195">
        <f t="shared" si="19"/>
        <v>1.2924697071141057E-26</v>
      </c>
      <c r="I195" s="7">
        <f>_xll.acq_special_normalcdf(B195)</f>
        <v>0.99999834032485568</v>
      </c>
      <c r="J195" s="7">
        <f t="shared" ref="J195:J202" si="23">_xlfn.NORM.S.DIST(B195,TRUE)</f>
        <v>0.99999834032485568</v>
      </c>
      <c r="K195">
        <f t="shared" si="20"/>
        <v>0</v>
      </c>
    </row>
    <row r="196" spans="2:11" x14ac:dyDescent="0.25">
      <c r="B196">
        <v>4.69999999999997</v>
      </c>
      <c r="C196" s="7">
        <f>_xll.acq_special_erf(B196)</f>
        <v>0.9999999999700474</v>
      </c>
      <c r="D196" s="7">
        <f t="shared" si="21"/>
        <v>0.9999999999700474</v>
      </c>
      <c r="E196">
        <f t="shared" si="18"/>
        <v>0</v>
      </c>
      <c r="F196" s="7">
        <f>_xll.acq_special_erfc(B196)</f>
        <v>2.9952597863805208E-11</v>
      </c>
      <c r="G196" s="7">
        <f t="shared" si="22"/>
        <v>2.9952597863805188E-11</v>
      </c>
      <c r="H196">
        <f t="shared" si="19"/>
        <v>1.9387045606711586E-26</v>
      </c>
      <c r="I196" s="7">
        <f>_xll.acq_special_normalcdf(B196)</f>
        <v>0.99999869919254614</v>
      </c>
      <c r="J196" s="7">
        <f t="shared" si="23"/>
        <v>0.99999869919254614</v>
      </c>
      <c r="K196">
        <f t="shared" si="20"/>
        <v>0</v>
      </c>
    </row>
    <row r="197" spans="2:11" x14ac:dyDescent="0.25">
      <c r="B197">
        <v>4.74999999999996</v>
      </c>
      <c r="C197" s="7">
        <f>_xll.acq_special_erf(B197)</f>
        <v>0.9999999999815149</v>
      </c>
      <c r="D197" s="7">
        <f t="shared" si="21"/>
        <v>0.9999999999815149</v>
      </c>
      <c r="E197">
        <f t="shared" si="18"/>
        <v>0</v>
      </c>
      <c r="F197" s="7">
        <f>_xll.acq_special_erfc(B197)</f>
        <v>1.8485047721492491E-11</v>
      </c>
      <c r="G197" s="7">
        <f t="shared" si="22"/>
        <v>1.8485047721492482E-11</v>
      </c>
      <c r="H197">
        <f t="shared" si="19"/>
        <v>9.6935228033557931E-27</v>
      </c>
      <c r="I197" s="7">
        <f>_xll.acq_special_normalcdf(B197)</f>
        <v>0.99999898291675748</v>
      </c>
      <c r="J197" s="7">
        <f t="shared" si="23"/>
        <v>0.99999898291675748</v>
      </c>
      <c r="K197">
        <f t="shared" si="20"/>
        <v>0</v>
      </c>
    </row>
    <row r="198" spans="2:11" x14ac:dyDescent="0.25">
      <c r="B198">
        <v>4.7999999999999696</v>
      </c>
      <c r="C198" s="7">
        <f>_xll.acq_special_erf(B198)</f>
        <v>0.99999999998864786</v>
      </c>
      <c r="D198" s="7">
        <f t="shared" si="21"/>
        <v>0.99999999998864786</v>
      </c>
      <c r="E198">
        <f t="shared" si="18"/>
        <v>0</v>
      </c>
      <c r="F198" s="7">
        <f>_xll.acq_special_erfc(B198)</f>
        <v>1.1352143584925344E-11</v>
      </c>
      <c r="G198" s="7">
        <f t="shared" si="22"/>
        <v>1.1352143584925342E-11</v>
      </c>
      <c r="H198">
        <f t="shared" si="19"/>
        <v>1.6155871338926322E-27</v>
      </c>
      <c r="I198" s="7">
        <f>_xll.acq_special_normalcdf(B198)</f>
        <v>0.99999920667184805</v>
      </c>
      <c r="J198" s="7">
        <f t="shared" si="23"/>
        <v>0.99999920667184805</v>
      </c>
      <c r="K198">
        <f t="shared" si="20"/>
        <v>0</v>
      </c>
    </row>
    <row r="199" spans="2:11" x14ac:dyDescent="0.25">
      <c r="B199">
        <v>4.8499999999999703</v>
      </c>
      <c r="C199" s="7">
        <f>_xll.acq_special_erf(B199)</f>
        <v>0.99999999999306244</v>
      </c>
      <c r="D199" s="7">
        <f t="shared" si="21"/>
        <v>0.99999999999306244</v>
      </c>
      <c r="E199">
        <f t="shared" si="18"/>
        <v>0</v>
      </c>
      <c r="F199" s="7">
        <f>_xll.acq_special_erfc(B199)</f>
        <v>6.9375416546278333E-12</v>
      </c>
      <c r="G199" s="7">
        <f t="shared" si="22"/>
        <v>6.9375416546278317E-12</v>
      </c>
      <c r="H199">
        <f t="shared" si="19"/>
        <v>1.6155871338926322E-27</v>
      </c>
      <c r="I199" s="7">
        <f>_xll.acq_special_normalcdf(B199)</f>
        <v>0.999999382692628</v>
      </c>
      <c r="J199" s="7">
        <f t="shared" si="23"/>
        <v>0.999999382692628</v>
      </c>
      <c r="K199">
        <f t="shared" si="20"/>
        <v>0</v>
      </c>
    </row>
    <row r="200" spans="2:11" x14ac:dyDescent="0.25">
      <c r="B200">
        <v>4.8999999999999604</v>
      </c>
      <c r="C200" s="7">
        <f>_xll.acq_special_erf(B200)</f>
        <v>0.99999999999578104</v>
      </c>
      <c r="D200" s="7">
        <f t="shared" si="21"/>
        <v>0.99999999999578104</v>
      </c>
      <c r="E200">
        <f t="shared" si="18"/>
        <v>0</v>
      </c>
      <c r="F200" s="7">
        <f>_xll.acq_special_erfc(B200)</f>
        <v>4.218936524007457E-12</v>
      </c>
      <c r="G200" s="7">
        <f t="shared" si="22"/>
        <v>4.218936524007457E-12</v>
      </c>
      <c r="H200">
        <f t="shared" si="19"/>
        <v>0</v>
      </c>
      <c r="I200" s="7">
        <f>_xll.acq_special_normalcdf(B200)</f>
        <v>0.99999952081672339</v>
      </c>
      <c r="J200" s="7">
        <f t="shared" si="23"/>
        <v>0.99999952081672339</v>
      </c>
      <c r="K200">
        <f t="shared" si="20"/>
        <v>0</v>
      </c>
    </row>
    <row r="201" spans="2:11" x14ac:dyDescent="0.25">
      <c r="B201">
        <v>4.9499999999999602</v>
      </c>
      <c r="C201" s="7">
        <f>_xll.acq_special_erf(B201)</f>
        <v>0.99999999999744693</v>
      </c>
      <c r="D201" s="7">
        <f t="shared" si="21"/>
        <v>0.99999999999744693</v>
      </c>
      <c r="E201">
        <f t="shared" si="18"/>
        <v>0</v>
      </c>
      <c r="F201" s="7">
        <f>_xll.acq_special_erfc(B201)</f>
        <v>2.5531086028523035E-12</v>
      </c>
      <c r="G201" s="7">
        <f t="shared" si="22"/>
        <v>2.5531086028523035E-12</v>
      </c>
      <c r="H201">
        <f t="shared" si="19"/>
        <v>0</v>
      </c>
      <c r="I201" s="7">
        <f>_xll.acq_special_normalcdf(B201)</f>
        <v>0.99999962893259209</v>
      </c>
      <c r="J201" s="7">
        <f t="shared" si="23"/>
        <v>0.99999962893259209</v>
      </c>
      <c r="K201">
        <f t="shared" si="20"/>
        <v>0</v>
      </c>
    </row>
    <row r="202" spans="2:11" x14ac:dyDescent="0.25">
      <c r="B202">
        <v>4.99999999999996</v>
      </c>
      <c r="C202" s="7">
        <f>_xll.acq_special_erf(B202)</f>
        <v>0.99999999999846256</v>
      </c>
      <c r="D202" s="7">
        <f t="shared" si="21"/>
        <v>0.99999999999846256</v>
      </c>
      <c r="E202">
        <f t="shared" si="18"/>
        <v>0</v>
      </c>
      <c r="F202" s="7">
        <f>_xll.acq_special_erfc(B202)</f>
        <v>1.5374597944286588E-12</v>
      </c>
      <c r="G202" s="7">
        <f t="shared" si="22"/>
        <v>1.5374597944286586E-12</v>
      </c>
      <c r="H202">
        <f t="shared" si="19"/>
        <v>2.0194839173657902E-28</v>
      </c>
      <c r="I202" s="7">
        <f>_xll.acq_special_normalcdf(B202)</f>
        <v>0.99999971334842808</v>
      </c>
      <c r="J202" s="7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Utils</vt:lpstr>
      <vt:lpstr>Black</vt:lpstr>
      <vt:lpstr>Bachelier</vt:lpstr>
      <vt:lpstr>BlackScholes</vt:lpstr>
      <vt:lpstr>BjerksundStensland2002</vt:lpstr>
      <vt:lpstr>Description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2021-12-20T00:48:18Z</dcterms:modified>
</cp:coreProperties>
</file>