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38D776B4-6AD0-42A0-8970-6AC702533ECC}" xr6:coauthVersionLast="47" xr6:coauthVersionMax="47" xr10:uidLastSave="{00000000-0000-0000-0000-000000000000}"/>
  <bookViews>
    <workbookView xWindow="-120" yWindow="-120" windowWidth="29040" windowHeight="15840" tabRatio="900" activeTab="6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Comparison" sheetId="19" r:id="rId7"/>
    <sheet name="Description" sheetId="7" r:id="rId8"/>
    <sheet name="Types" sheetId="1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9" l="1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5" i="19"/>
  <c r="O6" i="19"/>
  <c r="O7" i="19"/>
  <c r="O8" i="19"/>
  <c r="O9" i="19"/>
  <c r="O10" i="19"/>
  <c r="O11" i="19"/>
  <c r="O13" i="19"/>
  <c r="O14" i="19"/>
  <c r="O15" i="19"/>
  <c r="O16" i="19"/>
  <c r="O17" i="19"/>
  <c r="O18" i="19"/>
  <c r="O19" i="19"/>
  <c r="O20" i="19"/>
  <c r="O21" i="19"/>
  <c r="O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C3" i="17"/>
  <c r="C10" i="17" s="1"/>
  <c r="C9" i="17"/>
  <c r="C8" i="17"/>
  <c r="C6" i="17"/>
  <c r="C4" i="17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E3" i="17"/>
  <c r="C4" i="3"/>
  <c r="E10" i="17"/>
  <c r="C3" i="3"/>
  <c r="C7" i="3"/>
  <c r="E5" i="17"/>
  <c r="E9" i="17"/>
  <c r="E6" i="17"/>
  <c r="E7" i="17"/>
  <c r="C6" i="3"/>
  <c r="C5" i="3"/>
  <c r="E4" i="17"/>
  <c r="E8" i="17"/>
  <c r="C15" i="17" l="1"/>
  <c r="C16" i="17"/>
  <c r="C13" i="17"/>
  <c r="C14" i="17"/>
  <c r="H9" i="3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AI38" i="15" l="1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<sst xmlns="http://schemas.openxmlformats.org/spreadsheetml/2006/main" count="541" uniqueCount="171">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</sst>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Comparison!$F$3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Comparison!$G$5:$G$21</c:f>
              <c:numCache>
                <c:formatCode>General</c:formatCode>
                <c:ptCount val="17"/>
                <c:pt idx="0">
                  <c:v>1.0000000000047748</c:v>
                </c:pt>
                <c:pt idx="1">
                  <c:v>1.0000000000047748</c:v>
                </c:pt>
                <c:pt idx="2">
                  <c:v>1.0000000000047748</c:v>
                </c:pt>
                <c:pt idx="3">
                  <c:v>1.0000000000047748</c:v>
                </c:pt>
                <c:pt idx="4">
                  <c:v>0.92957772969270991</c:v>
                </c:pt>
                <c:pt idx="5">
                  <c:v>0.8301276996434126</c:v>
                </c:pt>
                <c:pt idx="6">
                  <c:v>0.70708211926628906</c:v>
                </c:pt>
                <c:pt idx="7">
                  <c:v>0.56900196060283292</c:v>
                </c:pt>
                <c:pt idx="8">
                  <c:v>0.43389004885696636</c:v>
                </c:pt>
                <c:pt idx="9">
                  <c:v>0.31604109658189827</c:v>
                </c:pt>
                <c:pt idx="10">
                  <c:v>0.22183714651902164</c:v>
                </c:pt>
                <c:pt idx="11">
                  <c:v>0.15125763048473573</c:v>
                </c:pt>
                <c:pt idx="12">
                  <c:v>0.10085569557816143</c:v>
                </c:pt>
                <c:pt idx="13">
                  <c:v>6.6121646206340756E-2</c:v>
                </c:pt>
                <c:pt idx="14">
                  <c:v>4.2808910450276016E-2</c:v>
                </c:pt>
                <c:pt idx="15">
                  <c:v>2.7464528344012251E-2</c:v>
                </c:pt>
                <c:pt idx="16">
                  <c:v>1.7508470619986838E-2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3-4CD0-954E-CE8F4C536D21}"/>
            </c:ext>
          </c:extLst>
        </c:ser>
        <c:ser>
          <c:idx val="1"/>
          <c:order val="1"/>
          <c:tx>
            <c:strRef>
              <c:f>Comparison!$I$3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Comparison!$I$5:$I$21</c:f>
              <c:numCache>
                <c:formatCode>General</c:formatCode>
                <c:ptCount val="17"/>
                <c:pt idx="0">
                  <c:v>0.99999999974897946</c:v>
                </c:pt>
                <c:pt idx="1">
                  <c:v>0.99999999974897946</c:v>
                </c:pt>
                <c:pt idx="2">
                  <c:v>0.99999999974897946</c:v>
                </c:pt>
                <c:pt idx="3">
                  <c:v>0.99999999974897946</c:v>
                </c:pt>
                <c:pt idx="4">
                  <c:v>0.92854126651609192</c:v>
                </c:pt>
                <c:pt idx="5">
                  <c:v>0.83521741553482798</c:v>
                </c:pt>
                <c:pt idx="6">
                  <c:v>0.70225140398960662</c:v>
                </c:pt>
                <c:pt idx="7">
                  <c:v>0.56941307740210334</c:v>
                </c:pt>
                <c:pt idx="8">
                  <c:v>0.4234461359171604</c:v>
                </c:pt>
                <c:pt idx="9">
                  <c:v>0.32799397992011592</c:v>
                </c:pt>
                <c:pt idx="10">
                  <c:v>0.21586487600533388</c:v>
                </c:pt>
                <c:pt idx="11">
                  <c:v>0.14797089306939348</c:v>
                </c:pt>
                <c:pt idx="12">
                  <c:v>9.5769994736927266E-2</c:v>
                </c:pt>
                <c:pt idx="13">
                  <c:v>6.9316105379302329E-2</c:v>
                </c:pt>
                <c:pt idx="14">
                  <c:v>4.0565710369339092E-2</c:v>
                </c:pt>
                <c:pt idx="15">
                  <c:v>2.7408475995083226E-2</c:v>
                </c:pt>
                <c:pt idx="16">
                  <c:v>1.8000969328718641E-2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3-4CD0-954E-CE8F4C536D21}"/>
            </c:ext>
          </c:extLst>
        </c:ser>
        <c:ser>
          <c:idx val="2"/>
          <c:order val="2"/>
          <c:tx>
            <c:strRef>
              <c:f>Comparison!$K$3</c:f>
              <c:strCache>
                <c:ptCount val="1"/>
                <c:pt idx="0">
                  <c:v>Black-Scholes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Comparison!$K$5:$K$21</c:f>
              <c:numCache>
                <c:formatCode>General</c:formatCode>
                <c:ptCount val="17"/>
                <c:pt idx="0">
                  <c:v>0.90483741803347062</c:v>
                </c:pt>
                <c:pt idx="1">
                  <c:v>0.90483624145151886</c:v>
                </c:pt>
                <c:pt idx="2">
                  <c:v>0.90455189470950614</c:v>
                </c:pt>
                <c:pt idx="3">
                  <c:v>0.8993466572974006</c:v>
                </c:pt>
                <c:pt idx="4">
                  <c:v>0.87250520496377693</c:v>
                </c:pt>
                <c:pt idx="5">
                  <c:v>0.80520832776611939</c:v>
                </c:pt>
                <c:pt idx="6">
                  <c:v>0.69662705779637046</c:v>
                </c:pt>
                <c:pt idx="7">
                  <c:v>0.56469562559947628</c:v>
                </c:pt>
                <c:pt idx="8">
                  <c:v>0.43212984807051297</c:v>
                </c:pt>
                <c:pt idx="9">
                  <c:v>0.31532219629300012</c:v>
                </c:pt>
                <c:pt idx="10">
                  <c:v>0.2215422481792706</c:v>
                </c:pt>
                <c:pt idx="11">
                  <c:v>0.15113565043260022</c:v>
                </c:pt>
                <c:pt idx="12">
                  <c:v>0.10080467254549613</c:v>
                </c:pt>
                <c:pt idx="13">
                  <c:v>6.6100021174242504E-2</c:v>
                </c:pt>
                <c:pt idx="14">
                  <c:v>4.2799612260652924E-2</c:v>
                </c:pt>
                <c:pt idx="15">
                  <c:v>2.7460469573046389E-2</c:v>
                </c:pt>
                <c:pt idx="16">
                  <c:v>1.7506671446599582E-2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3-4CD0-954E-CE8F4C53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Put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Comparison!$F$3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Comparison!$H$5:$H$21</c:f>
              <c:numCache>
                <c:formatCode>General</c:formatCode>
                <c:ptCount val="17"/>
                <c:pt idx="0">
                  <c:v>7.1054273576010019E-12</c:v>
                </c:pt>
                <c:pt idx="1">
                  <c:v>-1.1790817211476678E-6</c:v>
                </c:pt>
                <c:pt idx="2">
                  <c:v>-2.8771012239303673E-4</c:v>
                </c:pt>
                <c:pt idx="3">
                  <c:v>-5.5939363292623057E-3</c:v>
                </c:pt>
                <c:pt idx="4">
                  <c:v>-3.3528961871809315E-2</c:v>
                </c:pt>
                <c:pt idx="5">
                  <c:v>-0.10597279148072403</c:v>
                </c:pt>
                <c:pt idx="6">
                  <c:v>-0.22913125734902451</c:v>
                </c:pt>
                <c:pt idx="7">
                  <c:v>-0.39099868917702452</c:v>
                </c:pt>
                <c:pt idx="8">
                  <c:v>-0.57330784125397827</c:v>
                </c:pt>
                <c:pt idx="9">
                  <c:v>-0.7617149330592099</c:v>
                </c:pt>
                <c:pt idx="10">
                  <c:v>-1.0000000000047748</c:v>
                </c:pt>
                <c:pt idx="11">
                  <c:v>-1.0000000000047748</c:v>
                </c:pt>
                <c:pt idx="12">
                  <c:v>-1.0000000000047748</c:v>
                </c:pt>
                <c:pt idx="13">
                  <c:v>-1.0000000000047748</c:v>
                </c:pt>
                <c:pt idx="14">
                  <c:v>-1.0000000000047748</c:v>
                </c:pt>
                <c:pt idx="15">
                  <c:v>-1.0000000000047748</c:v>
                </c:pt>
                <c:pt idx="16">
                  <c:v>-1.0000000000047748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FAD-8D93-2E6EC412F4C8}"/>
            </c:ext>
          </c:extLst>
        </c:ser>
        <c:ser>
          <c:idx val="1"/>
          <c:order val="1"/>
          <c:tx>
            <c:strRef>
              <c:f>Comparison!$I$3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Comparison!$J$5:$J$21</c:f>
              <c:numCache>
                <c:formatCode>General</c:formatCode>
                <c:ptCount val="17"/>
                <c:pt idx="0">
                  <c:v>-1.8313593750313832E-12</c:v>
                </c:pt>
                <c:pt idx="1">
                  <c:v>-9.8221734827945515E-7</c:v>
                </c:pt>
                <c:pt idx="2">
                  <c:v>-3.0261645035840889E-4</c:v>
                </c:pt>
                <c:pt idx="3">
                  <c:v>-5.6417065320626958E-3</c:v>
                </c:pt>
                <c:pt idx="4">
                  <c:v>-3.4496846979592544E-2</c:v>
                </c:pt>
                <c:pt idx="5">
                  <c:v>-0.10282584211140922</c:v>
                </c:pt>
                <c:pt idx="6">
                  <c:v>-0.23406176178131233</c:v>
                </c:pt>
                <c:pt idx="7">
                  <c:v>-0.39622477732814687</c:v>
                </c:pt>
                <c:pt idx="8">
                  <c:v>-0.57802404033235888</c:v>
                </c:pt>
                <c:pt idx="9">
                  <c:v>-0.75671739894112022</c:v>
                </c:pt>
                <c:pt idx="10">
                  <c:v>-0.96606517144337545</c:v>
                </c:pt>
                <c:pt idx="11">
                  <c:v>-0.99999999974897946</c:v>
                </c:pt>
                <c:pt idx="12">
                  <c:v>-0.99999999974897946</c:v>
                </c:pt>
                <c:pt idx="13">
                  <c:v>-0.99999999974897946</c:v>
                </c:pt>
                <c:pt idx="14">
                  <c:v>-0.99999999974897946</c:v>
                </c:pt>
                <c:pt idx="15">
                  <c:v>-0.99999999974897946</c:v>
                </c:pt>
                <c:pt idx="16">
                  <c:v>-0.99999999974897946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E-4FAD-8D93-2E6EC412F4C8}"/>
            </c:ext>
          </c:extLst>
        </c:ser>
        <c:ser>
          <c:idx val="2"/>
          <c:order val="2"/>
          <c:tx>
            <c:strRef>
              <c:f>Comparison!$K$3</c:f>
              <c:strCache>
                <c:ptCount val="1"/>
                <c:pt idx="0">
                  <c:v>Black-Scholes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Comparison!$L$5:$L$21</c:f>
              <c:numCache>
                <c:formatCode>General</c:formatCode>
                <c:ptCount val="17"/>
                <c:pt idx="0">
                  <c:v>-2.4889202229631897E-12</c:v>
                </c:pt>
                <c:pt idx="1">
                  <c:v>-1.1765844406786618E-6</c:v>
                </c:pt>
                <c:pt idx="2">
                  <c:v>-2.8552332645341382E-4</c:v>
                </c:pt>
                <c:pt idx="3">
                  <c:v>-5.4907607385588772E-3</c:v>
                </c:pt>
                <c:pt idx="4">
                  <c:v>-3.2332213072182633E-2</c:v>
                </c:pt>
                <c:pt idx="5">
                  <c:v>-9.9629090269840029E-2</c:v>
                </c:pt>
                <c:pt idx="6">
                  <c:v>-0.20821036023958911</c:v>
                </c:pt>
                <c:pt idx="7">
                  <c:v>-0.34014179243648329</c:v>
                </c:pt>
                <c:pt idx="8">
                  <c:v>-0.47270756996544655</c:v>
                </c:pt>
                <c:pt idx="9">
                  <c:v>-0.58951522174295934</c:v>
                </c:pt>
                <c:pt idx="10">
                  <c:v>-0.68329516985668892</c:v>
                </c:pt>
                <c:pt idx="11">
                  <c:v>-0.75370176760335927</c:v>
                </c:pt>
                <c:pt idx="12">
                  <c:v>-0.80403274549046344</c:v>
                </c:pt>
                <c:pt idx="13">
                  <c:v>-0.838737396861717</c:v>
                </c:pt>
                <c:pt idx="14">
                  <c:v>-0.86203780577530653</c:v>
                </c:pt>
                <c:pt idx="15">
                  <c:v>-0.87737694846291314</c:v>
                </c:pt>
                <c:pt idx="16">
                  <c:v>-0.88733074658935995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E-4FAD-8D93-2E6EC412F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Comparison!$N$3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Comparison!$N$5:$N$21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Comparison!$O$5:$O$21</c:f>
              <c:numCache>
                <c:formatCode>General</c:formatCode>
                <c:ptCount val="17"/>
                <c:pt idx="0">
                  <c:v>2.6409297504415008E-4</c:v>
                </c:pt>
                <c:pt idx="1">
                  <c:v>1.6362197293062763E-2</c:v>
                </c:pt>
                <c:pt idx="2">
                  <c:v>7.3944553925286982E-2</c:v>
                </c:pt>
                <c:pt idx="3">
                  <c:v>0.172857136526261</c:v>
                </c:pt>
                <c:pt idx="4">
                  <c:v>0.28310671071807292</c:v>
                </c:pt>
                <c:pt idx="5">
                  <c:v>0.34111374165135544</c:v>
                </c:pt>
                <c:pt idx="6">
                  <c:v>0.37656129400787108</c:v>
                </c:pt>
                <c:pt idx="7">
                  <c:v>0.400087719420128</c:v>
                </c:pt>
                <c:pt idx="8">
                  <c:v>0.41648436079455564</c:v>
                </c:pt>
                <c:pt idx="9">
                  <c:v>0.42826330781764455</c:v>
                </c:pt>
                <c:pt idx="10">
                  <c:v>0.43688668901964434</c:v>
                </c:pt>
                <c:pt idx="11">
                  <c:v>0.44327153094059213</c:v>
                </c:pt>
                <c:pt idx="12">
                  <c:v>0.44802537400379094</c:v>
                </c:pt>
                <c:pt idx="13">
                  <c:v>0.45156755843933638</c:v>
                </c:pt>
                <c:pt idx="14">
                  <c:v>0.45419669183921485</c:v>
                </c:pt>
                <c:pt idx="15">
                  <c:v>0.45613059676163914</c:v>
                </c:pt>
                <c:pt idx="16">
                  <c:v>0.45753119571934064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Comparison!$Q$3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Comparison!$N$5:$N$21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Comparison!$Q$5:$Q$21</c:f>
              <c:numCache>
                <c:formatCode>General</c:formatCode>
                <c:ptCount val="17"/>
                <c:pt idx="0">
                  <c:v>2.5283030298929674E-4</c:v>
                </c:pt>
                <c:pt idx="1">
                  <c:v>1.8003760845684141E-2</c:v>
                </c:pt>
                <c:pt idx="2">
                  <c:v>7.566620028656712E-2</c:v>
                </c:pt>
                <c:pt idx="3">
                  <c:v>0.17227824982180007</c:v>
                </c:pt>
                <c:pt idx="4">
                  <c:v>0.29259663217895415</c:v>
                </c:pt>
                <c:pt idx="5">
                  <c:v>0.33245253159464028</c:v>
                </c:pt>
                <c:pt idx="6">
                  <c:v>0.36917688126614223</c:v>
                </c:pt>
                <c:pt idx="7">
                  <c:v>0.40292198566760362</c:v>
                </c:pt>
                <c:pt idx="8">
                  <c:v>0.40581090324742775</c:v>
                </c:pt>
                <c:pt idx="9">
                  <c:v>0.43446346418818393</c:v>
                </c:pt>
                <c:pt idx="10">
                  <c:v>0.43518986384416536</c:v>
                </c:pt>
                <c:pt idx="11">
                  <c:v>0.43579652068004293</c:v>
                </c:pt>
                <c:pt idx="12">
                  <c:v>0.45820653608874551</c:v>
                </c:pt>
                <c:pt idx="13">
                  <c:v>0.45733406911985242</c:v>
                </c:pt>
                <c:pt idx="14">
                  <c:v>0.45648197169878557</c:v>
                </c:pt>
                <c:pt idx="15">
                  <c:v>0.45577969324117618</c:v>
                </c:pt>
                <c:pt idx="16">
                  <c:v>0.45503618854425554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Comparison!$S$3</c:f>
              <c:strCache>
                <c:ptCount val="1"/>
                <c:pt idx="0">
                  <c:v>Black-Scholes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Comparison!$N$5:$N$21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Comparison!$S$5:$S$21</c:f>
              <c:numCache>
                <c:formatCode>General</c:formatCode>
                <c:ptCount val="17"/>
                <c:pt idx="0">
                  <c:v>2.6409295700900081E-4</c:v>
                </c:pt>
                <c:pt idx="1">
                  <c:v>1.6362197082523188E-2</c:v>
                </c:pt>
                <c:pt idx="2">
                  <c:v>7.3944550212899057E-2</c:v>
                </c:pt>
                <c:pt idx="3">
                  <c:v>0.17285320167482446</c:v>
                </c:pt>
                <c:pt idx="4">
                  <c:v>0.28284019788206849</c:v>
                </c:pt>
                <c:pt idx="5">
                  <c:v>0.33964358361436808</c:v>
                </c:pt>
                <c:pt idx="6">
                  <c:v>0.3726288454956081</c:v>
                </c:pt>
                <c:pt idx="7">
                  <c:v>0.39246982558386612</c:v>
                </c:pt>
                <c:pt idx="8">
                  <c:v>0.40410971397405998</c:v>
                </c:pt>
                <c:pt idx="9">
                  <c:v>0.41022690298312048</c:v>
                </c:pt>
                <c:pt idx="10">
                  <c:v>0.41243410955106297</c:v>
                </c:pt>
                <c:pt idx="11">
                  <c:v>0.4117779509090711</c:v>
                </c:pt>
                <c:pt idx="12">
                  <c:v>0.40897638374502782</c:v>
                </c:pt>
                <c:pt idx="13">
                  <c:v>0.40454316202445334</c:v>
                </c:pt>
                <c:pt idx="14">
                  <c:v>0.39885820360836244</c:v>
                </c:pt>
                <c:pt idx="15">
                  <c:v>0.39220984971997208</c:v>
                </c:pt>
                <c:pt idx="16">
                  <c:v>0.3848215269034026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21</xdr:row>
      <xdr:rowOff>166687</xdr:rowOff>
    </xdr:from>
    <xdr:to>
      <xdr:col>8</xdr:col>
      <xdr:colOff>371475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15</xdr:col>
      <xdr:colOff>152400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22</xdr:row>
      <xdr:rowOff>66675</xdr:rowOff>
    </xdr:from>
    <xdr:to>
      <xdr:col>25</xdr:col>
      <xdr:colOff>114300</xdr:colOff>
      <xdr:row>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H21"/>
  <sheetViews>
    <sheetView workbookViewId="0">
      <selection activeCell="H9" sqref="H9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</cols>
  <sheetData>
    <row r="2" spans="2:8" ht="15.75" thickBot="1" x14ac:dyDescent="0.3">
      <c r="B2" s="3" t="s">
        <v>4</v>
      </c>
      <c r="C2" s="3"/>
    </row>
    <row r="3" spans="2:8" x14ac:dyDescent="0.25">
      <c r="B3" t="s">
        <v>6</v>
      </c>
      <c r="C3" s="6">
        <f>_xll.acq_excel_version()</f>
        <v>16</v>
      </c>
    </row>
    <row r="4" spans="2:8" x14ac:dyDescent="0.25">
      <c r="B4" t="s">
        <v>7</v>
      </c>
      <c r="C4" s="6" t="str">
        <f>_xll.acq_version()</f>
        <v>1.3.8026.40262</v>
      </c>
    </row>
    <row r="5" spans="2:8" x14ac:dyDescent="0.25">
      <c r="B5" t="s">
        <v>5</v>
      </c>
      <c r="C5" s="6" t="str">
        <f>_xll.acq_xllpath()</f>
        <v>D:\Github\ACQ\Distribution\ACQ64.xll</v>
      </c>
    </row>
    <row r="6" spans="2:8" x14ac:dyDescent="0.25">
      <c r="B6" t="s">
        <v>8</v>
      </c>
      <c r="C6" s="6" t="str">
        <f>_xll.acq_exceldna_version()</f>
        <v>1.1.0.3</v>
      </c>
    </row>
    <row r="7" spans="2:8" x14ac:dyDescent="0.25">
      <c r="B7" t="s">
        <v>12</v>
      </c>
      <c r="C7" s="6" t="str">
        <f>_xll.acq_dotnet_version()</f>
        <v>4.0.30319.42000</v>
      </c>
    </row>
    <row r="9" spans="2:8" ht="15.75" thickBot="1" x14ac:dyDescent="0.3">
      <c r="B9" s="3" t="s">
        <v>10</v>
      </c>
      <c r="C9" s="3"/>
      <c r="H9" t="str">
        <f>_xll.acq_join(C3:C11)</f>
        <v>16,1.3.8026.40262,D:\Github\ACQ\Distribution\ACQ64.xll,1.1.0.3,4.0.30319.42000,,,Ctrl+Shift+H,Ctrl+Shift+A</v>
      </c>
    </row>
    <row r="10" spans="2:8" x14ac:dyDescent="0.25">
      <c r="B10" t="s">
        <v>11</v>
      </c>
      <c r="C10" s="2" t="s">
        <v>9</v>
      </c>
    </row>
    <row r="11" spans="2:8" x14ac:dyDescent="0.25">
      <c r="B11" t="s">
        <v>13</v>
      </c>
      <c r="C11" s="2" t="s">
        <v>14</v>
      </c>
    </row>
    <row r="17" spans="2:3" ht="15.75" thickBot="1" x14ac:dyDescent="0.3">
      <c r="B17" s="3" t="s">
        <v>3</v>
      </c>
      <c r="C17" s="3"/>
    </row>
    <row r="18" spans="2:3" x14ac:dyDescent="0.25">
      <c r="B18" s="1" t="s">
        <v>1</v>
      </c>
      <c r="C18" s="5">
        <v>20150630</v>
      </c>
    </row>
    <row r="19" spans="2:3" x14ac:dyDescent="0.25">
      <c r="B19" s="1" t="s">
        <v>2</v>
      </c>
      <c r="C19" s="4">
        <f>_xll.acq_convert_todate(C18)</f>
        <v>42185</v>
      </c>
    </row>
    <row r="20" spans="2:3" x14ac:dyDescent="0.25">
      <c r="B20" s="1" t="s">
        <v>149</v>
      </c>
      <c r="C20" s="4">
        <f>_xll.acq_nextbusinessday(C19)</f>
        <v>42186</v>
      </c>
    </row>
    <row r="21" spans="2:3" x14ac:dyDescent="0.25">
      <c r="B21" s="1" t="s">
        <v>150</v>
      </c>
      <c r="C21" s="4">
        <f>_xll.acq_adjustbusinessday(C19,-1)</f>
        <v>42185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129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4" t="s">
        <v>128</v>
      </c>
      <c r="B1" s="54"/>
      <c r="C1" s="54"/>
      <c r="D1" s="54"/>
    </row>
    <row r="2" spans="1:43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3" t="s">
        <v>108</v>
      </c>
      <c r="T17" s="53"/>
      <c r="U17" s="53"/>
      <c r="V17" s="53"/>
      <c r="W17" s="53"/>
      <c r="X17" s="53"/>
      <c r="Y17" s="53"/>
      <c r="Z17" s="53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3" t="s">
        <v>131</v>
      </c>
      <c r="M32" s="53"/>
      <c r="N32" s="53"/>
      <c r="O32" s="53"/>
      <c r="P32" s="53"/>
      <c r="Q32" s="53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sqref="A1:D1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4" t="s">
        <v>130</v>
      </c>
      <c r="B1" s="54"/>
      <c r="C1" s="54"/>
      <c r="D1" s="54"/>
    </row>
    <row r="2" spans="1:45" ht="16.5" thickTop="1" thickBot="1" x14ac:dyDescent="0.3">
      <c r="F2" s="53" t="s">
        <v>97</v>
      </c>
      <c r="G2" s="53"/>
      <c r="H2" s="53"/>
      <c r="I2" s="53"/>
      <c r="L2" s="53" t="s">
        <v>98</v>
      </c>
      <c r="M2" s="53"/>
      <c r="N2" s="53"/>
      <c r="O2" s="53"/>
      <c r="P2" s="53"/>
      <c r="S2" s="53" t="s">
        <v>107</v>
      </c>
      <c r="T2" s="53"/>
      <c r="U2" s="53"/>
      <c r="V2" s="53"/>
      <c r="W2" s="53"/>
      <c r="X2" s="53"/>
      <c r="Y2" s="53"/>
      <c r="Z2" s="53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3" t="s">
        <v>108</v>
      </c>
      <c r="T17" s="53"/>
      <c r="U17" s="53"/>
      <c r="V17" s="53"/>
      <c r="W17" s="53"/>
      <c r="X17" s="53"/>
      <c r="Y17" s="53"/>
      <c r="Z17" s="53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135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137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145</v>
      </c>
      <c r="H30" s="53"/>
      <c r="I30" s="53"/>
      <c r="J30" s="53"/>
      <c r="K30" s="53"/>
      <c r="L30" s="53"/>
      <c r="M30" s="53"/>
      <c r="N30" s="53"/>
      <c r="S30" s="53" t="s">
        <v>146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0.32684607298527624</v>
      </c>
      <c r="I32">
        <f>_xll.acq_options_bjerksund_greeks(I$31,$F32,$C$5,$C$6,$C$8,$C$9,$C$7,TRUE)</f>
        <v>9.1262570833805512E-3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0.41780144709591127</v>
      </c>
      <c r="I33">
        <f>_xll.acq_options_bjerksund_greeks(I$31,$F33,$C$5,$C$6,$C$8,$C$9,$C$7,TRUE)</f>
        <v>8.9795619828691997E-3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0.50502740898750176</v>
      </c>
      <c r="I34">
        <f>_xll.acq_options_bjerksund_greeks(I$31,$F34,$C$5,$C$6,$C$8,$C$9,$C$7,TRUE)</f>
        <v>8.4097777630631754E-3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0.58515376070999991</v>
      </c>
      <c r="I35">
        <f>_xll.acq_options_bjerksund_greeks(I$31,$F35,$C$5,$C$6,$C$8,$C$9,$C$7,TRUE)</f>
        <v>7.5859389880861272E-3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0.65636990849071708</v>
      </c>
      <c r="I36">
        <f>_xll.acq_options_bjerksund_greeks(I$31,$F36,$C$5,$C$6,$C$8,$C$9,$C$7,TRUE)</f>
        <v>6.6478236249167821E-3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0.71806934128204603</v>
      </c>
      <c r="I37">
        <f>_xll.acq_options_bjerksund_greeks(I$31,$F37,$C$5,$C$6,$C$8,$C$9,$C$7,TRUE)</f>
        <v>5.6961795280585648E-3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0.77046729208518627</v>
      </c>
      <c r="I38">
        <f>_xll.acq_options_bjerksund_greeks(I$31,$F38,$C$5,$C$6,$C$8,$C$9,$C$7,TRUE)</f>
        <v>4.795651875610929E-3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0.81427381539356247</v>
      </c>
      <c r="I39">
        <f>_xll.acq_options_bjerksund_greeks(I$31,$F39,$C$5,$C$6,$C$8,$C$9,$C$7,TRUE)</f>
        <v>3.9819099129090318E-3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0.85044800882627669</v>
      </c>
      <c r="I40">
        <f>_xll.acq_options_bjerksund_greeks(I$31,$F40,$C$5,$C$6,$C$8,$C$9,$C$7,TRUE)</f>
        <v>3.2703866281735827E-3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0.88003009192050285</v>
      </c>
      <c r="I41">
        <f>_xll.acq_options_bjerksund_greeks(I$31,$F41,$C$5,$C$6,$C$8,$C$9,$C$7,TRUE)</f>
        <v>2.6630573302099947E-3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0.90403657417681416</v>
      </c>
      <c r="I42">
        <f>_xll.acq_options_bjerksund_greeks(I$31,$F42,$C$5,$C$6,$C$8,$C$9,$C$7,TRUE)</f>
        <v>2.1538824057643069E-3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148</v>
      </c>
      <c r="H45" s="53"/>
      <c r="I45" s="53"/>
      <c r="J45" s="53"/>
      <c r="K45" s="53"/>
      <c r="L45" s="53"/>
      <c r="M45" s="53"/>
      <c r="N45" s="53"/>
      <c r="S45" s="53" t="s">
        <v>147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-1.0000000000047748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-0.95246093335532578</v>
      </c>
      <c r="I48">
        <f>_xll.acq_options_bjerksund_greeks(I$31,$F48,$C$5,$C$6,$C$8,$C$9,$C$7,FALSE)</f>
        <v>2.3058277065501898E-2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-0.74929179008442759</v>
      </c>
      <c r="I49">
        <f>_xll.acq_options_bjerksund_greeks(I$31,$F49,$C$5,$C$6,$C$8,$C$9,$C$7,FALSE)</f>
        <v>1.7856116585335258E-2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-0.59088314509025963</v>
      </c>
      <c r="I50">
        <f>_xll.acq_options_bjerksund_greeks(I$31,$F50,$C$5,$C$6,$C$8,$C$9,$C$7,FALSE)</f>
        <v>1.4004207571360894E-2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-0.46624407377038324</v>
      </c>
      <c r="I51">
        <f>_xll.acq_options_bjerksund_greeks(I$31,$F51,$C$5,$C$6,$C$8,$C$9,$C$7,FALSE)</f>
        <v>1.1047632142435759E-2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-0.36779716406698526</v>
      </c>
      <c r="I52">
        <f>_xll.acq_options_bjerksund_greeks(I$31,$F52,$C$5,$C$6,$C$8,$C$9,$C$7,FALSE)</f>
        <v>8.7334939280481194E-3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-0.2899608903845774</v>
      </c>
      <c r="I53">
        <f>_xll.acq_options_bjerksund_greeks(I$31,$F53,$C$5,$C$6,$C$8,$C$9,$C$7,FALSE)</f>
        <v>6.9045711370563367E-3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-0.22844808032829178</v>
      </c>
      <c r="I54">
        <f>_xll.acq_options_bjerksund_greeks(I$31,$F54,$C$5,$C$6,$C$8,$C$9,$C$7,FALSE)</f>
        <v>5.4537991900360794E-3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-0.17988830100534869</v>
      </c>
      <c r="I55">
        <f>_xll.acq_options_bjerksund_greeks(I$31,$F55,$C$5,$C$6,$C$8,$C$9,$C$7,FALSE)</f>
        <v>4.3026489038311411E-3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-0.1416023994806892</v>
      </c>
      <c r="I56">
        <f>_xll.acq_options_bjerksund_greeks(I$31,$F56,$C$5,$C$6,$C$8,$C$9,$C$7,FALSE)</f>
        <v>3.3900278140208684E-3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-0.111452555103142</v>
      </c>
      <c r="I57">
        <f>_xll.acq_options_bjerksund_greeks(I$31,$F57,$C$5,$C$6,$C$8,$C$9,$C$7,FALSE)</f>
        <v>2.6681732379074674E-3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topLeftCell="A16" workbookViewId="0">
      <selection activeCell="G46" sqref="G46:N46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3" t="s">
        <v>139</v>
      </c>
      <c r="G3" s="53"/>
      <c r="H3" s="53"/>
      <c r="I3" s="53" t="s">
        <v>163</v>
      </c>
      <c r="J3" s="53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_xll.acq_options_binomial_american_price($C$4,F5,$C$6,$C$8,$C$9,$C$7,TRUE,500)</f>
        <v>71.39292024839763</v>
      </c>
      <c r="J5">
        <f>_xll.acq_options_binomial_american_price($C$4,F5,$C$6,$C$8,$C$9,$C$7,FALSE)</f>
        <v>1.3004153589683269E-8</v>
      </c>
      <c r="L5" s="45">
        <v>0.05</v>
      </c>
      <c r="M5">
        <f>_xll.acq_options_binomial_american_price(M$4,$C$5,$L5,$C$8,$C$9,$C$7,TRUE)</f>
        <v>6.7389443290863165E-5</v>
      </c>
      <c r="N5">
        <f>_xll.acq_options_binomial_american_price(N$4,$C$5,$L5,$C$8,$C$9,$C$7,TRUE)</f>
        <v>1.5227156621818394E-2</v>
      </c>
      <c r="O5">
        <f>_xll.acq_options_binomial_american_price(O$4,$C$5,$L5,$C$8,$C$9,$C$7,TRUE)</f>
        <v>0.47191846432396922</v>
      </c>
      <c r="P5">
        <f>_xll.acq_options_binomial_american_price(P$4,$C$5,$L5,$C$8,$C$9,$C$7,TRUE)</f>
        <v>3.5675853641059323</v>
      </c>
      <c r="Q5">
        <f>_xll.acq_options_binomial_american_price(Q$4,$C$5,$L5,$C$8,$C$9,$C$7,TRUE)</f>
        <v>10.925668276640137</v>
      </c>
      <c r="R5">
        <f>_xll.acq_options_binomial_american_price(R$4,$C$5,$L5,$C$8,$C$9,$C$7,TRUE)</f>
        <v>20.48235894305553</v>
      </c>
      <c r="S5">
        <f>_xll.acq_options_binomial_american_price(S$4,$C$5,$L5,$C$8,$C$9,$C$7,TRUE)</f>
        <v>30.450408800102753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10.198516957736441</v>
      </c>
      <c r="Y5">
        <f>_xll.acq_options_binomial_american_price(Y$4,$C$5,$U5,$C$8,$C$9,$C$7,FALSE)</f>
        <v>3.1496521083188109</v>
      </c>
      <c r="Z5">
        <f>_xll.acq_options_binomial_american_price(Z$4,$C$5,$U5,$C$8,$C$9,$C$7,FALSE)</f>
        <v>0.47937584508126585</v>
      </c>
      <c r="AA5">
        <f>_xll.acq_options_binomial_american_price(AA$4,$C$5,$U5,$C$8,$C$9,$C$7,FALSE)</f>
        <v>3.3179084588172848E-2</v>
      </c>
      <c r="AB5">
        <f>_xll.acq_options_binomial_american_price(AB$4,$C$5,$U5,$C$8,$C$9,$C$7,FALSE)</f>
        <v>1.0866894359929744E-3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_xll.acq_options_binomial_american_price($C$4,F6,$C$6,$C$8,$C$9,$C$7,TRUE,500)</f>
        <v>62.786005043478156</v>
      </c>
      <c r="J6">
        <f>_xll.acq_options_binomial_american_price($C$4,F6,$C$6,$C$8,$C$9,$C$7,FALSE)</f>
        <v>1.7135034980487069E-4</v>
      </c>
      <c r="L6" s="45">
        <v>0.1</v>
      </c>
      <c r="M6">
        <f>_xll.acq_options_binomial_american_price(M$4,$C$5,$L6,$C$8,$C$9,$C$7,TRUE)</f>
        <v>9.5199509918166732E-3</v>
      </c>
      <c r="N6">
        <f>_xll.acq_options_binomial_american_price(N$4,$C$5,$L6,$C$8,$C$9,$C$7,TRUE)</f>
        <v>0.18461315930108885</v>
      </c>
      <c r="O6">
        <f>_xll.acq_options_binomial_american_price(O$4,$C$5,$L6,$C$8,$C$9,$C$7,TRUE)</f>
        <v>1.3804442200727522</v>
      </c>
      <c r="P6">
        <f>_xll.acq_options_binomial_american_price(P$4,$C$5,$L6,$C$8,$C$9,$C$7,TRUE)</f>
        <v>5.1753511159144931</v>
      </c>
      <c r="Q6">
        <f>_xll.acq_options_binomial_american_price(Q$4,$C$5,$L6,$C$8,$C$9,$C$7,TRUE)</f>
        <v>12.140051013999198</v>
      </c>
      <c r="R6">
        <f>_xll.acq_options_binomial_american_price(R$4,$C$5,$L6,$C$8,$C$9,$C$7,TRUE)</f>
        <v>21.151262442043254</v>
      </c>
      <c r="S6">
        <f>_xll.acq_options_binomial_american_price(S$4,$C$5,$L6,$C$8,$C$9,$C$7,TRUE)</f>
        <v>30.934273012072509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10.736109041031241</v>
      </c>
      <c r="Y6">
        <f>_xll.acq_options_binomial_american_price(Y$4,$C$5,$U6,$C$8,$C$9,$C$7,FALSE)</f>
        <v>4.3469240731750567</v>
      </c>
      <c r="Z6">
        <f>_xll.acq_options_binomial_american_price(Z$4,$C$5,$U6,$C$8,$C$9,$C$7,FALSE)</f>
        <v>1.2566802579970395</v>
      </c>
      <c r="AA6">
        <f>_xll.acq_options_binomial_american_price(AA$4,$C$5,$U6,$C$8,$C$9,$C$7,FALSE)</f>
        <v>0.2560976046452943</v>
      </c>
      <c r="AB6">
        <f>_xll.acq_options_binomial_american_price(AB$4,$C$5,$U6,$C$8,$C$9,$C$7,FALSE)</f>
        <v>3.7217788389723921E-2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_xll.acq_options_binomial_american_price($C$4,F7,$C$6,$C$8,$C$9,$C$7,TRUE,500)</f>
        <v>54.189648868597033</v>
      </c>
      <c r="J7">
        <f>_xll.acq_options_binomial_american_price($C$4,F7,$C$6,$C$8,$C$9,$C$7,FALSE)</f>
        <v>1.1537397435050832E-2</v>
      </c>
      <c r="L7" s="45">
        <v>0.15</v>
      </c>
      <c r="M7">
        <f>_xll.acq_options_binomial_american_price(M$4,$C$5,$L7,$C$8,$C$9,$C$7,TRUE)</f>
        <v>6.0752970986002491E-2</v>
      </c>
      <c r="N7">
        <f>_xll.acq_options_binomial_american_price(N$4,$C$5,$L7,$C$8,$C$9,$C$7,TRUE)</f>
        <v>0.50985767291251904</v>
      </c>
      <c r="O7">
        <f>_xll.acq_options_binomial_american_price(O$4,$C$5,$L7,$C$8,$C$9,$C$7,TRUE)</f>
        <v>2.2781900578911802</v>
      </c>
      <c r="P7">
        <f>_xll.acq_options_binomial_american_price(P$4,$C$5,$L7,$C$8,$C$9,$C$7,TRUE)</f>
        <v>6.4598522858230476</v>
      </c>
      <c r="Q7">
        <f>_xll.acq_options_binomial_american_price(Q$4,$C$5,$L7,$C$8,$C$9,$C$7,TRUE)</f>
        <v>13.271269225989666</v>
      </c>
      <c r="R7">
        <f>_xll.acq_options_binomial_american_price(R$4,$C$5,$L7,$C$8,$C$9,$C$7,TRUE)</f>
        <v>21.926539612081594</v>
      </c>
      <c r="S7">
        <f>_xll.acq_options_binomial_american_price(S$4,$C$5,$L7,$C$8,$C$9,$C$7,TRUE)</f>
        <v>31.486444293113056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20.007991867103172</v>
      </c>
      <c r="X7">
        <f>_xll.acq_options_binomial_american_price(X$4,$C$5,$U7,$C$8,$C$9,$C$7,FALSE)</f>
        <v>11.262596813764219</v>
      </c>
      <c r="Y7">
        <f>_xll.acq_options_binomial_american_price(Y$4,$C$5,$U7,$C$8,$C$9,$C$7,FALSE)</f>
        <v>5.2252442929092213</v>
      </c>
      <c r="Z7">
        <f>_xll.acq_options_binomial_american_price(Z$4,$C$5,$U7,$C$8,$C$9,$C$7,FALSE)</f>
        <v>1.9574825712545332</v>
      </c>
      <c r="AA7">
        <f>_xll.acq_options_binomial_american_price(AA$4,$C$5,$U7,$C$8,$C$9,$C$7,FALSE)</f>
        <v>0.58965556346314774</v>
      </c>
      <c r="AB7">
        <f>_xll.acq_options_binomial_american_price(AB$4,$C$5,$U7,$C$8,$C$9,$C$7,FALSE)</f>
        <v>0.14391814126012484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_xll.acq_options_binomial_american_price($C$4,F8,$C$6,$C$8,$C$9,$C$7,TRUE,500)</f>
        <v>45.692302436703628</v>
      </c>
      <c r="J8">
        <f>_xll.acq_options_binomial_american_price($C$4,F8,$C$6,$C$8,$C$9,$C$7,FALSE)</f>
        <v>0.1302336922510387</v>
      </c>
      <c r="L8" s="45">
        <v>0.2</v>
      </c>
      <c r="M8">
        <f>_xll.acq_options_binomial_american_price(M$4,$C$5,$L8,$C$8,$C$9,$C$7,TRUE)</f>
        <v>0.16919862797294793</v>
      </c>
      <c r="N8">
        <f>_xll.acq_options_binomial_american_price(N$4,$C$5,$L8,$C$8,$C$9,$C$7,TRUE)</f>
        <v>0.91982894569355489</v>
      </c>
      <c r="O8">
        <f>_xll.acq_options_binomial_american_price(O$4,$C$5,$L8,$C$8,$C$9,$C$7,TRUE)</f>
        <v>3.1334924126987165</v>
      </c>
      <c r="P8">
        <f>_xll.acq_options_binomial_american_price(P$4,$C$5,$L8,$C$8,$C$9,$C$7,TRUE)</f>
        <v>7.5765904571213047</v>
      </c>
      <c r="Q8">
        <f>_xll.acq_options_binomial_american_price(Q$4,$C$5,$L8,$C$8,$C$9,$C$7,TRUE)</f>
        <v>14.314276902060822</v>
      </c>
      <c r="R8">
        <f>_xll.acq_options_binomial_american_price(R$4,$C$5,$L8,$C$8,$C$9,$C$7,TRUE)</f>
        <v>22.731412829023512</v>
      </c>
      <c r="S8">
        <f>_xll.acq_options_binomial_american_price(S$4,$C$5,$L8,$C$8,$C$9,$C$7,TRUE)</f>
        <v>32.092763944280875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20.079492632067531</v>
      </c>
      <c r="X8">
        <f>_xll.acq_options_binomial_american_price(X$4,$C$5,$U8,$C$8,$C$9,$C$7,FALSE)</f>
        <v>11.745494988479869</v>
      </c>
      <c r="Y8">
        <f>_xll.acq_options_binomial_american_price(Y$4,$C$5,$U8,$C$8,$C$9,$C$7,FALSE)</f>
        <v>5.9392549584349155</v>
      </c>
      <c r="Z8">
        <f>_xll.acq_options_binomial_american_price(Z$4,$C$5,$U8,$C$8,$C$9,$C$7,FALSE)</f>
        <v>2.5752468142613028</v>
      </c>
      <c r="AA8">
        <f>_xll.acq_options_binomial_american_price(AA$4,$C$5,$U8,$C$8,$C$9,$C$7,FALSE)</f>
        <v>0.95706197710558749</v>
      </c>
      <c r="AB8">
        <f>_xll.acq_options_binomial_american_price(AB$4,$C$5,$U8,$C$8,$C$9,$C$7,FALSE)</f>
        <v>0.30745480850171397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_xll.acq_options_binomial_american_price($C$4,F9,$C$6,$C$8,$C$9,$C$7,TRUE,500)</f>
        <v>37.537152436659198</v>
      </c>
      <c r="J9">
        <f>_xll.acq_options_binomial_american_price($C$4,F9,$C$6,$C$8,$C$9,$C$7,FALSE)</f>
        <v>0.63211291650139534</v>
      </c>
      <c r="L9" s="45">
        <v>0.25</v>
      </c>
      <c r="M9">
        <f>_xll.acq_options_binomial_american_price(M$4,$C$5,$L9,$C$8,$C$9,$C$7,TRUE)</f>
        <v>0.32917888378584648</v>
      </c>
      <c r="N9">
        <f>_xll.acq_options_binomial_american_price(N$4,$C$5,$L9,$C$8,$C$9,$C$7,TRUE)</f>
        <v>1.3743197104723035</v>
      </c>
      <c r="O9">
        <f>_xll.acq_options_binomial_american_price(O$4,$C$5,$L9,$C$8,$C$9,$C$7,TRUE)</f>
        <v>3.944609255184</v>
      </c>
      <c r="P9">
        <f>_xll.acq_options_binomial_american_price(P$4,$C$5,$L9,$C$8,$C$9,$C$7,TRUE)</f>
        <v>8.5858105470248276</v>
      </c>
      <c r="Q9">
        <f>_xll.acq_options_binomial_american_price(Q$4,$C$5,$L9,$C$8,$C$9,$C$7,TRUE)</f>
        <v>15.285786327066745</v>
      </c>
      <c r="R9">
        <f>_xll.acq_options_binomial_american_price(R$4,$C$5,$L9,$C$8,$C$9,$C$7,TRUE)</f>
        <v>23.534630142211721</v>
      </c>
      <c r="S9">
        <f>_xll.acq_options_binomial_american_price(S$4,$C$5,$L9,$C$8,$C$9,$C$7,TRUE)</f>
        <v>32.730845701901892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20.194767542474992</v>
      </c>
      <c r="X9">
        <f>_xll.acq_options_binomial_american_price(X$4,$C$5,$U9,$C$8,$C$9,$C$7,FALSE)</f>
        <v>12.185157741754445</v>
      </c>
      <c r="Y9">
        <f>_xll.acq_options_binomial_american_price(Y$4,$C$5,$U9,$C$8,$C$9,$C$7,FALSE)</f>
        <v>6.5487286183018671</v>
      </c>
      <c r="Z9">
        <f>_xll.acq_options_binomial_american_price(Z$4,$C$5,$U9,$C$8,$C$9,$C$7,FALSE)</f>
        <v>3.1261604959116349</v>
      </c>
      <c r="AA9">
        <f>_xll.acq_options_binomial_american_price(AA$4,$C$5,$U9,$C$8,$C$9,$C$7,FALSE)</f>
        <v>1.3266998877773326</v>
      </c>
      <c r="AB9">
        <f>_xll.acq_options_binomial_american_price(AB$4,$C$5,$U9,$C$8,$C$9,$C$7,FALSE)</f>
        <v>0.50564178386067404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_xll.acq_options_binomial_american_price($C$4,F10,$C$6,$C$8,$C$9,$C$7,TRUE,500)</f>
        <v>30.053601555426589</v>
      </c>
      <c r="J10">
        <f>_xll.acq_options_binomial_american_price($C$4,F10,$C$6,$C$8,$C$9,$C$7,FALSE)</f>
        <v>1.9218446079453357</v>
      </c>
      <c r="L10" s="45">
        <v>0.3</v>
      </c>
      <c r="M10">
        <f>_xll.acq_options_binomial_american_price(M$4,$C$5,$L10,$C$8,$C$9,$C$7,TRUE)</f>
        <v>0.53407707838674523</v>
      </c>
      <c r="N10">
        <f>_xll.acq_options_binomial_american_price(N$4,$C$5,$L10,$C$8,$C$9,$C$7,TRUE)</f>
        <v>1.8541704694088081</v>
      </c>
      <c r="O10">
        <f>_xll.acq_options_binomial_american_price(O$4,$C$5,$L10,$C$8,$C$9,$C$7,TRUE)</f>
        <v>4.7188694157388422</v>
      </c>
      <c r="P10">
        <f>_xll.acq_options_binomial_american_price(P$4,$C$5,$L10,$C$8,$C$9,$C$7,TRUE)</f>
        <v>9.5184162277913202</v>
      </c>
      <c r="Q10">
        <f>_xll.acq_options_binomial_american_price(Q$4,$C$5,$L10,$C$8,$C$9,$C$7,TRUE)</f>
        <v>16.203219694058909</v>
      </c>
      <c r="R10">
        <f>_xll.acq_options_binomial_american_price(R$4,$C$5,$L10,$C$8,$C$9,$C$7,TRUE)</f>
        <v>24.327994976011894</v>
      </c>
      <c r="S10">
        <f>_xll.acq_options_binomial_american_price(S$4,$C$5,$L10,$C$8,$C$9,$C$7,TRUE)</f>
        <v>33.384365259872226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20.333814469095241</v>
      </c>
      <c r="X10">
        <f>_xll.acq_options_binomial_american_price(X$4,$C$5,$U10,$C$8,$C$9,$C$7,FALSE)</f>
        <v>12.587694511694838</v>
      </c>
      <c r="Y10">
        <f>_xll.acq_options_binomial_american_price(Y$4,$C$5,$U10,$C$8,$C$9,$C$7,FALSE)</f>
        <v>7.0842586615131538</v>
      </c>
      <c r="Z10">
        <f>_xll.acq_options_binomial_american_price(Z$4,$C$5,$U10,$C$8,$C$9,$C$7,FALSE)</f>
        <v>3.6258799380953652</v>
      </c>
      <c r="AA10">
        <f>_xll.acq_options_binomial_american_price(AA$4,$C$5,$U10,$C$8,$C$9,$C$7,FALSE)</f>
        <v>1.6900154190731396</v>
      </c>
      <c r="AB10">
        <f>_xll.acq_options_binomial_american_price(AB$4,$C$5,$U10,$C$8,$C$9,$C$7,FALSE)</f>
        <v>0.72242302345127296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_xll.acq_options_binomial_american_price($C$4,F11,$C$6,$C$8,$C$9,$C$7,TRUE,500)</f>
        <v>23.517131093132885</v>
      </c>
      <c r="J11">
        <f>_xll.acq_options_binomial_american_price($C$4,F11,$C$6,$C$8,$C$9,$C$7,FALSE)</f>
        <v>4.3923235303803256</v>
      </c>
      <c r="L11" s="45">
        <v>0.35</v>
      </c>
      <c r="M11">
        <f>_xll.acq_options_binomial_american_price(M$4,$C$5,$L11,$C$8,$C$9,$C$7,TRUE)</f>
        <v>0.77141325306137509</v>
      </c>
      <c r="N11">
        <f>_xll.acq_options_binomial_american_price(N$4,$C$5,$L11,$C$8,$C$9,$C$7,TRUE)</f>
        <v>2.3435980551171132</v>
      </c>
      <c r="O11">
        <f>_xll.acq_options_binomial_american_price(O$4,$C$5,$L11,$C$8,$C$9,$C$7,TRUE)</f>
        <v>5.455770606963636</v>
      </c>
      <c r="P11">
        <f>_xll.acq_options_binomial_american_price(P$4,$C$5,$L11,$C$8,$C$9,$C$7,TRUE)</f>
        <v>10.392769579892075</v>
      </c>
      <c r="Q11">
        <f>_xll.acq_options_binomial_american_price(Q$4,$C$5,$L11,$C$8,$C$9,$C$7,TRUE)</f>
        <v>17.071546536324139</v>
      </c>
      <c r="R11">
        <f>_xll.acq_options_binomial_american_price(R$4,$C$5,$L11,$C$8,$C$9,$C$7,TRUE)</f>
        <v>25.107190237659832</v>
      </c>
      <c r="S11">
        <f>_xll.acq_options_binomial_american_price(S$4,$C$5,$L11,$C$8,$C$9,$C$7,TRUE)</f>
        <v>34.047453068697422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20.483806675394728</v>
      </c>
      <c r="X11">
        <f>_xll.acq_options_binomial_american_price(X$4,$C$5,$U11,$C$8,$C$9,$C$7,FALSE)</f>
        <v>12.956127523857603</v>
      </c>
      <c r="Y11">
        <f>_xll.acq_options_binomial_american_price(Y$4,$C$5,$U11,$C$8,$C$9,$C$7,FALSE)</f>
        <v>7.5640137492757678</v>
      </c>
      <c r="Z11">
        <f>_xll.acq_options_binomial_american_price(Z$4,$C$5,$U11,$C$8,$C$9,$C$7,FALSE)</f>
        <v>4.081058779182019</v>
      </c>
      <c r="AA11">
        <f>_xll.acq_options_binomial_american_price(AA$4,$C$5,$U11,$C$8,$C$9,$C$7,FALSE)</f>
        <v>2.0423974448504567</v>
      </c>
      <c r="AB11">
        <f>_xll.acq_options_binomial_american_price(AB$4,$C$5,$U11,$C$8,$C$9,$C$7,FALSE)</f>
        <v>0.95128986251304726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_xll.acq_options_binomial_american_price($C$4,F12,$C$6,$C$8,$C$9,$C$7,TRUE,500)</f>
        <v>18.043574235880687</v>
      </c>
      <c r="J12">
        <f>_xll.acq_options_binomial_american_price($C$4,F12,$C$6,$C$8,$C$9,$C$7,FALSE)</f>
        <v>8.3137800043606269</v>
      </c>
      <c r="L12" s="45">
        <v>0.4</v>
      </c>
      <c r="M12">
        <f>_xll.acq_options_binomial_american_price(M$4,$C$5,$L12,$C$8,$C$9,$C$7,TRUE)</f>
        <v>1.0364357509356661</v>
      </c>
      <c r="N12">
        <f>_xll.acq_options_binomial_american_price(N$4,$C$5,$L12,$C$8,$C$9,$C$7,TRUE)</f>
        <v>2.8384679031245375</v>
      </c>
      <c r="O12">
        <f>_xll.acq_options_binomial_american_price(O$4,$C$5,$L12,$C$8,$C$9,$C$7,TRUE)</f>
        <v>6.1642627548189388</v>
      </c>
      <c r="P12">
        <f>_xll.acq_options_binomial_american_price(P$4,$C$5,$L12,$C$8,$C$9,$C$7,TRUE)</f>
        <v>11.220837128470999</v>
      </c>
      <c r="Q12">
        <f>_xll.acq_options_binomial_american_price(Q$4,$C$5,$L12,$C$8,$C$9,$C$7,TRUE)</f>
        <v>17.908391745109661</v>
      </c>
      <c r="R12">
        <f>_xll.acq_options_binomial_american_price(R$4,$C$5,$L12,$C$8,$C$9,$C$7,TRUE)</f>
        <v>25.864719436770059</v>
      </c>
      <c r="S12">
        <f>_xll.acq_options_binomial_american_price(S$4,$C$5,$L12,$C$8,$C$9,$C$7,TRUE)</f>
        <v>34.710066656171691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20.639486582686409</v>
      </c>
      <c r="X12">
        <f>_xll.acq_options_binomial_american_price(X$4,$C$5,$U12,$C$8,$C$9,$C$7,FALSE)</f>
        <v>13.296628511774331</v>
      </c>
      <c r="Y12">
        <f>_xll.acq_options_binomial_american_price(Y$4,$C$5,$U12,$C$8,$C$9,$C$7,FALSE)</f>
        <v>7.9997903359228326</v>
      </c>
      <c r="Z12">
        <f>_xll.acq_options_binomial_american_price(Z$4,$C$5,$U12,$C$8,$C$9,$C$7,FALSE)</f>
        <v>4.5059648449810545</v>
      </c>
      <c r="AA12">
        <f>_xll.acq_options_binomial_american_price(AA$4,$C$5,$U12,$C$8,$C$9,$C$7,FALSE)</f>
        <v>2.3768822167453574</v>
      </c>
      <c r="AB12">
        <f>_xll.acq_options_binomial_american_price(AB$4,$C$5,$U12,$C$8,$C$9,$C$7,FALSE)</f>
        <v>1.1826825724757872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_xll.acq_options_binomial_american_price($C$4,F13,$C$6,$C$8,$C$9,$C$7,TRUE,500)</f>
        <v>13.646983639990616</v>
      </c>
      <c r="J13">
        <f>_xll.acq_options_binomial_american_price($C$4,F13,$C$6,$C$8,$C$9,$C$7,FALSE)</f>
        <v>13.856051071557786</v>
      </c>
      <c r="L13" s="45">
        <v>0.45</v>
      </c>
      <c r="M13">
        <f>_xll.acq_options_binomial_american_price(M$4,$C$5,$L13,$C$8,$C$9,$C$7,TRUE)</f>
        <v>1.3200675252090353</v>
      </c>
      <c r="N13">
        <f>_xll.acq_options_binomial_american_price(N$4,$C$5,$L13,$C$8,$C$9,$C$7,TRUE)</f>
        <v>3.3401521404396068</v>
      </c>
      <c r="O13">
        <f>_xll.acq_options_binomial_american_price(O$4,$C$5,$L13,$C$8,$C$9,$C$7,TRUE)</f>
        <v>6.8551606741337237</v>
      </c>
      <c r="P13">
        <f>_xll.acq_options_binomial_american_price(P$4,$C$5,$L13,$C$8,$C$9,$C$7,TRUE)</f>
        <v>12.010932741366165</v>
      </c>
      <c r="Q13">
        <f>_xll.acq_options_binomial_american_price(Q$4,$C$5,$L13,$C$8,$C$9,$C$7,TRUE)</f>
        <v>18.706909105416521</v>
      </c>
      <c r="R13">
        <f>_xll.acq_options_binomial_american_price(R$4,$C$5,$L13,$C$8,$C$9,$C$7,TRUE)</f>
        <v>26.610527483218156</v>
      </c>
      <c r="S13">
        <f>_xll.acq_options_binomial_american_price(S$4,$C$5,$L13,$C$8,$C$9,$C$7,TRUE)</f>
        <v>35.372429583738658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20.798819414239169</v>
      </c>
      <c r="X13">
        <f>_xll.acq_options_binomial_american_price(X$4,$C$5,$U13,$C$8,$C$9,$C$7,FALSE)</f>
        <v>13.618867333590861</v>
      </c>
      <c r="Y13">
        <f>_xll.acq_options_binomial_american_price(Y$4,$C$5,$U13,$C$8,$C$9,$C$7,FALSE)</f>
        <v>8.3997843360396196</v>
      </c>
      <c r="Z13">
        <f>_xll.acq_options_binomial_american_price(Z$4,$C$5,$U13,$C$8,$C$9,$C$7,FALSE)</f>
        <v>4.8961346922000057</v>
      </c>
      <c r="AA13">
        <f>_xll.acq_options_binomial_american_price(AA$4,$C$5,$U13,$C$8,$C$9,$C$7,FALSE)</f>
        <v>2.7012269139108231</v>
      </c>
      <c r="AB13">
        <f>_xll.acq_options_binomial_american_price(AB$4,$C$5,$U13,$C$8,$C$9,$C$7,FALSE)</f>
        <v>1.4159347775836346</v>
      </c>
    </row>
    <row r="14" spans="1:28" x14ac:dyDescent="0.25"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_xll.acq_options_binomial_american_price($C$4,F14,$C$6,$C$8,$C$9,$C$7,TRUE,500)</f>
        <v>10.195202990474041</v>
      </c>
      <c r="J14">
        <f>_xll.acq_options_binomial_american_price($C$4,F14,$C$6,$C$8,$C$9,$C$7,FALSE)</f>
        <v>21.077881200145224</v>
      </c>
      <c r="L14" s="45">
        <v>0.5</v>
      </c>
      <c r="M14">
        <f>_xll.acq_options_binomial_american_price(M$4,$C$5,$L14,$C$8,$C$9,$C$7,TRUE)</f>
        <v>1.6203574076594813</v>
      </c>
      <c r="N14">
        <f>_xll.acq_options_binomial_american_price(N$4,$C$5,$L14,$C$8,$C$9,$C$7,TRUE)</f>
        <v>3.8307105579713241</v>
      </c>
      <c r="O14">
        <f>_xll.acq_options_binomial_american_price(O$4,$C$5,$L14,$C$8,$C$9,$C$7,TRUE)</f>
        <v>7.5196206988862446</v>
      </c>
      <c r="P14">
        <f>_xll.acq_options_binomial_american_price(P$4,$C$5,$L14,$C$8,$C$9,$C$7,TRUE)</f>
        <v>12.769111136302611</v>
      </c>
      <c r="Q14">
        <f>_xll.acq_options_binomial_american_price(Q$4,$C$5,$L14,$C$8,$C$9,$C$7,TRUE)</f>
        <v>19.473222794965267</v>
      </c>
      <c r="R14">
        <f>_xll.acq_options_binomial_american_price(R$4,$C$5,$L14,$C$8,$C$9,$C$7,TRUE)</f>
        <v>27.333097108738642</v>
      </c>
      <c r="S14">
        <f>_xll.acq_options_binomial_american_price(S$4,$C$5,$L14,$C$8,$C$9,$C$7,TRUE)</f>
        <v>36.032810049797227</v>
      </c>
      <c r="U14" s="45">
        <v>0.5</v>
      </c>
      <c r="V14">
        <f>_xll.acq_options_binomial_american_price(V$4,$C$5,$U14,$C$8,$C$9,$C$7,FALSE)</f>
        <v>29.999999999997073</v>
      </c>
      <c r="W14">
        <f>_xll.acq_options_binomial_american_price(W$4,$C$5,$U14,$C$8,$C$9,$C$7,FALSE)</f>
        <v>20.953620669955477</v>
      </c>
      <c r="X14">
        <f>_xll.acq_options_binomial_american_price(X$4,$C$5,$U14,$C$8,$C$9,$C$7,FALSE)</f>
        <v>13.917885710451596</v>
      </c>
      <c r="Y14">
        <f>_xll.acq_options_binomial_american_price(Y$4,$C$5,$U14,$C$8,$C$9,$C$7,FALSE)</f>
        <v>8.7699469728477943</v>
      </c>
      <c r="Z14">
        <f>_xll.acq_options_binomial_american_price(Z$4,$C$5,$U14,$C$8,$C$9,$C$7,FALSE)</f>
        <v>5.2577768018450755</v>
      </c>
      <c r="AA14">
        <f>_xll.acq_options_binomial_american_price(AA$4,$C$5,$U14,$C$8,$C$9,$C$7,FALSE)</f>
        <v>3.0068548614986019</v>
      </c>
      <c r="AB14">
        <f>_xll.acq_options_binomial_american_price(AB$4,$C$5,$U14,$C$8,$C$9,$C$7,FALSE)</f>
        <v>1.6499900042539366</v>
      </c>
    </row>
    <row r="15" spans="1:28" x14ac:dyDescent="0.25"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_xll.acq_options_binomial_american_price($C$4,F15,$C$6,$C$8,$C$9,$C$7,TRUE,500)</f>
        <v>7.5402367882246084</v>
      </c>
      <c r="J15">
        <f>_xll.acq_options_binomial_american_price($C$4,F15,$C$6,$C$8,$C$9,$C$7,FALSE)</f>
        <v>30.006912996715364</v>
      </c>
      <c r="L15" s="45">
        <v>0.55000000000000004</v>
      </c>
      <c r="M15">
        <f>_xll.acq_options_binomial_american_price(M$4,$C$5,$L15,$C$8,$C$9,$C$7,TRUE)</f>
        <v>1.9368208052674625</v>
      </c>
      <c r="N15">
        <f>_xll.acq_options_binomial_american_price(N$4,$C$5,$L15,$C$8,$C$9,$C$7,TRUE)</f>
        <v>4.3310654801612243</v>
      </c>
      <c r="O15">
        <f>_xll.acq_options_binomial_american_price(O$4,$C$5,$L15,$C$8,$C$9,$C$7,TRUE)</f>
        <v>8.1614387325239939</v>
      </c>
      <c r="P15">
        <f>_xll.acq_options_binomial_american_price(P$4,$C$5,$L15,$C$8,$C$9,$C$7,TRUE)</f>
        <v>13.499944278393349</v>
      </c>
      <c r="Q15">
        <f>_xll.acq_options_binomial_american_price(Q$4,$C$5,$L15,$C$8,$C$9,$C$7,TRUE)</f>
        <v>20.220367442179658</v>
      </c>
      <c r="R15">
        <f>_xll.acq_options_binomial_american_price(R$4,$C$5,$L15,$C$8,$C$9,$C$7,TRUE)</f>
        <v>28.049526170208011</v>
      </c>
      <c r="S15">
        <f>_xll.acq_options_binomial_american_price(S$4,$C$5,$L15,$C$8,$C$9,$C$7,TRUE)</f>
        <v>36.679251033514888</v>
      </c>
      <c r="U15" s="45">
        <v>0.55000000000000004</v>
      </c>
      <c r="V15">
        <f>_xll.acq_options_binomial_american_price(V$4,$C$5,$U15,$C$8,$C$9,$C$7,FALSE)</f>
        <v>30.000602926582097</v>
      </c>
      <c r="W15">
        <f>_xll.acq_options_binomial_american_price(W$4,$C$5,$U15,$C$8,$C$9,$C$7,FALSE)</f>
        <v>21.111211700880759</v>
      </c>
      <c r="X15">
        <f>_xll.acq_options_binomial_american_price(X$4,$C$5,$U15,$C$8,$C$9,$C$7,FALSE)</f>
        <v>14.196837328925572</v>
      </c>
      <c r="Y15">
        <f>_xll.acq_options_binomial_american_price(Y$4,$C$5,$U15,$C$8,$C$9,$C$7,FALSE)</f>
        <v>9.1147730039375077</v>
      </c>
      <c r="Z15">
        <f>_xll.acq_options_binomial_american_price(Z$4,$C$5,$U15,$C$8,$C$9,$C$7,FALSE)</f>
        <v>5.6022955598481703</v>
      </c>
      <c r="AA15">
        <f>_xll.acq_options_binomial_american_price(AA$4,$C$5,$U15,$C$8,$C$9,$C$7,FALSE)</f>
        <v>3.3067623084559452</v>
      </c>
      <c r="AB15">
        <f>_xll.acq_options_binomial_american_price(AB$4,$C$5,$U15,$C$8,$C$9,$C$7,FALSE)</f>
        <v>1.873717672731295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_xll.acq_options_binomial_american_price($C$4,F16,$C$6,$C$8,$C$9,$C$7,TRUE,500)</f>
        <v>5.5584760823481929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2.2563840000227877</v>
      </c>
      <c r="N16">
        <f>_xll.acq_options_binomial_american_price(N$4,$C$5,$L16,$C$8,$C$9,$C$7,TRUE)</f>
        <v>4.8206498632759924</v>
      </c>
      <c r="O16">
        <f>_xll.acq_options_binomial_american_price(O$4,$C$5,$L16,$C$8,$C$9,$C$7,TRUE)</f>
        <v>8.7850030965565011</v>
      </c>
      <c r="P16">
        <f>_xll.acq_options_binomial_american_price(P$4,$C$5,$L16,$C$8,$C$9,$C$7,TRUE)</f>
        <v>14.206985063502442</v>
      </c>
      <c r="Q16">
        <f>_xll.acq_options_binomial_american_price(Q$4,$C$5,$L16,$C$8,$C$9,$C$7,TRUE)</f>
        <v>20.94880552512425</v>
      </c>
      <c r="R16">
        <f>_xll.acq_options_binomial_american_price(R$4,$C$5,$L16,$C$8,$C$9,$C$7,TRUE)</f>
        <v>28.743490895786088</v>
      </c>
      <c r="S16">
        <f>_xll.acq_options_binomial_american_price(S$4,$C$5,$L16,$C$8,$C$9,$C$7,TRUE)</f>
        <v>37.331086361026621</v>
      </c>
      <c r="U16" s="45">
        <v>0.6</v>
      </c>
      <c r="V16">
        <f>_xll.acq_options_binomial_american_price(V$4,$C$5,$U16,$C$8,$C$9,$C$7,FALSE)</f>
        <v>30.014097821316973</v>
      </c>
      <c r="W16">
        <f>_xll.acq_options_binomial_american_price(W$4,$C$5,$U16,$C$8,$C$9,$C$7,FALSE)</f>
        <v>21.263574340176397</v>
      </c>
      <c r="X16">
        <f>_xll.acq_options_binomial_american_price(X$4,$C$5,$U16,$C$8,$C$9,$C$7,FALSE)</f>
        <v>14.458910919970084</v>
      </c>
      <c r="Y16">
        <f>_xll.acq_options_binomial_american_price(Y$4,$C$5,$U16,$C$8,$C$9,$C$7,FALSE)</f>
        <v>9.4377414928370307</v>
      </c>
      <c r="Z16">
        <f>_xll.acq_options_binomial_american_price(Z$4,$C$5,$U16,$C$8,$C$9,$C$7,FALSE)</f>
        <v>5.9289865289282169</v>
      </c>
      <c r="AA16">
        <f>_xll.acq_options_binomial_american_price(AA$4,$C$5,$U16,$C$8,$C$9,$C$7,FALSE)</f>
        <v>3.5878375878609035</v>
      </c>
      <c r="AB16">
        <f>_xll.acq_options_binomial_american_price(AB$4,$C$5,$U16,$C$8,$C$9,$C$7,FALSE)</f>
        <v>2.1031727334003367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_xll.acq_options_binomial_american_price($C$4,F17,$C$6,$C$8,$C$9,$C$7,TRUE,500)</f>
        <v>4.0717913676729331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2.5904486745675372</v>
      </c>
      <c r="N17">
        <f>_xll.acq_options_binomial_american_price(N$4,$C$5,$L17,$C$8,$C$9,$C$7,TRUE)</f>
        <v>5.3027108913604106</v>
      </c>
      <c r="O17">
        <f>_xll.acq_options_binomial_american_price(O$4,$C$5,$L17,$C$8,$C$9,$C$7,TRUE)</f>
        <v>9.4038547387561859</v>
      </c>
      <c r="P17">
        <f>_xll.acq_options_binomial_american_price(P$4,$C$5,$L17,$C$8,$C$9,$C$7,TRUE)</f>
        <v>14.893059705518887</v>
      </c>
      <c r="Q17">
        <f>_xll.acq_options_binomial_american_price(Q$4,$C$5,$L17,$C$8,$C$9,$C$7,TRUE)</f>
        <v>21.655390101755017</v>
      </c>
      <c r="R17">
        <f>_xll.acq_options_binomial_american_price(R$4,$C$5,$L17,$C$8,$C$9,$C$7,TRUE)</f>
        <v>29.42176971615627</v>
      </c>
      <c r="S17">
        <f>_xll.acq_options_binomial_american_price(S$4,$C$5,$L17,$C$8,$C$9,$C$7,TRUE)</f>
        <v>37.965795297435321</v>
      </c>
      <c r="U17" s="45">
        <v>0.65</v>
      </c>
      <c r="V17">
        <f>_xll.acq_options_binomial_american_price(V$4,$C$5,$U17,$C$8,$C$9,$C$7,FALSE)</f>
        <v>30.032951158239111</v>
      </c>
      <c r="W17">
        <f>_xll.acq_options_binomial_american_price(W$4,$C$5,$U17,$C$8,$C$9,$C$7,FALSE)</f>
        <v>21.410487516793758</v>
      </c>
      <c r="X17">
        <f>_xll.acq_options_binomial_american_price(X$4,$C$5,$U17,$C$8,$C$9,$C$7,FALSE)</f>
        <v>14.713324436373167</v>
      </c>
      <c r="Y17">
        <f>_xll.acq_options_binomial_american_price(Y$4,$C$5,$U17,$C$8,$C$9,$C$7,FALSE)</f>
        <v>9.7416163048054418</v>
      </c>
      <c r="Z17">
        <f>_xll.acq_options_binomial_american_price(Z$4,$C$5,$U17,$C$8,$C$9,$C$7,FALSE)</f>
        <v>6.2363595309165438</v>
      </c>
      <c r="AA17">
        <f>_xll.acq_options_binomial_american_price(AA$4,$C$5,$U17,$C$8,$C$9,$C$7,FALSE)</f>
        <v>3.8570516702416091</v>
      </c>
      <c r="AB17">
        <f>_xll.acq_options_binomial_american_price(AB$4,$C$5,$U17,$C$8,$C$9,$C$7,FALSE)</f>
        <v>2.3192729055329591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_xll.acq_options_binomial_american_price($C$4,F18,$C$6,$C$8,$C$9,$C$7,TRUE,500)</f>
        <v>2.9742440513183572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2.9223278552798884</v>
      </c>
      <c r="N18">
        <f>_xll.acq_options_binomial_american_price(N$4,$C$5,$L18,$C$8,$C$9,$C$7,TRUE)</f>
        <v>5.7922462309045937</v>
      </c>
      <c r="O18">
        <f>_xll.acq_options_binomial_american_price(O$4,$C$5,$L18,$C$8,$C$9,$C$7,TRUE)</f>
        <v>10.006706601483423</v>
      </c>
      <c r="P18">
        <f>_xll.acq_options_binomial_american_price(P$4,$C$5,$L18,$C$8,$C$9,$C$7,TRUE)</f>
        <v>15.560460356438075</v>
      </c>
      <c r="Q18">
        <f>_xll.acq_options_binomial_american_price(Q$4,$C$5,$L18,$C$8,$C$9,$C$7,TRUE)</f>
        <v>22.342516303170079</v>
      </c>
      <c r="R18">
        <f>_xll.acq_options_binomial_american_price(R$4,$C$5,$L18,$C$8,$C$9,$C$7,TRUE)</f>
        <v>30.097087873431484</v>
      </c>
      <c r="S18">
        <f>_xll.acq_options_binomial_american_price(S$4,$C$5,$L18,$C$8,$C$9,$C$7,TRUE)</f>
        <v>38.600185229683973</v>
      </c>
      <c r="U18" s="45">
        <v>0.7</v>
      </c>
      <c r="V18">
        <f>_xll.acq_options_binomial_american_price(V$4,$C$5,$U18,$C$8,$C$9,$C$7,FALSE)</f>
        <v>30.059341356346312</v>
      </c>
      <c r="W18">
        <f>_xll.acq_options_binomial_american_price(W$4,$C$5,$U18,$C$8,$C$9,$C$7,FALSE)</f>
        <v>21.559131517066355</v>
      </c>
      <c r="X18">
        <f>_xll.acq_options_binomial_american_price(X$4,$C$5,$U18,$C$8,$C$9,$C$7,FALSE)</f>
        <v>14.954271912735333</v>
      </c>
      <c r="Y18">
        <f>_xll.acq_options_binomial_american_price(Y$4,$C$5,$U18,$C$8,$C$9,$C$7,FALSE)</f>
        <v>10.02863761952565</v>
      </c>
      <c r="Z18">
        <f>_xll.acq_options_binomial_american_price(Z$4,$C$5,$U18,$C$8,$C$9,$C$7,FALSE)</f>
        <v>6.5267977176588667</v>
      </c>
      <c r="AA18">
        <f>_xll.acq_options_binomial_american_price(AA$4,$C$5,$U18,$C$8,$C$9,$C$7,FALSE)</f>
        <v>4.1228624168314481</v>
      </c>
      <c r="AB18">
        <f>_xll.acq_options_binomial_american_price(AB$4,$C$5,$U18,$C$8,$C$9,$C$7,FALSE)</f>
        <v>2.5370326885236558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_xll.acq_options_binomial_american_price($C$4,F19,$C$6,$C$8,$C$9,$C$7,TRUE,500)</f>
        <v>2.1716638431141044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3.2693090573042518</v>
      </c>
      <c r="N19">
        <f>_xll.acq_options_binomial_american_price(N$4,$C$5,$L19,$C$8,$C$9,$C$7,TRUE)</f>
        <v>6.2712485126922672</v>
      </c>
      <c r="O19">
        <f>_xll.acq_options_binomial_american_price(O$4,$C$5,$L19,$C$8,$C$9,$C$7,TRUE)</f>
        <v>10.595178451622367</v>
      </c>
      <c r="P19">
        <f>_xll.acq_options_binomial_american_price(P$4,$C$5,$L19,$C$8,$C$9,$C$7,TRUE)</f>
        <v>16.211076659278859</v>
      </c>
      <c r="Q19">
        <f>_xll.acq_options_binomial_american_price(Q$4,$C$5,$L19,$C$8,$C$9,$C$7,TRUE)</f>
        <v>23.012158497894411</v>
      </c>
      <c r="R19">
        <f>_xll.acq_options_binomial_american_price(R$4,$C$5,$L19,$C$8,$C$9,$C$7,TRUE)</f>
        <v>30.755644667132223</v>
      </c>
      <c r="S19">
        <f>_xll.acq_options_binomial_american_price(S$4,$C$5,$L19,$C$8,$C$9,$C$7,TRUE)</f>
        <v>39.226195665205267</v>
      </c>
      <c r="U19" s="45">
        <v>0.75</v>
      </c>
      <c r="V19">
        <f>_xll.acq_options_binomial_american_price(V$4,$C$5,$U19,$C$8,$C$9,$C$7,FALSE)</f>
        <v>30.089449028389563</v>
      </c>
      <c r="W19">
        <f>_xll.acq_options_binomial_american_price(W$4,$C$5,$U19,$C$8,$C$9,$C$7,FALSE)</f>
        <v>21.701794577066991</v>
      </c>
      <c r="X19">
        <f>_xll.acq_options_binomial_american_price(X$4,$C$5,$U19,$C$8,$C$9,$C$7,FALSE)</f>
        <v>15.182920035124695</v>
      </c>
      <c r="Y19">
        <f>_xll.acq_options_binomial_american_price(Y$4,$C$5,$U19,$C$8,$C$9,$C$7,FALSE)</f>
        <v>10.300629363129143</v>
      </c>
      <c r="Z19">
        <f>_xll.acq_options_binomial_american_price(Z$4,$C$5,$U19,$C$8,$C$9,$C$7,FALSE)</f>
        <v>6.8021674919274799</v>
      </c>
      <c r="AA19">
        <f>_xll.acq_options_binomial_american_price(AA$4,$C$5,$U19,$C$8,$C$9,$C$7,FALSE)</f>
        <v>4.3747874057964689</v>
      </c>
      <c r="AB19">
        <f>_xll.acq_options_binomial_american_price(AB$4,$C$5,$U19,$C$8,$C$9,$C$7,FALSE)</f>
        <v>2.7479180540960666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_xll.acq_options_binomial_american_price($C$4,F20,$C$6,$C$8,$C$9,$C$7,TRUE,500)</f>
        <v>1.5861968399925466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3.6104160893761135</v>
      </c>
      <c r="N20">
        <f>_xll.acq_options_binomial_american_price(N$4,$C$5,$L20,$C$8,$C$9,$C$7,TRUE)</f>
        <v>6.7407187761816756</v>
      </c>
      <c r="O20">
        <f>_xll.acq_options_binomial_american_price(O$4,$C$5,$L20,$C$8,$C$9,$C$7,TRUE)</f>
        <v>11.170624018615731</v>
      </c>
      <c r="P20">
        <f>_xll.acq_options_binomial_american_price(P$4,$C$5,$L20,$C$8,$C$9,$C$7,TRUE)</f>
        <v>16.846488351873468</v>
      </c>
      <c r="Q20">
        <f>_xll.acq_options_binomial_american_price(Q$4,$C$5,$L20,$C$8,$C$9,$C$7,TRUE)</f>
        <v>23.665967109308021</v>
      </c>
      <c r="R20">
        <f>_xll.acq_options_binomial_american_price(R$4,$C$5,$L20,$C$8,$C$9,$C$7,TRUE)</f>
        <v>31.399026576265818</v>
      </c>
      <c r="S20">
        <f>_xll.acq_options_binomial_american_price(S$4,$C$5,$L20,$C$8,$C$9,$C$7,TRUE)</f>
        <v>39.838760352549961</v>
      </c>
      <c r="U20" s="45">
        <v>0.8</v>
      </c>
      <c r="V20">
        <f>_xll.acq_options_binomial_american_price(V$4,$C$5,$U20,$C$8,$C$9,$C$7,FALSE)</f>
        <v>30.124866575722983</v>
      </c>
      <c r="W20">
        <f>_xll.acq_options_binomial_american_price(W$4,$C$5,$U20,$C$8,$C$9,$C$7,FALSE)</f>
        <v>21.838600593831572</v>
      </c>
      <c r="X20">
        <f>_xll.acq_options_binomial_american_price(X$4,$C$5,$U20,$C$8,$C$9,$C$7,FALSE)</f>
        <v>15.400395714700007</v>
      </c>
      <c r="Y20">
        <f>_xll.acq_options_binomial_american_price(Y$4,$C$5,$U20,$C$8,$C$9,$C$7,FALSE)</f>
        <v>10.559150880418727</v>
      </c>
      <c r="Z20">
        <f>_xll.acq_options_binomial_american_price(Z$4,$C$5,$U20,$C$8,$C$9,$C$7,FALSE)</f>
        <v>7.064103570305476</v>
      </c>
      <c r="AA20">
        <f>_xll.acq_options_binomial_american_price(AA$4,$C$5,$U20,$C$8,$C$9,$C$7,FALSE)</f>
        <v>4.6144559006480907</v>
      </c>
      <c r="AB20">
        <f>_xll.acq_options_binomial_american_price(AB$4,$C$5,$U20,$C$8,$C$9,$C$7,FALSE)</f>
        <v>2.9487545115776159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_xll.acq_options_binomial_american_price($C$4,F21,$C$6,$C$8,$C$9,$C$7,TRUE,500)</f>
        <v>1.1574668369786083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3.9587621315297064</v>
      </c>
      <c r="N21">
        <f>_xll.acq_options_binomial_american_price(N$4,$C$5,$L21,$C$8,$C$9,$C$7,TRUE)</f>
        <v>7.2068719498575806</v>
      </c>
      <c r="O21">
        <f>_xll.acq_options_binomial_american_price(O$4,$C$5,$L21,$C$8,$C$9,$C$7,TRUE)</f>
        <v>11.734188447841266</v>
      </c>
      <c r="P21">
        <f>_xll.acq_options_binomial_american_price(P$4,$C$5,$L21,$C$8,$C$9,$C$7,TRUE)</f>
        <v>17.468032152816221</v>
      </c>
      <c r="Q21">
        <f>_xll.acq_options_binomial_american_price(Q$4,$C$5,$L21,$C$8,$C$9,$C$7,TRUE)</f>
        <v>24.305338542945165</v>
      </c>
      <c r="R21">
        <f>_xll.acq_options_binomial_american_price(R$4,$C$5,$L21,$C$8,$C$9,$C$7,TRUE)</f>
        <v>32.028575467524085</v>
      </c>
      <c r="S21">
        <f>_xll.acq_options_binomial_american_price(S$4,$C$5,$L21,$C$8,$C$9,$C$7,TRUE)</f>
        <v>40.449859879556065</v>
      </c>
      <c r="U21" s="45">
        <v>0.85</v>
      </c>
      <c r="V21">
        <f>_xll.acq_options_binomial_american_price(V$4,$C$5,$U21,$C$8,$C$9,$C$7,FALSE)</f>
        <v>30.163106974152903</v>
      </c>
      <c r="W21">
        <f>_xll.acq_options_binomial_american_price(W$4,$C$5,$U21,$C$8,$C$9,$C$7,FALSE)</f>
        <v>21.971603515935694</v>
      </c>
      <c r="X21">
        <f>_xll.acq_options_binomial_american_price(X$4,$C$5,$U21,$C$8,$C$9,$C$7,FALSE)</f>
        <v>15.607759967924167</v>
      </c>
      <c r="Y21">
        <f>_xll.acq_options_binomial_american_price(Y$4,$C$5,$U21,$C$8,$C$9,$C$7,FALSE)</f>
        <v>10.805485509466749</v>
      </c>
      <c r="Z21">
        <f>_xll.acq_options_binomial_american_price(Z$4,$C$5,$U21,$C$8,$C$9,$C$7,FALSE)</f>
        <v>7.3139354502019849</v>
      </c>
      <c r="AA21">
        <f>_xll.acq_options_binomial_american_price(AA$4,$C$5,$U21,$C$8,$C$9,$C$7,FALSE)</f>
        <v>4.8434239665641368</v>
      </c>
      <c r="AB21">
        <f>_xll.acq_options_binomial_american_price(AB$4,$C$5,$U21,$C$8,$C$9,$C$7,FALSE)</f>
        <v>3.1501095876919969</v>
      </c>
    </row>
    <row r="22" spans="6:28" x14ac:dyDescent="0.25">
      <c r="L22" s="45">
        <v>0.9</v>
      </c>
      <c r="M22">
        <f>_xll.acq_options_binomial_american_price(M$4,$C$5,$L22,$C$8,$C$9,$C$7,TRUE)</f>
        <v>4.3125523604328633</v>
      </c>
      <c r="N22">
        <f>_xll.acq_options_binomial_american_price(N$4,$C$5,$L22,$C$8,$C$9,$C$7,TRUE)</f>
        <v>7.6783059602811541</v>
      </c>
      <c r="O22">
        <f>_xll.acq_options_binomial_american_price(O$4,$C$5,$L22,$C$8,$C$9,$C$7,TRUE)</f>
        <v>12.286850723962052</v>
      </c>
      <c r="P22">
        <f>_xll.acq_options_binomial_american_price(P$4,$C$5,$L22,$C$8,$C$9,$C$7,TRUE)</f>
        <v>18.0768511555464</v>
      </c>
      <c r="Q22">
        <f>_xll.acq_options_binomial_american_price(Q$4,$C$5,$L22,$C$8,$C$9,$C$7,TRUE)</f>
        <v>24.931466825009856</v>
      </c>
      <c r="R22">
        <f>_xll.acq_options_binomial_american_price(R$4,$C$5,$L22,$C$8,$C$9,$C$7,TRUE)</f>
        <v>32.65413828042977</v>
      </c>
      <c r="S22">
        <f>_xll.acq_options_binomial_american_price(S$4,$C$5,$L22,$C$8,$C$9,$C$7,TRUE)</f>
        <v>41.056719659103912</v>
      </c>
      <c r="U22" s="45">
        <v>0.9</v>
      </c>
      <c r="V22">
        <f>_xll.acq_options_binomial_american_price(V$4,$C$5,$U22,$C$8,$C$9,$C$7,FALSE)</f>
        <v>30.203239258270791</v>
      </c>
      <c r="W22">
        <f>_xll.acq_options_binomial_american_price(W$4,$C$5,$U22,$C$8,$C$9,$C$7,FALSE)</f>
        <v>22.105468168013054</v>
      </c>
      <c r="X22">
        <f>_xll.acq_options_binomial_american_price(X$4,$C$5,$U22,$C$8,$C$9,$C$7,FALSE)</f>
        <v>15.805896955953152</v>
      </c>
      <c r="Y22">
        <f>_xll.acq_options_binomial_american_price(Y$4,$C$5,$U22,$C$8,$C$9,$C$7,FALSE)</f>
        <v>11.040753163912626</v>
      </c>
      <c r="Z22">
        <f>_xll.acq_options_binomial_american_price(Z$4,$C$5,$U22,$C$8,$C$9,$C$7,FALSE)</f>
        <v>7.552967074347996</v>
      </c>
      <c r="AA22">
        <f>_xll.acq_options_binomial_american_price(AA$4,$C$5,$U22,$C$8,$C$9,$C$7,FALSE)</f>
        <v>5.0698652670112621</v>
      </c>
      <c r="AB22">
        <f>_xll.acq_options_binomial_american_price(AB$4,$C$5,$U22,$C$8,$C$9,$C$7,FALSE)</f>
        <v>3.3477741903970202</v>
      </c>
    </row>
    <row r="23" spans="6:28" x14ac:dyDescent="0.25">
      <c r="L23" s="45">
        <v>0.95</v>
      </c>
      <c r="M23">
        <f>_xll.acq_options_binomial_american_price(M$4,$C$5,$L23,$C$8,$C$9,$C$7,TRUE)</f>
        <v>4.6613544835052334</v>
      </c>
      <c r="N23">
        <f>_xll.acq_options_binomial_american_price(N$4,$C$5,$L23,$C$8,$C$9,$C$7,TRUE)</f>
        <v>8.1419101295035858</v>
      </c>
      <c r="O23">
        <f>_xll.acq_options_binomial_american_price(O$4,$C$5,$L23,$C$8,$C$9,$C$7,TRUE)</f>
        <v>12.829455607375451</v>
      </c>
      <c r="P23">
        <f>_xll.acq_options_binomial_american_price(P$4,$C$5,$L23,$C$8,$C$9,$C$7,TRUE)</f>
        <v>18.673932016735314</v>
      </c>
      <c r="Q23">
        <f>_xll.acq_options_binomial_american_price(Q$4,$C$5,$L23,$C$8,$C$9,$C$7,TRUE)</f>
        <v>25.549352866858158</v>
      </c>
      <c r="R23">
        <f>_xll.acq_options_binomial_american_price(R$4,$C$5,$L23,$C$8,$C$9,$C$7,TRUE)</f>
        <v>33.273490779007474</v>
      </c>
      <c r="S23">
        <f>_xll.acq_options_binomial_american_price(S$4,$C$5,$L23,$C$8,$C$9,$C$7,TRUE)</f>
        <v>41.652430734481598</v>
      </c>
      <c r="U23" s="45">
        <v>0.95</v>
      </c>
      <c r="V23">
        <f>_xll.acq_options_binomial_american_price(V$4,$C$5,$U23,$C$8,$C$9,$C$7,FALSE)</f>
        <v>30.245492121534514</v>
      </c>
      <c r="W23">
        <f>_xll.acq_options_binomial_american_price(W$4,$C$5,$U23,$C$8,$C$9,$C$7,FALSE)</f>
        <v>22.23465282410244</v>
      </c>
      <c r="X23">
        <f>_xll.acq_options_binomial_american_price(X$4,$C$5,$U23,$C$8,$C$9,$C$7,FALSE)</f>
        <v>15.995585429170406</v>
      </c>
      <c r="Y23">
        <f>_xll.acq_options_binomial_american_price(Y$4,$C$5,$U23,$C$8,$C$9,$C$7,FALSE)</f>
        <v>11.265901747076462</v>
      </c>
      <c r="Z23">
        <f>_xll.acq_options_binomial_american_price(Z$4,$C$5,$U23,$C$8,$C$9,$C$7,FALSE)</f>
        <v>7.7852074055360898</v>
      </c>
      <c r="AA23">
        <f>_xll.acq_options_binomial_american_price(AA$4,$C$5,$U23,$C$8,$C$9,$C$7,FALSE)</f>
        <v>5.2902949332892266</v>
      </c>
      <c r="AB23">
        <f>_xll.acq_options_binomial_american_price(AB$4,$C$5,$U23,$C$8,$C$9,$C$7,FALSE)</f>
        <v>3.5370096418600268</v>
      </c>
    </row>
    <row r="24" spans="6:28" x14ac:dyDescent="0.25">
      <c r="L24" s="45">
        <v>1</v>
      </c>
      <c r="M24">
        <f>_xll.acq_options_binomial_american_price(M$4,$C$5,$L24,$C$8,$C$9,$C$7,TRUE)</f>
        <v>5.0072683203158617</v>
      </c>
      <c r="N24">
        <f>_xll.acq_options_binomial_american_price(N$4,$C$5,$L24,$C$8,$C$9,$C$7,TRUE)</f>
        <v>8.5982595458559796</v>
      </c>
      <c r="O24">
        <f>_xll.acq_options_binomial_american_price(O$4,$C$5,$L24,$C$8,$C$9,$C$7,TRUE)</f>
        <v>13.362738088075593</v>
      </c>
      <c r="P24">
        <f>_xll.acq_options_binomial_american_price(P$4,$C$5,$L24,$C$8,$C$9,$C$7,TRUE)</f>
        <v>19.260133434922736</v>
      </c>
      <c r="Q24">
        <f>_xll.acq_options_binomial_american_price(Q$4,$C$5,$L24,$C$8,$C$9,$C$7,TRUE)</f>
        <v>26.159874858480968</v>
      </c>
      <c r="R24">
        <f>_xll.acq_options_binomial_american_price(R$4,$C$5,$L24,$C$8,$C$9,$C$7,TRUE)</f>
        <v>33.881454115259061</v>
      </c>
      <c r="S24">
        <f>_xll.acq_options_binomial_american_price(S$4,$C$5,$L24,$C$8,$C$9,$C$7,TRUE)</f>
        <v>42.237814280907358</v>
      </c>
      <c r="U24" s="45">
        <v>1</v>
      </c>
      <c r="V24">
        <f>_xll.acq_options_binomial_american_price(V$4,$C$5,$U24,$C$8,$C$9,$C$7,FALSE)</f>
        <v>30.288925921813231</v>
      </c>
      <c r="W24">
        <f>_xll.acq_options_binomial_american_price(W$4,$C$5,$U24,$C$8,$C$9,$C$7,FALSE)</f>
        <v>22.35922591251871</v>
      </c>
      <c r="X24">
        <f>_xll.acq_options_binomial_american_price(X$4,$C$5,$U24,$C$8,$C$9,$C$7,FALSE)</f>
        <v>16.177486646987941</v>
      </c>
      <c r="Y24">
        <f>_xll.acq_options_binomial_american_price(Y$4,$C$5,$U24,$C$8,$C$9,$C$7,FALSE)</f>
        <v>11.481754551536053</v>
      </c>
      <c r="Z24">
        <f>_xll.acq_options_binomial_american_price(Z$4,$C$5,$U24,$C$8,$C$9,$C$7,FALSE)</f>
        <v>8.0101277781703857</v>
      </c>
      <c r="AA24">
        <f>_xll.acq_options_binomial_american_price(AA$4,$C$5,$U24,$C$8,$C$9,$C$7,FALSE)</f>
        <v>5.5016500304448028</v>
      </c>
      <c r="AB24">
        <f>_xll.acq_options_binomial_american_price(AB$4,$C$5,$U24,$C$8,$C$9,$C$7,FALSE)</f>
        <v>3.7188126443119991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6.9465073166143299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3" t="s">
        <v>164</v>
      </c>
      <c r="H30" s="53"/>
      <c r="I30" s="53"/>
      <c r="J30" s="53"/>
      <c r="K30" s="53"/>
      <c r="L30" s="53"/>
      <c r="M30" s="53"/>
      <c r="N30" s="53"/>
      <c r="S30" s="53" t="s">
        <v>167</v>
      </c>
      <c r="T30" s="53"/>
      <c r="U30" s="53"/>
      <c r="V30" s="53"/>
      <c r="W30" s="53"/>
      <c r="X30" s="53"/>
      <c r="Y30" s="53"/>
      <c r="Z30" s="53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6.9480951029351656</v>
      </c>
      <c r="H32">
        <f>_xll.acq_options_binomial_american_greeks(H$31,$F32,$C$5,$C$6,$C$8,$C$9,$C$7,TRUE)</f>
        <v>0.3258718992231735</v>
      </c>
      <c r="I32">
        <f>_xll.acq_options_binomial_american_greeks(I$31,$F32,$C$5,$C$6,$C$8,$C$9,$C$7,TRUE)</f>
        <v>7.638334409421077E-8</v>
      </c>
      <c r="J32">
        <f>_xll.acq_options_binomial_american_greeks(J$31,$F32,$C$5,$C$6,$C$8,$C$9,$C$7,TRUE)</f>
        <v>56.899616579534076</v>
      </c>
      <c r="K32">
        <f>_xll.acq_options_binomial_american_greeks(K$31,$F32,$C$5,$C$6,$C$8,$C$9,$C$7,TRUE)</f>
        <v>-153.4730765886394</v>
      </c>
      <c r="L32">
        <f>_xll.acq_options_binomial_american_greeks(L$31,$F32,$C$5,$C$6,$C$8,$C$9,$C$7,TRUE)</f>
        <v>-0.26220359683470917</v>
      </c>
      <c r="M32">
        <f>_xll.acq_options_binomial_american_greeks(M$31,$F32,$C$5,$C$6,$C$8,$C$9,$C$7,TRUE)</f>
        <v>64.284966065398123</v>
      </c>
      <c r="N32">
        <f>_xll.acq_options_binomial_american_greeks(N$31,$F32,$C$5,$C$6,$C$8,$C$9,$C$7,TRUE)</f>
        <v>-4.387965384875514</v>
      </c>
      <c r="R32" s="13">
        <v>100</v>
      </c>
      <c r="S32">
        <f>_xll.acq_options_bjerksund_greeks(S$31,$F32,$C$5,$C$6,$C$8,$C$9,$C$7,TRUE)</f>
        <v>6.9465073166143299</v>
      </c>
      <c r="T32">
        <f>_xll.acq_options_bjerksund_greeks(T$31,$F32,$C$5,$C$6,$C$8,$C$9,$C$7,TRUE)</f>
        <v>0.32684607298527624</v>
      </c>
      <c r="U32">
        <f>_xll.acq_options_bjerksund_greeks(U$31,$F32,$C$5,$C$6,$C$8,$C$9,$C$7,TRUE)</f>
        <v>9.1262570833805512E-3</v>
      </c>
      <c r="V32">
        <f>_xll.acq_options_bjerksund_greeks(V$31,$F32,$C$5,$C$6,$C$8,$C$9,$C$7,TRUE)</f>
        <v>57.039015191614645</v>
      </c>
      <c r="W32">
        <f>_xll.acq_options_bjerksund_greeks(W$31,$F32,$C$5,$C$6,$C$8,$C$9,$C$7,TRUE)</f>
        <v>86.385122070709031</v>
      </c>
      <c r="X32">
        <f>_xll.acq_options_bjerksund_greeks(X$31,$F32,$C$5,$C$6,$C$8,$C$9,$C$7,TRUE)</f>
        <v>1.2177808335067652</v>
      </c>
      <c r="Y32">
        <f>_xll.acq_options_bjerksund_greeks(Y$31,$F32,$C$5,$C$6,$C$8,$C$9,$C$7,TRUE)</f>
        <v>64.345349058148926</v>
      </c>
      <c r="Z32">
        <f>_xll.acq_options_bjerksund_greeks(Z$31,$F32,$C$5,$C$6,$C$8,$C$9,$C$7,TRUE)</f>
        <v>-4.3961104729248746</v>
      </c>
    </row>
    <row r="33" spans="6:28" x14ac:dyDescent="0.25">
      <c r="F33" s="13">
        <v>110</v>
      </c>
      <c r="G33">
        <f>_xll.acq_options_binomial_american_greeks(G$31,$F33,$C$5,$C$6,$C$8,$C$9,$C$7,TRUE)</f>
        <v>10.669755434726884</v>
      </c>
      <c r="H33">
        <f>_xll.acq_options_binomial_american_greeks(H$31,$F33,$C$5,$C$6,$C$8,$C$9,$C$7,TRUE)</f>
        <v>0.42744278247930367</v>
      </c>
      <c r="I33">
        <f>_xll.acq_options_binomial_american_greeks(I$31,$F33,$C$5,$C$6,$C$8,$C$9,$C$7,TRUE)</f>
        <v>3.907985046680551E-8</v>
      </c>
      <c r="J33">
        <f>_xll.acq_options_binomial_american_greeks(J$31,$F33,$C$5,$C$6,$C$8,$C$9,$C$7,TRUE)</f>
        <v>69.236777640676308</v>
      </c>
      <c r="K33">
        <f>_xll.acq_options_binomial_american_greeks(K$31,$F33,$C$5,$C$6,$C$8,$C$9,$C$7,TRUE)</f>
        <v>-135.39501924242359</v>
      </c>
      <c r="L33">
        <f>_xll.acq_options_binomial_american_greeks(L$31,$F33,$C$5,$C$6,$C$8,$C$9,$C$7,TRUE)</f>
        <v>-0.28553984465773397</v>
      </c>
      <c r="M33">
        <f>_xll.acq_options_binomial_american_greeks(M$31,$F33,$C$5,$C$6,$C$8,$C$9,$C$7,TRUE)</f>
        <v>88.146166819979214</v>
      </c>
      <c r="N33">
        <f>_xll.acq_options_binomial_american_greeks(N$31,$F33,$C$5,$C$6,$C$8,$C$9,$C$7,TRUE)</f>
        <v>-5.5776085138141696</v>
      </c>
      <c r="R33" s="13">
        <v>110</v>
      </c>
      <c r="S33">
        <f>_xll.acq_options_bjerksund_greeks(S$31,$F33,$C$5,$C$6,$C$8,$C$9,$C$7,TRUE)</f>
        <v>10.670991424465527</v>
      </c>
      <c r="T33">
        <f>_xll.acq_options_bjerksund_greeks(T$31,$F33,$C$5,$C$6,$C$8,$C$9,$C$7,TRUE)</f>
        <v>0.41780144709591127</v>
      </c>
      <c r="U33">
        <f>_xll.acq_options_bjerksund_greeks(U$31,$F33,$C$5,$C$6,$C$8,$C$9,$C$7,TRUE)</f>
        <v>8.9795619828691997E-3</v>
      </c>
      <c r="V33">
        <f>_xll.acq_options_bjerksund_greeks(V$31,$F33,$C$5,$C$6,$C$8,$C$9,$C$7,TRUE)</f>
        <v>67.90796371146962</v>
      </c>
      <c r="W33">
        <f>_xll.acq_options_bjerksund_greeks(W$31,$F33,$C$5,$C$6,$C$8,$C$9,$C$7,TRUE)</f>
        <v>33.980461068949808</v>
      </c>
      <c r="X33">
        <f>_xll.acq_options_bjerksund_greeks(X$31,$F33,$C$5,$C$6,$C$8,$C$9,$C$7,TRUE)</f>
        <v>0.94145537055112527</v>
      </c>
      <c r="Y33">
        <f>_xll.acq_options_bjerksund_greeks(Y$31,$F33,$C$5,$C$6,$C$8,$C$9,$C$7,TRUE)</f>
        <v>88.217876881071078</v>
      </c>
      <c r="Z33">
        <f>_xll.acq_options_bjerksund_greeks(Z$31,$F33,$C$5,$C$6,$C$8,$C$9,$C$7,TRUE)</f>
        <v>-5.5126909344025421</v>
      </c>
    </row>
    <row r="34" spans="6:28" x14ac:dyDescent="0.25">
      <c r="F34" s="13">
        <v>120</v>
      </c>
      <c r="G34">
        <f>_xll.acq_options_binomial_american_greeks(G$31,$F34,$C$5,$C$6,$C$8,$C$9,$C$7,TRUE)</f>
        <v>15.292804485710892</v>
      </c>
      <c r="H34">
        <f>_xll.acq_options_binomial_american_greeks(H$31,$F34,$C$5,$C$6,$C$8,$C$9,$C$7,TRUE)</f>
        <v>0.49842043695758065</v>
      </c>
      <c r="I34">
        <f>_xll.acq_options_binomial_american_greeks(I$31,$F34,$C$5,$C$6,$C$8,$C$9,$C$7,TRUE)</f>
        <v>7.815970093361102E-8</v>
      </c>
      <c r="J34">
        <f>_xll.acq_options_binomial_american_greeks(J$31,$F34,$C$5,$C$6,$C$8,$C$9,$C$7,TRUE)</f>
        <v>75.004552400776461</v>
      </c>
      <c r="K34">
        <f>_xll.acq_options_binomial_american_greeks(K$31,$F34,$C$5,$C$6,$C$8,$C$9,$C$7,TRUE)</f>
        <v>-97.460473021726557</v>
      </c>
      <c r="L34">
        <f>_xll.acq_options_binomial_american_greeks(L$31,$F34,$C$5,$C$6,$C$8,$C$9,$C$7,TRUE)</f>
        <v>-0.29037434901013626</v>
      </c>
      <c r="M34">
        <f>_xll.acq_options_binomial_american_greeks(M$31,$F34,$C$5,$C$6,$C$8,$C$9,$C$7,TRUE)</f>
        <v>113.21621567412964</v>
      </c>
      <c r="N34">
        <f>_xll.acq_options_binomial_american_greeks(N$31,$F34,$C$5,$C$6,$C$8,$C$9,$C$7,TRUE)</f>
        <v>-6.4677802686343711</v>
      </c>
      <c r="R34" s="13">
        <v>120</v>
      </c>
      <c r="S34">
        <f>_xll.acq_options_bjerksund_greeks(S$31,$F34,$C$5,$C$6,$C$8,$C$9,$C$7,TRUE)</f>
        <v>15.289908007775914</v>
      </c>
      <c r="T34">
        <f>_xll.acq_options_bjerksund_greeks(T$31,$F34,$C$5,$C$6,$C$8,$C$9,$C$7,TRUE)</f>
        <v>0.50502740898750176</v>
      </c>
      <c r="U34">
        <f>_xll.acq_options_bjerksund_greeks(U$31,$F34,$C$5,$C$6,$C$8,$C$9,$C$7,TRUE)</f>
        <v>8.4097777630631754E-3</v>
      </c>
      <c r="V34">
        <f>_xll.acq_options_bjerksund_greeks(V$31,$F34,$C$5,$C$6,$C$8,$C$9,$C$7,TRUE)</f>
        <v>75.687936620806013</v>
      </c>
      <c r="W34">
        <f>_xll.acq_options_bjerksund_greeks(W$31,$F34,$C$5,$C$6,$C$8,$C$9,$C$7,TRUE)</f>
        <v>-1.4598946549426728</v>
      </c>
      <c r="X34">
        <f>_xll.acq_options_bjerksund_greeks(X$31,$F34,$C$5,$C$6,$C$8,$C$9,$C$7,TRUE)</f>
        <v>0.61062898559782752</v>
      </c>
      <c r="Y34">
        <f>_xll.acq_options_bjerksund_greeks(Y$31,$F34,$C$5,$C$6,$C$8,$C$9,$C$7,TRUE)</f>
        <v>113.28324526480316</v>
      </c>
      <c r="Z34">
        <f>_xll.acq_options_bjerksund_greeks(Z$31,$F34,$C$5,$C$6,$C$8,$C$9,$C$7,TRUE)</f>
        <v>-6.5034522182330079</v>
      </c>
    </row>
    <row r="35" spans="6:28" x14ac:dyDescent="0.25">
      <c r="F35" s="13">
        <v>130</v>
      </c>
      <c r="G35">
        <f>_xll.acq_options_binomial_american_greeks(G$31,$F35,$C$5,$C$6,$C$8,$C$9,$C$7,TRUE)</f>
        <v>20.738381483750189</v>
      </c>
      <c r="H35">
        <f>_xll.acq_options_binomial_american_greeks(H$31,$F35,$C$5,$C$6,$C$8,$C$9,$C$7,TRUE)</f>
        <v>0.56943852693969177</v>
      </c>
      <c r="I35">
        <f>_xll.acq_options_binomial_american_greeks(I$31,$F35,$C$5,$C$6,$C$8,$C$9,$C$7,TRUE)</f>
        <v>-2.4158453015843406E-7</v>
      </c>
      <c r="J35">
        <f>_xll.acq_options_binomial_american_greeks(J$31,$F35,$C$5,$C$6,$C$8,$C$9,$C$7,TRUE)</f>
        <v>78.937921478049162</v>
      </c>
      <c r="K35">
        <f>_xll.acq_options_binomial_american_greeks(K$31,$F35,$C$5,$C$6,$C$8,$C$9,$C$7,TRUE)</f>
        <v>-54.134859141186098</v>
      </c>
      <c r="L35">
        <f>_xll.acq_options_binomial_american_greeks(L$31,$F35,$C$5,$C$6,$C$8,$C$9,$C$7,TRUE)</f>
        <v>-0.28598483936548291</v>
      </c>
      <c r="M35">
        <f>_xll.acq_options_binomial_american_greeks(M$31,$F35,$C$5,$C$6,$C$8,$C$9,$C$7,TRUE)</f>
        <v>138.25525807863315</v>
      </c>
      <c r="N35">
        <f>_xll.acq_options_binomial_american_greeks(N$31,$F35,$C$5,$C$6,$C$8,$C$9,$C$7,TRUE)</f>
        <v>-7.265487208726995</v>
      </c>
      <c r="R35" s="13">
        <v>130</v>
      </c>
      <c r="S35">
        <f>_xll.acq_options_bjerksund_greeks(S$31,$F35,$C$5,$C$6,$C$8,$C$9,$C$7,TRUE)</f>
        <v>20.747698559422354</v>
      </c>
      <c r="T35">
        <f>_xll.acq_options_bjerksund_greeks(T$31,$F35,$C$5,$C$6,$C$8,$C$9,$C$7,TRUE)</f>
        <v>0.58515376070999991</v>
      </c>
      <c r="U35">
        <f>_xll.acq_options_bjerksund_greeks(U$31,$F35,$C$5,$C$6,$C$8,$C$9,$C$7,TRUE)</f>
        <v>7.5859389880861272E-3</v>
      </c>
      <c r="V35">
        <f>_xll.acq_options_bjerksund_greeks(V$31,$F35,$C$5,$C$6,$C$8,$C$9,$C$7,TRUE)</f>
        <v>80.126612325319186</v>
      </c>
      <c r="W35">
        <f>_xll.acq_options_bjerksund_greeks(W$31,$F35,$C$5,$C$6,$C$8,$C$9,$C$7,TRUE)</f>
        <v>-12.422145211132829</v>
      </c>
      <c r="X35">
        <f>_xll.acq_options_bjerksund_greeks(X$31,$F35,$C$5,$C$6,$C$8,$C$9,$C$7,TRUE)</f>
        <v>0.28096376603059525</v>
      </c>
      <c r="Y35">
        <f>_xll.acq_options_bjerksund_greeks(Y$31,$F35,$C$5,$C$6,$C$8,$C$9,$C$7,TRUE)</f>
        <v>138.30535437384484</v>
      </c>
      <c r="Z35">
        <f>_xll.acq_options_bjerksund_greeks(Z$31,$F35,$C$5,$C$6,$C$8,$C$9,$C$7,TRUE)</f>
        <v>-7.3260842762152834</v>
      </c>
    </row>
    <row r="36" spans="6:28" x14ac:dyDescent="0.25">
      <c r="F36" s="13">
        <v>140</v>
      </c>
      <c r="G36">
        <f>_xll.acq_options_binomial_american_greeks(G$31,$F36,$C$5,$C$6,$C$8,$C$9,$C$7,TRUE)</f>
        <v>26.954561846908643</v>
      </c>
      <c r="H36">
        <f>_xll.acq_options_binomial_american_greeks(H$31,$F36,$C$5,$C$6,$C$8,$C$9,$C$7,TRUE)</f>
        <v>0.671213824867678</v>
      </c>
      <c r="I36">
        <f>_xll.acq_options_binomial_american_greeks(I$31,$F36,$C$5,$C$6,$C$8,$C$9,$C$7,TRUE)</f>
        <v>2.1316282072803006E-8</v>
      </c>
      <c r="J36">
        <f>_xll.acq_options_binomial_american_greeks(J$31,$F36,$C$5,$C$6,$C$8,$C$9,$C$7,TRUE)</f>
        <v>81.987466773966773</v>
      </c>
      <c r="K36">
        <f>_xll.acq_options_binomial_american_greeks(K$31,$F36,$C$5,$C$6,$C$8,$C$9,$C$7,TRUE)</f>
        <v>-8.8038724683769942</v>
      </c>
      <c r="L36">
        <f>_xll.acq_options_binomial_american_greeks(L$31,$F36,$C$5,$C$6,$C$8,$C$9,$C$7,TRUE)</f>
        <v>-0.26324164803526173</v>
      </c>
      <c r="M36">
        <f>_xll.acq_options_binomial_american_greeks(M$31,$F36,$C$5,$C$6,$C$8,$C$9,$C$7,TRUE)</f>
        <v>162.28594157546715</v>
      </c>
      <c r="N36">
        <f>_xll.acq_options_binomial_american_greeks(N$31,$F36,$C$5,$C$6,$C$8,$C$9,$C$7,TRUE)</f>
        <v>-7.9948030489518374</v>
      </c>
      <c r="R36" s="13">
        <v>140</v>
      </c>
      <c r="S36">
        <f>_xll.acq_options_bjerksund_greeks(S$31,$F36,$C$5,$C$6,$C$8,$C$9,$C$7,TRUE)</f>
        <v>26.963148585682376</v>
      </c>
      <c r="T36">
        <f>_xll.acq_options_bjerksund_greeks(T$31,$F36,$C$5,$C$6,$C$8,$C$9,$C$7,TRUE)</f>
        <v>0.65636990849071708</v>
      </c>
      <c r="U36">
        <f>_xll.acq_options_bjerksund_greeks(U$31,$F36,$C$5,$C$6,$C$8,$C$9,$C$7,TRUE)</f>
        <v>6.6478236249167821E-3</v>
      </c>
      <c r="V36">
        <f>_xll.acq_options_bjerksund_greeks(V$31,$F36,$C$5,$C$6,$C$8,$C$9,$C$7,TRUE)</f>
        <v>81.435810228910483</v>
      </c>
      <c r="W36">
        <f>_xll.acq_options_bjerksund_greeks(W$31,$F36,$C$5,$C$6,$C$8,$C$9,$C$7,TRUE)</f>
        <v>0.95636991659375781</v>
      </c>
      <c r="X36">
        <f>_xll.acq_options_bjerksund_greeks(X$31,$F36,$C$5,$C$6,$C$8,$C$9,$C$7,TRUE)</f>
        <v>-1.0734343192098095E-2</v>
      </c>
      <c r="Y36">
        <f>_xll.acq_options_bjerksund_greeks(Y$31,$F36,$C$5,$C$6,$C$8,$C$9,$C$7,TRUE)</f>
        <v>162.32108070906293</v>
      </c>
      <c r="Z36">
        <f>_xll.acq_options_bjerksund_greeks(Z$31,$F36,$C$5,$C$6,$C$8,$C$9,$C$7,TRUE)</f>
        <v>-7.9680478346091377</v>
      </c>
    </row>
    <row r="37" spans="6:28" x14ac:dyDescent="0.25">
      <c r="F37" s="13">
        <v>150</v>
      </c>
      <c r="G37">
        <f>_xll.acq_options_binomial_american_greeks(G$31,$F37,$C$5,$C$6,$C$8,$C$9,$C$7,TRUE)</f>
        <v>33.831701692276184</v>
      </c>
      <c r="H37">
        <f>_xll.acq_options_binomial_american_greeks(H$31,$F37,$C$5,$C$6,$C$8,$C$9,$C$7,TRUE)</f>
        <v>0.71797672571349835</v>
      </c>
      <c r="I37">
        <f>_xll.acq_options_binomial_american_greeks(I$31,$F37,$C$5,$C$6,$C$8,$C$9,$C$7,TRUE)</f>
        <v>30.193310038839627</v>
      </c>
      <c r="J37">
        <f>_xll.acq_options_binomial_american_greeks(J$31,$F37,$C$5,$C$6,$C$8,$C$9,$C$7,TRUE)</f>
        <v>80.062005969086343</v>
      </c>
      <c r="K37">
        <f>_xll.acq_options_binomial_american_greeks(K$31,$F37,$C$5,$C$6,$C$8,$C$9,$C$7,TRUE)</f>
        <v>33.620367560160958</v>
      </c>
      <c r="L37">
        <f>_xll.acq_options_binomial_american_greeks(L$31,$F37,$C$5,$C$6,$C$8,$C$9,$C$7,TRUE)</f>
        <v>-0.24566543466164603</v>
      </c>
      <c r="M37">
        <f>_xll.acq_options_binomial_american_greeks(M$31,$F37,$C$5,$C$6,$C$8,$C$9,$C$7,TRUE)</f>
        <v>184.661390536494</v>
      </c>
      <c r="N37">
        <f>_xll.acq_options_binomial_american_greeks(N$31,$F37,$C$5,$C$6,$C$8,$C$9,$C$7,TRUE)</f>
        <v>-8.4356050548137773</v>
      </c>
      <c r="R37" s="13">
        <v>150</v>
      </c>
      <c r="S37">
        <f>_xll.acq_options_bjerksund_greeks(S$31,$F37,$C$5,$C$6,$C$8,$C$9,$C$7,TRUE)</f>
        <v>33.843283885988228</v>
      </c>
      <c r="T37">
        <f>_xll.acq_options_bjerksund_greeks(T$31,$F37,$C$5,$C$6,$C$8,$C$9,$C$7,TRUE)</f>
        <v>0.71806934128204603</v>
      </c>
      <c r="U37">
        <f>_xll.acq_options_bjerksund_greeks(U$31,$F37,$C$5,$C$6,$C$8,$C$9,$C$7,TRUE)</f>
        <v>5.6961795280585648E-3</v>
      </c>
      <c r="V37">
        <f>_xll.acq_options_bjerksund_greeks(V$31,$F37,$C$5,$C$6,$C$8,$C$9,$C$7,TRUE)</f>
        <v>80.10270710024507</v>
      </c>
      <c r="W37">
        <f>_xll.acq_options_bjerksund_greeks(W$31,$F37,$C$5,$C$6,$C$8,$C$9,$C$7,TRUE)</f>
        <v>33.623827917494964</v>
      </c>
      <c r="X37">
        <f>_xll.acq_options_bjerksund_greeks(X$31,$F37,$C$5,$C$6,$C$8,$C$9,$C$7,TRUE)</f>
        <v>-0.24565594003433944</v>
      </c>
      <c r="Y37">
        <f>_xll.acq_options_bjerksund_greeks(Y$31,$F37,$C$5,$C$6,$C$8,$C$9,$C$7,TRUE)</f>
        <v>184.66716458091526</v>
      </c>
      <c r="Z37">
        <f>_xll.acq_options_bjerksund_greeks(Z$31,$F37,$C$5,$C$6,$C$8,$C$9,$C$7,TRUE)</f>
        <v>-8.4377790046801238</v>
      </c>
    </row>
    <row r="38" spans="6:28" x14ac:dyDescent="0.25">
      <c r="F38" s="13">
        <v>160</v>
      </c>
      <c r="G38">
        <f>_xll.acq_options_binomial_american_greeks(G$31,$F38,$C$5,$C$6,$C$8,$C$9,$C$7,TRUE)</f>
        <v>41.293863667014442</v>
      </c>
      <c r="H38">
        <f>_xll.acq_options_binomial_american_greeks(H$31,$F38,$C$5,$C$6,$C$8,$C$9,$C$7,TRUE)</f>
        <v>0.76163333183743021</v>
      </c>
      <c r="I38">
        <f>_xll.acq_options_binomial_american_greeks(I$31,$F38,$C$5,$C$6,$C$8,$C$9,$C$7,TRUE)</f>
        <v>-5.5422333389287814E-7</v>
      </c>
      <c r="J38">
        <f>_xll.acq_options_binomial_american_greeks(J$31,$F38,$C$5,$C$6,$C$8,$C$9,$C$7,TRUE)</f>
        <v>77.104846295675529</v>
      </c>
      <c r="K38">
        <f>_xll.acq_options_binomial_american_greeks(K$31,$F38,$C$5,$C$6,$C$8,$C$9,$C$7,TRUE)</f>
        <v>70.692440658604028</v>
      </c>
      <c r="L38">
        <f>_xll.acq_options_binomial_american_greeks(L$31,$F38,$C$5,$C$6,$C$8,$C$9,$C$7,TRUE)</f>
        <v>-0.22547343014878152</v>
      </c>
      <c r="M38">
        <f>_xll.acq_options_binomial_american_greeks(M$31,$F38,$C$5,$C$6,$C$8,$C$9,$C$7,TRUE)</f>
        <v>204.91262731502502</v>
      </c>
      <c r="N38">
        <f>_xll.acq_options_binomial_american_greeks(N$31,$F38,$C$5,$C$6,$C$8,$C$9,$C$7,TRUE)</f>
        <v>-8.7738274944939576</v>
      </c>
      <c r="R38" s="13">
        <v>160</v>
      </c>
      <c r="S38">
        <f>_xll.acq_options_bjerksund_greeks(S$31,$F38,$C$5,$C$6,$C$8,$C$9,$C$7,TRUE)</f>
        <v>41.293476619733852</v>
      </c>
      <c r="T38">
        <f>_xll.acq_options_bjerksund_greeks(T$31,$F38,$C$5,$C$6,$C$8,$C$9,$C$7,TRUE)</f>
        <v>0.77046729208518627</v>
      </c>
      <c r="U38">
        <f>_xll.acq_options_bjerksund_greeks(U$31,$F38,$C$5,$C$6,$C$8,$C$9,$C$7,TRUE)</f>
        <v>4.795651875610929E-3</v>
      </c>
      <c r="V38">
        <f>_xll.acq_options_bjerksund_greeks(V$31,$F38,$C$5,$C$6,$C$8,$C$9,$C$7,TRUE)</f>
        <v>76.72995380617202</v>
      </c>
      <c r="W38">
        <f>_xll.acq_options_bjerksund_greeks(W$31,$F38,$C$5,$C$6,$C$8,$C$9,$C$7,TRUE)</f>
        <v>78.422079397455491</v>
      </c>
      <c r="X38">
        <f>_xll.acq_options_bjerksund_greeks(X$31,$F38,$C$5,$C$6,$C$8,$C$9,$C$7,TRUE)</f>
        <v>-0.41868886668794403</v>
      </c>
      <c r="Y38">
        <f>_xll.acq_options_bjerksund_greeks(Y$31,$F38,$C$5,$C$6,$C$8,$C$9,$C$7,TRUE)</f>
        <v>204.95252024268495</v>
      </c>
      <c r="Z38">
        <f>_xll.acq_options_bjerksund_greeks(Z$31,$F38,$C$5,$C$6,$C$8,$C$9,$C$7,TRUE)</f>
        <v>-8.7560273361475538</v>
      </c>
    </row>
    <row r="39" spans="6:28" x14ac:dyDescent="0.25">
      <c r="F39" s="13">
        <v>170</v>
      </c>
      <c r="G39">
        <f>_xll.acq_options_binomial_american_greeks(G$31,$F39,$C$5,$C$6,$C$8,$C$9,$C$7,TRUE)</f>
        <v>49.231877810083745</v>
      </c>
      <c r="H39">
        <f>_xll.acq_options_binomial_american_greeks(H$31,$F39,$C$5,$C$6,$C$8,$C$9,$C$7,TRUE)</f>
        <v>0.81338217255222389</v>
      </c>
      <c r="I39">
        <f>_xll.acq_options_binomial_american_greeks(I$31,$F39,$C$5,$C$6,$C$8,$C$9,$C$7,TRUE)</f>
        <v>5.6843418860808015E-7</v>
      </c>
      <c r="J39">
        <f>_xll.acq_options_binomial_american_greeks(J$31,$F39,$C$5,$C$6,$C$8,$C$9,$C$7,TRUE)</f>
        <v>72.046581980309483</v>
      </c>
      <c r="K39">
        <f>_xll.acq_options_binomial_american_greeks(K$31,$F39,$C$5,$C$6,$C$8,$C$9,$C$7,TRUE)</f>
        <v>99.450810054690919</v>
      </c>
      <c r="L39">
        <f>_xll.acq_options_binomial_american_greeks(L$31,$F39,$C$5,$C$6,$C$8,$C$9,$C$7,TRUE)</f>
        <v>-0.19538146567299464</v>
      </c>
      <c r="M39">
        <f>_xll.acq_options_binomial_american_greeks(M$31,$F39,$C$5,$C$6,$C$8,$C$9,$C$7,TRUE)</f>
        <v>222.93004819506024</v>
      </c>
      <c r="N39">
        <f>_xll.acq_options_binomial_american_greeks(N$31,$F39,$C$5,$C$6,$C$8,$C$9,$C$7,TRUE)</f>
        <v>-8.9533564537589427</v>
      </c>
      <c r="R39" s="13">
        <v>170</v>
      </c>
      <c r="S39">
        <f>_xll.acq_options_bjerksund_greeks(S$31,$F39,$C$5,$C$6,$C$8,$C$9,$C$7,TRUE)</f>
        <v>49.223965014857257</v>
      </c>
      <c r="T39">
        <f>_xll.acq_options_bjerksund_greeks(T$31,$F39,$C$5,$C$6,$C$8,$C$9,$C$7,TRUE)</f>
        <v>0.81427381539356247</v>
      </c>
      <c r="U39">
        <f>_xll.acq_options_bjerksund_greeks(U$31,$F39,$C$5,$C$6,$C$8,$C$9,$C$7,TRUE)</f>
        <v>3.9819099129090318E-3</v>
      </c>
      <c r="V39">
        <f>_xll.acq_options_bjerksund_greeks(V$31,$F39,$C$5,$C$6,$C$8,$C$9,$C$7,TRUE)</f>
        <v>71.923408359353346</v>
      </c>
      <c r="W39">
        <f>_xll.acq_options_bjerksund_greeks(W$31,$F39,$C$5,$C$6,$C$8,$C$9,$C$7,TRUE)</f>
        <v>128.17288842370544</v>
      </c>
      <c r="X39">
        <f>_xll.acq_options_bjerksund_greeks(X$31,$F39,$C$5,$C$6,$C$8,$C$9,$C$7,TRUE)</f>
        <v>-0.53352951212559674</v>
      </c>
      <c r="Y39">
        <f>_xll.acq_options_bjerksund_greeks(Y$31,$F39,$C$5,$C$6,$C$8,$C$9,$C$7,TRUE)</f>
        <v>223.00571402836766</v>
      </c>
      <c r="Z39">
        <f>_xll.acq_options_bjerksund_greeks(Z$31,$F39,$C$5,$C$6,$C$8,$C$9,$C$7,TRUE)</f>
        <v>-8.9489786358427637</v>
      </c>
    </row>
    <row r="40" spans="6:28" x14ac:dyDescent="0.25">
      <c r="F40" s="13">
        <v>180</v>
      </c>
      <c r="G40">
        <f>_xll.acq_options_binomial_american_greeks(G$31,$F40,$C$5,$C$6,$C$8,$C$9,$C$7,TRUE)</f>
        <v>57.552912578579345</v>
      </c>
      <c r="H40">
        <f>_xll.acq_options_binomial_american_greeks(H$31,$F40,$C$5,$C$6,$C$8,$C$9,$C$7,TRUE)</f>
        <v>0.85753166303703665</v>
      </c>
      <c r="I40">
        <f>_xll.acq_options_binomial_american_greeks(I$31,$F40,$C$5,$C$6,$C$8,$C$9,$C$7,TRUE)</f>
        <v>-2.8421709430404007E-8</v>
      </c>
      <c r="J40">
        <f>_xll.acq_options_binomial_american_greeks(J$31,$F40,$C$5,$C$6,$C$8,$C$9,$C$7,TRUE)</f>
        <v>65.29760226039366</v>
      </c>
      <c r="K40">
        <f>_xll.acq_options_binomial_american_greeks(K$31,$F40,$C$5,$C$6,$C$8,$C$9,$C$7,TRUE)</f>
        <v>118.43396646327164</v>
      </c>
      <c r="L40">
        <f>_xll.acq_options_binomial_american_greeks(L$31,$F40,$C$5,$C$6,$C$8,$C$9,$C$7,TRUE)</f>
        <v>-0.16397261148881626</v>
      </c>
      <c r="M40">
        <f>_xll.acq_options_binomial_american_greeks(M$31,$F40,$C$5,$C$6,$C$8,$C$9,$C$7,TRUE)</f>
        <v>238.79621954048247</v>
      </c>
      <c r="N40">
        <f>_xll.acq_options_binomial_american_greeks(N$31,$F40,$C$5,$C$6,$C$8,$C$9,$C$7,TRUE)</f>
        <v>-8.9966932840681579</v>
      </c>
      <c r="R40" s="13">
        <v>180</v>
      </c>
      <c r="S40">
        <f>_xll.acq_options_bjerksund_greeks(S$31,$F40,$C$5,$C$6,$C$8,$C$9,$C$7,TRUE)</f>
        <v>57.553503651408207</v>
      </c>
      <c r="T40">
        <f>_xll.acq_options_bjerksund_greeks(T$31,$F40,$C$5,$C$6,$C$8,$C$9,$C$7,TRUE)</f>
        <v>0.85044800882627669</v>
      </c>
      <c r="U40">
        <f>_xll.acq_options_bjerksund_greeks(U$31,$F40,$C$5,$C$6,$C$8,$C$9,$C$7,TRUE)</f>
        <v>3.2703866281735827E-3</v>
      </c>
      <c r="V40">
        <f>_xll.acq_options_bjerksund_greeks(V$31,$F40,$C$5,$C$6,$C$8,$C$9,$C$7,TRUE)</f>
        <v>66.225574551161458</v>
      </c>
      <c r="W40">
        <f>_xll.acq_options_bjerksund_greeks(W$31,$F40,$C$5,$C$6,$C$8,$C$9,$C$7,TRUE)</f>
        <v>176.88777818136714</v>
      </c>
      <c r="X40">
        <f>_xll.acq_options_bjerksund_greeks(X$31,$F40,$C$5,$C$6,$C$8,$C$9,$C$7,TRUE)</f>
        <v>-0.59856029821503398</v>
      </c>
      <c r="Y40">
        <f>_xll.acq_options_bjerksund_greeks(Y$31,$F40,$C$5,$C$6,$C$8,$C$9,$C$7,TRUE)</f>
        <v>238.81709281342722</v>
      </c>
      <c r="Z40">
        <f>_xll.acq_options_bjerksund_greeks(Z$31,$F40,$C$5,$C$6,$C$8,$C$9,$C$7,TRUE)</f>
        <v>-9.0435353515800898</v>
      </c>
    </row>
    <row r="41" spans="6:28" x14ac:dyDescent="0.25">
      <c r="F41" s="13">
        <v>190</v>
      </c>
      <c r="G41">
        <f>_xll.acq_options_binomial_american_greeks(G$31,$F41,$C$5,$C$6,$C$8,$C$9,$C$7,TRUE)</f>
        <v>66.215587350746162</v>
      </c>
      <c r="H41">
        <f>_xll.acq_options_binomial_american_greeks(H$31,$F41,$C$5,$C$6,$C$8,$C$9,$C$7,TRUE)</f>
        <v>0.87671719848714247</v>
      </c>
      <c r="I41">
        <f>_xll.acq_options_binomial_american_greeks(I$31,$F41,$C$5,$C$6,$C$8,$C$9,$C$7,TRUE)</f>
        <v>3.694822225952521E-7</v>
      </c>
      <c r="J41">
        <f>_xll.acq_options_binomial_american_greeks(J$31,$F41,$C$5,$C$6,$C$8,$C$9,$C$7,TRUE)</f>
        <v>60.709725665802182</v>
      </c>
      <c r="K41">
        <f>_xll.acq_options_binomial_american_greeks(K$31,$F41,$C$5,$C$6,$C$8,$C$9,$C$7,TRUE)</f>
        <v>135.90740240942978</v>
      </c>
      <c r="L41">
        <f>_xll.acq_options_binomial_american_greeks(L$31,$F41,$C$5,$C$6,$C$8,$C$9,$C$7,TRUE)</f>
        <v>-0.14842293794004036</v>
      </c>
      <c r="M41">
        <f>_xll.acq_options_binomial_american_greeks(M$31,$F41,$C$5,$C$6,$C$8,$C$9,$C$7,TRUE)</f>
        <v>252.43550803604364</v>
      </c>
      <c r="N41">
        <f>_xll.acq_options_binomial_american_greeks(N$31,$F41,$C$5,$C$6,$C$8,$C$9,$C$7,TRUE)</f>
        <v>-9.0946525372856968</v>
      </c>
      <c r="R41" s="13">
        <v>190</v>
      </c>
      <c r="S41">
        <f>_xll.acq_options_bjerksund_greeks(S$31,$F41,$C$5,$C$6,$C$8,$C$9,$C$7,TRUE)</f>
        <v>66.21095473086649</v>
      </c>
      <c r="T41">
        <f>_xll.acq_options_bjerksund_greeks(T$31,$F41,$C$5,$C$6,$C$8,$C$9,$C$7,TRUE)</f>
        <v>0.88003009192050285</v>
      </c>
      <c r="U41">
        <f>_xll.acq_options_bjerksund_greeks(U$31,$F41,$C$5,$C$6,$C$8,$C$9,$C$7,TRUE)</f>
        <v>2.6630573302099947E-3</v>
      </c>
      <c r="V41">
        <f>_xll.acq_options_bjerksund_greeks(V$31,$F41,$C$5,$C$6,$C$8,$C$9,$C$7,TRUE)</f>
        <v>60.084483868145298</v>
      </c>
      <c r="W41">
        <f>_xll.acq_options_bjerksund_greeks(W$31,$F41,$C$5,$C$6,$C$8,$C$9,$C$7,TRUE)</f>
        <v>220.25636792477599</v>
      </c>
      <c r="X41">
        <f>_xll.acq_options_bjerksund_greeks(X$31,$F41,$C$5,$C$6,$C$8,$C$9,$C$7,TRUE)</f>
        <v>-0.62389944588403523</v>
      </c>
      <c r="Y41">
        <f>_xll.acq_options_bjerksund_greeks(Y$31,$F41,$C$5,$C$6,$C$8,$C$9,$C$7,TRUE)</f>
        <v>252.48617522344574</v>
      </c>
      <c r="Z41">
        <f>_xll.acq_options_bjerksund_greeks(Z$31,$F41,$C$5,$C$6,$C$8,$C$9,$C$7,TRUE)</f>
        <v>-9.0644962948260854</v>
      </c>
    </row>
    <row r="42" spans="6:28" x14ac:dyDescent="0.25">
      <c r="F42" s="13">
        <v>200</v>
      </c>
      <c r="G42">
        <f>_xll.acq_options_binomial_american_greeks(G$31,$F42,$C$5,$C$6,$C$8,$C$9,$C$7,TRUE)</f>
        <v>75.134003888566042</v>
      </c>
      <c r="H42">
        <f>_xll.acq_options_binomial_american_greeks(H$31,$F42,$C$5,$C$6,$C$8,$C$9,$C$7,TRUE)</f>
        <v>0.90948892952269489</v>
      </c>
      <c r="I42">
        <f>_xll.acq_options_binomial_american_greeks(I$31,$F42,$C$5,$C$6,$C$8,$C$9,$C$7,TRUE)</f>
        <v>2.8421709430404007E-7</v>
      </c>
      <c r="J42">
        <f>_xll.acq_options_binomial_american_greeks(J$31,$F42,$C$5,$C$6,$C$8,$C$9,$C$7,TRUE)</f>
        <v>52.584659551314367</v>
      </c>
      <c r="K42">
        <f>_xll.acq_options_binomial_american_greeks(K$31,$F42,$C$5,$C$6,$C$8,$C$9,$C$7,TRUE)</f>
        <v>137.73070031675161</v>
      </c>
      <c r="L42">
        <f>_xll.acq_options_binomial_american_greeks(L$31,$F42,$C$5,$C$6,$C$8,$C$9,$C$7,TRUE)</f>
        <v>-0.1187217435472121</v>
      </c>
      <c r="M42">
        <f>_xll.acq_options_binomial_american_greeks(M$31,$F42,$C$5,$C$6,$C$8,$C$9,$C$7,TRUE)</f>
        <v>264.17887207572477</v>
      </c>
      <c r="N42">
        <f>_xll.acq_options_binomial_american_greeks(N$31,$F42,$C$5,$C$6,$C$8,$C$9,$C$7,TRUE)</f>
        <v>-8.9702014178527634</v>
      </c>
      <c r="R42" s="13">
        <v>200</v>
      </c>
      <c r="S42">
        <f>_xll.acq_options_bjerksund_greeks(S$31,$F42,$C$5,$C$6,$C$8,$C$9,$C$7,TRUE)</f>
        <v>75.135529709478263</v>
      </c>
      <c r="T42">
        <f>_xll.acq_options_bjerksund_greeks(T$31,$F42,$C$5,$C$6,$C$8,$C$9,$C$7,TRUE)</f>
        <v>0.90403657417681416</v>
      </c>
      <c r="U42">
        <f>_xll.acq_options_bjerksund_greeks(U$31,$F42,$C$5,$C$6,$C$8,$C$9,$C$7,TRUE)</f>
        <v>2.1538824057643069E-3</v>
      </c>
      <c r="V42">
        <f>_xll.acq_options_bjerksund_greeks(V$31,$F42,$C$5,$C$6,$C$8,$C$9,$C$7,TRUE)</f>
        <v>53.846416141126902</v>
      </c>
      <c r="W42">
        <f>_xll.acq_options_bjerksund_greeks(W$31,$F42,$C$5,$C$6,$C$8,$C$9,$C$7,TRUE)</f>
        <v>255.65606844679678</v>
      </c>
      <c r="X42">
        <f>_xll.acq_options_bjerksund_greeks(X$31,$F42,$C$5,$C$6,$C$8,$C$9,$C$7,TRUE)</f>
        <v>-0.61955002905733636</v>
      </c>
      <c r="Y42">
        <f>_xll.acq_options_bjerksund_greeks(Y$31,$F42,$C$5,$C$6,$C$8,$C$9,$C$7,TRUE)</f>
        <v>264.17877299539327</v>
      </c>
      <c r="Z42">
        <f>_xll.acq_options_bjerksund_greeks(Z$31,$F42,$C$5,$C$6,$C$8,$C$9,$C$7,TRUE)</f>
        <v>-9.0331625947186467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3" t="s">
        <v>165</v>
      </c>
      <c r="H45" s="53"/>
      <c r="I45" s="53"/>
      <c r="J45" s="53"/>
      <c r="K45" s="53"/>
      <c r="L45" s="53"/>
      <c r="M45" s="53"/>
      <c r="N45" s="53"/>
      <c r="S45" s="53" t="s">
        <v>166</v>
      </c>
      <c r="T45" s="53"/>
      <c r="U45" s="53"/>
      <c r="V45" s="53"/>
      <c r="W45" s="53"/>
      <c r="X45" s="53"/>
      <c r="Y45" s="53"/>
      <c r="Z45" s="53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-0.99999999985556087</v>
      </c>
      <c r="I47">
        <f>_xll.acq_options_binomial_american_greeks(I$31,$F47,$C$5,$C$6,$C$8,$C$9,$C$7,FALSE)</f>
        <v>7.1054273576010019E-8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-1.0000000000047748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40.051897639739835</v>
      </c>
      <c r="H48">
        <f>_xll.acq_options_binomial_american_greeks(H$31,$F48,$C$5,$C$6,$C$8,$C$9,$C$7,FALSE)</f>
        <v>-0.95115216680596859</v>
      </c>
      <c r="I48">
        <f>_xll.acq_options_binomial_american_greeks(I$31,$F48,$C$5,$C$6,$C$8,$C$9,$C$7,FALSE)</f>
        <v>-1.4210854715202004E-7</v>
      </c>
      <c r="J48">
        <f>_xll.acq_options_binomial_american_greeks(J$31,$F48,$C$5,$C$6,$C$8,$C$9,$C$7,FALSE)</f>
        <v>9.9130619310763191</v>
      </c>
      <c r="K48">
        <f>_xll.acq_options_binomial_american_greeks(K$31,$F48,$C$5,$C$6,$C$8,$C$9,$C$7,FALSE)</f>
        <v>77.281938160922437</v>
      </c>
      <c r="L48">
        <f>_xll.acq_options_binomial_american_greeks(L$31,$F48,$C$5,$C$6,$C$8,$C$9,$C$7,FALSE)</f>
        <v>0.49510628308269133</v>
      </c>
      <c r="M48">
        <f>_xll.acq_options_binomial_american_greeks(M$31,$F48,$C$5,$C$6,$C$8,$C$9,$C$7,FALSE)</f>
        <v>-14.854467228289536</v>
      </c>
      <c r="N48">
        <f>_xll.acq_options_binomial_american_greeks(N$31,$F48,$C$5,$C$6,$C$8,$C$9,$C$7,FALSE)</f>
        <v>-0.13894110148271466</v>
      </c>
      <c r="R48" s="13">
        <v>110</v>
      </c>
      <c r="S48">
        <f>_xll.acq_options_bjerksund_greeks(S$31,$F48,$C$5,$C$6,$C$8,$C$9,$C$7,FALSE)</f>
        <v>40.017066978067525</v>
      </c>
      <c r="T48">
        <f>_xll.acq_options_bjerksund_greeks(T$31,$F48,$C$5,$C$6,$C$8,$C$9,$C$7,FALSE)</f>
        <v>-0.95246093335532578</v>
      </c>
      <c r="U48">
        <f>_xll.acq_options_bjerksund_greeks(U$31,$F48,$C$5,$C$6,$C$8,$C$9,$C$7,FALSE)</f>
        <v>2.3058277065501898E-2</v>
      </c>
      <c r="V48">
        <f>_xll.acq_options_bjerksund_greeks(V$31,$F48,$C$5,$C$6,$C$8,$C$9,$C$7,FALSE)</f>
        <v>9.1474885001438988</v>
      </c>
      <c r="W48">
        <f>_xll.acq_options_bjerksund_greeks(W$31,$F48,$C$5,$C$6,$C$8,$C$9,$C$7,FALSE)</f>
        <v>913.89568926558695</v>
      </c>
      <c r="X48">
        <f>_xll.acq_options_bjerksund_greeks(X$31,$F48,$C$5,$C$6,$C$8,$C$9,$C$7,FALSE)</f>
        <v>4.6375371098861251</v>
      </c>
      <c r="Y48">
        <f>_xll.acq_options_bjerksund_greeks(Y$31,$F48,$C$5,$C$6,$C$8,$C$9,$C$7,FALSE)</f>
        <v>-14.261240529549468</v>
      </c>
      <c r="Z48">
        <f>_xll.acq_options_bjerksund_greeks(Z$31,$F48,$C$5,$C$6,$C$8,$C$9,$C$7,FALSE)</f>
        <v>-0.11525349011520802</v>
      </c>
    </row>
    <row r="49" spans="6:26" x14ac:dyDescent="0.25">
      <c r="F49" s="13">
        <v>120</v>
      </c>
      <c r="G49">
        <f>_xll.acq_options_binomial_american_greeks(G$31,$F49,$C$5,$C$6,$C$8,$C$9,$C$7,FALSE)</f>
        <v>31.616821800217984</v>
      </c>
      <c r="H49">
        <f>_xll.acq_options_binomial_american_greeks(H$31,$F49,$C$5,$C$6,$C$8,$C$9,$C$7,FALSE)</f>
        <v>-0.74431956752363249</v>
      </c>
      <c r="I49">
        <f>_xll.acq_options_binomial_american_greeks(I$31,$F49,$C$5,$C$6,$C$8,$C$9,$C$7,FALSE)</f>
        <v>-1.1368683772161603E-7</v>
      </c>
      <c r="J49">
        <f>_xll.acq_options_binomial_american_greeks(J$31,$F49,$C$5,$C$6,$C$8,$C$9,$C$7,FALSE)</f>
        <v>46.983266238381518</v>
      </c>
      <c r="K49">
        <f>_xll.acq_options_binomial_american_greeks(K$31,$F49,$C$5,$C$6,$C$8,$C$9,$C$7,FALSE)</f>
        <v>256.59643312536673</v>
      </c>
      <c r="L49">
        <f>_xll.acq_options_binomial_american_greeks(L$31,$F49,$C$5,$C$6,$C$8,$C$9,$C$7,FALSE)</f>
        <v>1.9085020159792521</v>
      </c>
      <c r="M49">
        <f>_xll.acq_options_binomial_american_greeks(M$31,$F49,$C$5,$C$6,$C$8,$C$9,$C$7,FALSE)</f>
        <v>-66.610286875823377</v>
      </c>
      <c r="N49">
        <f>_xll.acq_options_binomial_american_greeks(N$31,$F49,$C$5,$C$6,$C$8,$C$9,$C$7,FALSE)</f>
        <v>-0.74954192872667136</v>
      </c>
      <c r="R49" s="13">
        <v>120</v>
      </c>
      <c r="S49">
        <f>_xll.acq_options_bjerksund_greeks(S$31,$F49,$C$5,$C$6,$C$8,$C$9,$C$7,FALSE)</f>
        <v>31.551537480264027</v>
      </c>
      <c r="T49">
        <f>_xll.acq_options_bjerksund_greeks(T$31,$F49,$C$5,$C$6,$C$8,$C$9,$C$7,FALSE)</f>
        <v>-0.74929179008442759</v>
      </c>
      <c r="U49">
        <f>_xll.acq_options_bjerksund_greeks(U$31,$F49,$C$5,$C$6,$C$8,$C$9,$C$7,FALSE)</f>
        <v>1.7856116585335258E-2</v>
      </c>
      <c r="V49">
        <f>_xll.acq_options_bjerksund_greeks(V$31,$F49,$C$5,$C$6,$C$8,$C$9,$C$7,FALSE)</f>
        <v>45.691085413423551</v>
      </c>
      <c r="W49">
        <f>_xll.acq_options_bjerksund_greeks(W$31,$F49,$C$5,$C$6,$C$8,$C$9,$C$7,FALSE)</f>
        <v>411.8373345320947</v>
      </c>
      <c r="X49">
        <f>_xll.acq_options_bjerksund_greeks(X$31,$F49,$C$5,$C$6,$C$8,$C$9,$C$7,FALSE)</f>
        <v>2.7927849330922072</v>
      </c>
      <c r="Y49">
        <f>_xll.acq_options_bjerksund_greeks(Y$31,$F49,$C$5,$C$6,$C$8,$C$9,$C$7,FALSE)</f>
        <v>-63.868170326660589</v>
      </c>
      <c r="Z49">
        <f>_xll.acq_options_bjerksund_greeks(Z$31,$F49,$C$5,$C$6,$C$8,$C$9,$C$7,FALSE)</f>
        <v>-0.75195685286999492</v>
      </c>
    </row>
    <row r="50" spans="6:26" x14ac:dyDescent="0.25">
      <c r="F50" s="13">
        <v>130</v>
      </c>
      <c r="G50">
        <f>_xll.acq_options_binomial_american_greeks(G$31,$F50,$C$5,$C$6,$C$8,$C$9,$C$7,FALSE)</f>
        <v>24.97499060979688</v>
      </c>
      <c r="H50">
        <f>_xll.acq_options_binomial_american_greeks(H$31,$F50,$C$5,$C$6,$C$8,$C$9,$C$7,FALSE)</f>
        <v>-0.59506665320796515</v>
      </c>
      <c r="I50">
        <f>_xll.acq_options_binomial_american_greeks(I$31,$F50,$C$5,$C$6,$C$8,$C$9,$C$7,FALSE)</f>
        <v>9.9475983006414026E-8</v>
      </c>
      <c r="J50">
        <f>_xll.acq_options_binomial_american_greeks(J$31,$F50,$C$5,$C$6,$C$8,$C$9,$C$7,FALSE)</f>
        <v>67.085459368200816</v>
      </c>
      <c r="K50">
        <f>_xll.acq_options_binomial_american_greeks(K$31,$F50,$C$5,$C$6,$C$8,$C$9,$C$7,FALSE)</f>
        <v>52.25198901115391</v>
      </c>
      <c r="L50">
        <f>_xll.acq_options_binomial_american_greeks(L$31,$F50,$C$5,$C$6,$C$8,$C$9,$C$7,FALSE)</f>
        <v>0.78876141973438507</v>
      </c>
      <c r="M50">
        <f>_xll.acq_options_binomial_american_greeks(M$31,$F50,$C$5,$C$6,$C$8,$C$9,$C$7,FALSE)</f>
        <v>-88.628744278038241</v>
      </c>
      <c r="N50">
        <f>_xll.acq_options_binomial_american_greeks(N$31,$F50,$C$5,$C$6,$C$8,$C$9,$C$7,FALSE)</f>
        <v>-1.2295489636464652</v>
      </c>
      <c r="R50" s="13">
        <v>130</v>
      </c>
      <c r="S50">
        <f>_xll.acq_options_bjerksund_greeks(S$31,$F50,$C$5,$C$6,$C$8,$C$9,$C$7,FALSE)</f>
        <v>24.882702630293402</v>
      </c>
      <c r="T50">
        <f>_xll.acq_options_bjerksund_greeks(T$31,$F50,$C$5,$C$6,$C$8,$C$9,$C$7,FALSE)</f>
        <v>-0.59088314509025963</v>
      </c>
      <c r="U50">
        <f>_xll.acq_options_bjerksund_greeks(U$31,$F50,$C$5,$C$6,$C$8,$C$9,$C$7,FALSE)</f>
        <v>1.4004207571360894E-2</v>
      </c>
      <c r="V50">
        <f>_xll.acq_options_bjerksund_greeks(V$31,$F50,$C$5,$C$6,$C$8,$C$9,$C$7,FALSE)</f>
        <v>66.966709719586902</v>
      </c>
      <c r="W50">
        <f>_xll.acq_options_bjerksund_greeks(W$31,$F50,$C$5,$C$6,$C$8,$C$9,$C$7,FALSE)</f>
        <v>158.04938189489803</v>
      </c>
      <c r="X50">
        <f>_xll.acq_options_bjerksund_greeks(X$31,$F50,$C$5,$C$6,$C$8,$C$9,$C$7,FALSE)</f>
        <v>1.5419343046829681</v>
      </c>
      <c r="Y50">
        <f>_xll.acq_options_bjerksund_greeks(Y$31,$F50,$C$5,$C$6,$C$8,$C$9,$C$7,FALSE)</f>
        <v>-86.985094633970306</v>
      </c>
      <c r="Z50">
        <f>_xll.acq_options_bjerksund_greeks(Z$31,$F50,$C$5,$C$6,$C$8,$C$9,$C$7,FALSE)</f>
        <v>-1.261025860543441</v>
      </c>
    </row>
    <row r="51" spans="6:26" x14ac:dyDescent="0.25">
      <c r="F51" s="13">
        <v>140</v>
      </c>
      <c r="G51">
        <f>_xll.acq_options_binomial_american_greeks(G$31,$F51,$C$5,$C$6,$C$8,$C$9,$C$7,FALSE)</f>
        <v>19.732045857381141</v>
      </c>
      <c r="H51">
        <f>_xll.acq_options_binomial_american_greeks(H$31,$F51,$C$5,$C$6,$C$8,$C$9,$C$7,FALSE)</f>
        <v>-0.46184153471884315</v>
      </c>
      <c r="I51">
        <f>_xll.acq_options_binomial_american_greeks(I$31,$F51,$C$5,$C$6,$C$8,$C$9,$C$7,FALSE)</f>
        <v>1.1368683772161603E-7</v>
      </c>
      <c r="J51">
        <f>_xll.acq_options_binomial_american_greeks(J$31,$F51,$C$5,$C$6,$C$8,$C$9,$C$7,FALSE)</f>
        <v>78.528319171605006</v>
      </c>
      <c r="K51">
        <f>_xll.acq_options_binomial_american_greeks(K$31,$F51,$C$5,$C$6,$C$8,$C$9,$C$7,FALSE)</f>
        <v>94.856600149739734</v>
      </c>
      <c r="L51">
        <f>_xll.acq_options_binomial_american_greeks(L$31,$F51,$C$5,$C$6,$C$8,$C$9,$C$7,FALSE)</f>
        <v>1.4580334388725191</v>
      </c>
      <c r="M51">
        <f>_xll.acq_options_binomial_american_greeks(M$31,$F51,$C$5,$C$6,$C$8,$C$9,$C$7,FALSE)</f>
        <v>-96.304809896587074</v>
      </c>
      <c r="N51">
        <f>_xll.acq_options_binomial_american_greeks(N$31,$F51,$C$5,$C$6,$C$8,$C$9,$C$7,FALSE)</f>
        <v>-1.6153214426957163</v>
      </c>
      <c r="R51" s="13">
        <v>140</v>
      </c>
      <c r="S51">
        <f>_xll.acq_options_bjerksund_greeks(S$31,$F51,$C$5,$C$6,$C$8,$C$9,$C$7,FALSE)</f>
        <v>19.621669271250902</v>
      </c>
      <c r="T51">
        <f>_xll.acq_options_bjerksund_greeks(T$31,$F51,$C$5,$C$6,$C$8,$C$9,$C$7,FALSE)</f>
        <v>-0.46624407377038324</v>
      </c>
      <c r="U51">
        <f>_xll.acq_options_bjerksund_greeks(U$31,$F51,$C$5,$C$6,$C$8,$C$9,$C$7,FALSE)</f>
        <v>1.1047632142435759E-2</v>
      </c>
      <c r="V51">
        <f>_xll.acq_options_bjerksund_greeks(V$31,$F51,$C$5,$C$6,$C$8,$C$9,$C$7,FALSE)</f>
        <v>77.851583046236001</v>
      </c>
      <c r="W51">
        <f>_xll.acq_options_bjerksund_greeks(W$31,$F51,$C$5,$C$6,$C$8,$C$9,$C$7,FALSE)</f>
        <v>52.172649070314492</v>
      </c>
      <c r="X51">
        <f>_xll.acq_options_bjerksund_greeks(X$31,$F51,$C$5,$C$6,$C$8,$C$9,$C$7,FALSE)</f>
        <v>0.68998680546883406</v>
      </c>
      <c r="Y51">
        <f>_xll.acq_options_bjerksund_greeks(Y$31,$F51,$C$5,$C$6,$C$8,$C$9,$C$7,FALSE)</f>
        <v>-94.492726041533359</v>
      </c>
      <c r="Z51">
        <f>_xll.acq_options_bjerksund_greeks(Z$31,$F51,$C$5,$C$6,$C$8,$C$9,$C$7,FALSE)</f>
        <v>-1.6251578974220138</v>
      </c>
    </row>
    <row r="52" spans="6:26" x14ac:dyDescent="0.25">
      <c r="F52" s="13">
        <v>150</v>
      </c>
      <c r="G52">
        <f>_xll.acq_options_binomial_american_greeks(G$31,$F52,$C$5,$C$6,$C$8,$C$9,$C$7,FALSE)</f>
        <v>15.588337508176206</v>
      </c>
      <c r="H52">
        <f>_xll.acq_options_binomial_american_greeks(H$31,$F52,$C$5,$C$6,$C$8,$C$9,$C$7,FALSE)</f>
        <v>-0.3712844030134832</v>
      </c>
      <c r="I52">
        <f>_xll.acq_options_binomial_american_greeks(I$31,$F52,$C$5,$C$6,$C$8,$C$9,$C$7,FALSE)</f>
        <v>8.4401817233015208</v>
      </c>
      <c r="J52">
        <f>_xll.acq_options_binomial_american_greeks(J$31,$F52,$C$5,$C$6,$C$8,$C$9,$C$7,FALSE)</f>
        <v>82.203996641847894</v>
      </c>
      <c r="K52">
        <f>_xll.acq_options_binomial_american_greeks(K$31,$F52,$C$5,$C$6,$C$8,$C$9,$C$7,FALSE)</f>
        <v>23.650594876301057</v>
      </c>
      <c r="L52">
        <f>_xll.acq_options_binomial_american_greeks(L$31,$F52,$C$5,$C$6,$C$8,$C$9,$C$7,FALSE)</f>
        <v>0.11232221330814696</v>
      </c>
      <c r="M52">
        <f>_xll.acq_options_binomial_american_greeks(M$31,$F52,$C$5,$C$6,$C$8,$C$9,$C$7,FALSE)</f>
        <v>-94.837622776962505</v>
      </c>
      <c r="N52">
        <f>_xll.acq_options_binomial_american_greeks(N$31,$F52,$C$5,$C$6,$C$8,$C$9,$C$7,FALSE)</f>
        <v>-1.8347896793109442</v>
      </c>
      <c r="R52" s="13">
        <v>150</v>
      </c>
      <c r="S52">
        <f>_xll.acq_options_bjerksund_greeks(S$31,$F52,$C$5,$C$6,$C$8,$C$9,$C$7,FALSE)</f>
        <v>15.470727171446882</v>
      </c>
      <c r="T52">
        <f>_xll.acq_options_bjerksund_greeks(T$31,$F52,$C$5,$C$6,$C$8,$C$9,$C$7,FALSE)</f>
        <v>-0.36779716406698526</v>
      </c>
      <c r="U52">
        <f>_xll.acq_options_bjerksund_greeks(U$31,$F52,$C$5,$C$6,$C$8,$C$9,$C$7,FALSE)</f>
        <v>8.7334939280481194E-3</v>
      </c>
      <c r="V52">
        <f>_xll.acq_options_bjerksund_greeks(V$31,$F52,$C$5,$C$6,$C$8,$C$9,$C$7,FALSE)</f>
        <v>81.693935413177527</v>
      </c>
      <c r="W52">
        <f>_xll.acq_options_bjerksund_greeks(W$31,$F52,$C$5,$C$6,$C$8,$C$9,$C$7,FALSE)</f>
        <v>32.489372344457479</v>
      </c>
      <c r="X52">
        <f>_xll.acq_options_bjerksund_greeks(X$31,$F52,$C$5,$C$6,$C$8,$C$9,$C$7,FALSE)</f>
        <v>0.11754109507933208</v>
      </c>
      <c r="Y52">
        <f>_xll.acq_options_bjerksund_greeks(Y$31,$F52,$C$5,$C$6,$C$8,$C$9,$C$7,FALSE)</f>
        <v>-93.058091638951623</v>
      </c>
      <c r="Z52">
        <f>_xll.acq_options_bjerksund_greeks(Z$31,$F52,$C$5,$C$6,$C$8,$C$9,$C$7,FALSE)</f>
        <v>-1.8517460003693031</v>
      </c>
    </row>
    <row r="53" spans="6:26" x14ac:dyDescent="0.25">
      <c r="F53" s="13">
        <v>160</v>
      </c>
      <c r="G53">
        <f>_xll.acq_options_binomial_american_greeks(G$31,$F53,$C$5,$C$6,$C$8,$C$9,$C$7,FALSE)</f>
        <v>12.319877134193813</v>
      </c>
      <c r="H53">
        <f>_xll.acq_options_binomial_american_greeks(H$31,$F53,$C$5,$C$6,$C$8,$C$9,$C$7,FALSE)</f>
        <v>-0.29510925969855606</v>
      </c>
      <c r="I53">
        <f>_xll.acq_options_binomial_american_greeks(I$31,$F53,$C$5,$C$6,$C$8,$C$9,$C$7,FALSE)</f>
        <v>2.4028530276609672E-2</v>
      </c>
      <c r="J53">
        <f>_xll.acq_options_binomial_american_greeks(J$31,$F53,$C$5,$C$6,$C$8,$C$9,$C$7,FALSE)</f>
        <v>81.618722096750062</v>
      </c>
      <c r="K53">
        <f>_xll.acq_options_binomial_american_greeks(K$31,$F53,$C$5,$C$6,$C$8,$C$9,$C$7,FALSE)</f>
        <v>49.837041743217014</v>
      </c>
      <c r="L53">
        <f>_xll.acq_options_binomial_american_greeks(L$31,$F53,$C$5,$C$6,$C$8,$C$9,$C$7,FALSE)</f>
        <v>-0.17428604559555083</v>
      </c>
      <c r="M53">
        <f>_xll.acq_options_binomial_american_greeks(M$31,$F53,$C$5,$C$6,$C$8,$C$9,$C$7,FALSE)</f>
        <v>-88.446244436700454</v>
      </c>
      <c r="N53">
        <f>_xll.acq_options_binomial_american_greeks(N$31,$F53,$C$5,$C$6,$C$8,$C$9,$C$7,FALSE)</f>
        <v>-1.9588034715170011</v>
      </c>
      <c r="R53" s="13">
        <v>160</v>
      </c>
      <c r="S53">
        <f>_xll.acq_options_bjerksund_greeks(S$31,$F53,$C$5,$C$6,$C$8,$C$9,$C$7,FALSE)</f>
        <v>12.197163796635536</v>
      </c>
      <c r="T53">
        <f>_xll.acq_options_bjerksund_greeks(T$31,$F53,$C$5,$C$6,$C$8,$C$9,$C$7,FALSE)</f>
        <v>-0.2899608903845774</v>
      </c>
      <c r="U53">
        <f>_xll.acq_options_bjerksund_greeks(U$31,$F53,$C$5,$C$6,$C$8,$C$9,$C$7,FALSE)</f>
        <v>6.9045711370563367E-3</v>
      </c>
      <c r="V53">
        <f>_xll.acq_options_bjerksund_greeks(V$31,$F53,$C$5,$C$6,$C$8,$C$9,$C$7,FALSE)</f>
        <v>80.86597345334205</v>
      </c>
      <c r="W53">
        <f>_xll.acq_options_bjerksund_greeks(W$31,$F53,$C$5,$C$6,$C$8,$C$9,$C$7,FALSE)</f>
        <v>59.70711856662092</v>
      </c>
      <c r="X53">
        <f>_xll.acq_options_bjerksund_greeks(X$31,$F53,$C$5,$C$6,$C$8,$C$9,$C$7,FALSE)</f>
        <v>-0.25509156031944258</v>
      </c>
      <c r="Y53">
        <f>_xll.acq_options_bjerksund_greeks(Y$31,$F53,$C$5,$C$6,$C$8,$C$9,$C$7,FALSE)</f>
        <v>-86.797170441599292</v>
      </c>
      <c r="Z53">
        <f>_xll.acq_options_bjerksund_greeks(Z$31,$F53,$C$5,$C$6,$C$8,$C$9,$C$7,FALSE)</f>
        <v>-1.9606171560440089</v>
      </c>
    </row>
    <row r="54" spans="6:26" x14ac:dyDescent="0.25">
      <c r="F54" s="13">
        <v>170</v>
      </c>
      <c r="G54">
        <f>_xll.acq_options_binomial_american_greeks(G$31,$F54,$C$5,$C$6,$C$8,$C$9,$C$7,FALSE)</f>
        <v>9.7367865193834433</v>
      </c>
      <c r="H54">
        <f>_xll.acq_options_binomial_american_greeks(H$31,$F54,$C$5,$C$6,$C$8,$C$9,$C$7,FALSE)</f>
        <v>-0.22930865502246434</v>
      </c>
      <c r="I54">
        <f>_xll.acq_options_binomial_american_greeks(I$31,$F54,$C$5,$C$6,$C$8,$C$9,$C$7,FALSE)</f>
        <v>-1.0658141036401503E-7</v>
      </c>
      <c r="J54">
        <f>_xll.acq_options_binomial_american_greeks(J$31,$F54,$C$5,$C$6,$C$8,$C$9,$C$7,FALSE)</f>
        <v>77.684652150050866</v>
      </c>
      <c r="K54">
        <f>_xll.acq_options_binomial_american_greeks(K$31,$F54,$C$5,$C$6,$C$8,$C$9,$C$7,FALSE)</f>
        <v>87.895950812821866</v>
      </c>
      <c r="L54">
        <f>_xll.acq_options_binomial_american_greeks(L$31,$F54,$C$5,$C$6,$C$8,$C$9,$C$7,FALSE)</f>
        <v>-0.25635552169944731</v>
      </c>
      <c r="M54">
        <f>_xll.acq_options_binomial_american_greeks(M$31,$F54,$C$5,$C$6,$C$8,$C$9,$C$7,FALSE)</f>
        <v>-79.725951718467414</v>
      </c>
      <c r="N54">
        <f>_xll.acq_options_binomial_american_greeks(N$31,$F54,$C$5,$C$6,$C$8,$C$9,$C$7,FALSE)</f>
        <v>-1.97152911061238</v>
      </c>
      <c r="R54" s="13">
        <v>170</v>
      </c>
      <c r="S54">
        <f>_xll.acq_options_bjerksund_greeks(S$31,$F54,$C$5,$C$6,$C$8,$C$9,$C$7,FALSE)</f>
        <v>9.6171978371390026</v>
      </c>
      <c r="T54">
        <f>_xll.acq_options_bjerksund_greeks(T$31,$F54,$C$5,$C$6,$C$8,$C$9,$C$7,FALSE)</f>
        <v>-0.22844808032829178</v>
      </c>
      <c r="U54">
        <f>_xll.acq_options_bjerksund_greeks(U$31,$F54,$C$5,$C$6,$C$8,$C$9,$C$7,FALSE)</f>
        <v>5.4537991900360794E-3</v>
      </c>
      <c r="V54">
        <f>_xll.acq_options_bjerksund_greeks(V$31,$F54,$C$5,$C$6,$C$8,$C$9,$C$7,FALSE)</f>
        <v>77.068142320911122</v>
      </c>
      <c r="W54">
        <f>_xll.acq_options_bjerksund_greeks(W$31,$F54,$C$5,$C$6,$C$8,$C$9,$C$7,FALSE)</f>
        <v>108.64543247635083</v>
      </c>
      <c r="X54">
        <f>_xll.acq_options_bjerksund_greeks(X$31,$F54,$C$5,$C$6,$C$8,$C$9,$C$7,FALSE)</f>
        <v>-0.48442463551623405</v>
      </c>
      <c r="Y54">
        <f>_xll.acq_options_bjerksund_greeks(Y$31,$F54,$C$5,$C$6,$C$8,$C$9,$C$7,FALSE)</f>
        <v>-78.239233110892314</v>
      </c>
      <c r="Z54">
        <f>_xll.acq_options_bjerksund_greeks(Z$31,$F54,$C$5,$C$6,$C$8,$C$9,$C$7,FALSE)</f>
        <v>-1.9760964076880327</v>
      </c>
    </row>
    <row r="55" spans="6:26" x14ac:dyDescent="0.25">
      <c r="F55" s="13">
        <v>180</v>
      </c>
      <c r="G55">
        <f>_xll.acq_options_binomial_american_greeks(G$31,$F55,$C$5,$C$6,$C$8,$C$9,$C$7,FALSE)</f>
        <v>7.6884184323238172</v>
      </c>
      <c r="H55">
        <f>_xll.acq_options_binomial_american_greeks(H$31,$F55,$C$5,$C$6,$C$8,$C$9,$C$7,FALSE)</f>
        <v>-0.17667851421876435</v>
      </c>
      <c r="I55">
        <f>_xll.acq_options_binomial_american_greeks(I$31,$F55,$C$5,$C$6,$C$8,$C$9,$C$7,FALSE)</f>
        <v>4.7961634663806763E-8</v>
      </c>
      <c r="J55">
        <f>_xll.acq_options_binomial_american_greeks(J$31,$F55,$C$5,$C$6,$C$8,$C$9,$C$7,FALSE)</f>
        <v>71.562411102696842</v>
      </c>
      <c r="K55">
        <f>_xll.acq_options_binomial_american_greeks(K$31,$F55,$C$5,$C$6,$C$8,$C$9,$C$7,FALSE)</f>
        <v>119.82763300899535</v>
      </c>
      <c r="L55">
        <f>_xll.acq_options_binomial_american_greeks(L$31,$F55,$C$5,$C$6,$C$8,$C$9,$C$7,FALSE)</f>
        <v>-0.31146051115982232</v>
      </c>
      <c r="M55">
        <f>_xll.acq_options_binomial_american_greeks(M$31,$F55,$C$5,$C$6,$C$8,$C$9,$C$7,FALSE)</f>
        <v>-70.095177173320252</v>
      </c>
      <c r="N55">
        <f>_xll.acq_options_binomial_american_greeks(N$31,$F55,$C$5,$C$6,$C$8,$C$9,$C$7,FALSE)</f>
        <v>-1.8961752127806264</v>
      </c>
      <c r="R55" s="13">
        <v>180</v>
      </c>
      <c r="S55">
        <f>_xll.acq_options_bjerksund_greeks(S$31,$F55,$C$5,$C$6,$C$8,$C$9,$C$7,FALSE)</f>
        <v>7.5851013072030753</v>
      </c>
      <c r="T55">
        <f>_xll.acq_options_bjerksund_greeks(T$31,$F55,$C$5,$C$6,$C$8,$C$9,$C$7,FALSE)</f>
        <v>-0.17988830100534869</v>
      </c>
      <c r="U55">
        <f>_xll.acq_options_bjerksund_greeks(U$31,$F55,$C$5,$C$6,$C$8,$C$9,$C$7,FALSE)</f>
        <v>4.3026489038311411E-3</v>
      </c>
      <c r="V55">
        <f>_xll.acq_options_bjerksund_greeks(V$31,$F55,$C$5,$C$6,$C$8,$C$9,$C$7,FALSE)</f>
        <v>71.515747619798674</v>
      </c>
      <c r="W55">
        <f>_xll.acq_options_bjerksund_greeks(W$31,$F55,$C$5,$C$6,$C$8,$C$9,$C$7,FALSE)</f>
        <v>163.50559144484578</v>
      </c>
      <c r="X55">
        <f>_xll.acq_options_bjerksund_greeks(X$31,$F55,$C$5,$C$6,$C$8,$C$9,$C$7,FALSE)</f>
        <v>-0.61192948663801872</v>
      </c>
      <c r="Y55">
        <f>_xll.acq_options_bjerksund_greeks(Y$31,$F55,$C$5,$C$6,$C$8,$C$9,$C$7,FALSE)</f>
        <v>-68.911088311693902</v>
      </c>
      <c r="Z55">
        <f>_xll.acq_options_bjerksund_greeks(Z$31,$F55,$C$5,$C$6,$C$8,$C$9,$C$7,FALSE)</f>
        <v>-1.9223128705050385</v>
      </c>
    </row>
    <row r="56" spans="6:26" x14ac:dyDescent="0.25">
      <c r="F56" s="13">
        <v>190</v>
      </c>
      <c r="G56">
        <f>_xll.acq_options_binomial_american_greeks(G$31,$F56,$C$5,$C$6,$C$8,$C$9,$C$7,FALSE)</f>
        <v>6.0812631942929043</v>
      </c>
      <c r="H56">
        <f>_xll.acq_options_binomial_american_greeks(H$31,$F56,$C$5,$C$6,$C$8,$C$9,$C$7,FALSE)</f>
        <v>-0.14464961429760947</v>
      </c>
      <c r="I56">
        <f>_xll.acq_options_binomial_american_greeks(I$31,$F56,$C$5,$C$6,$C$8,$C$9,$C$7,FALSE)</f>
        <v>-1.0480505352461478E-7</v>
      </c>
      <c r="J56">
        <f>_xll.acq_options_binomial_american_greeks(J$31,$F56,$C$5,$C$6,$C$8,$C$9,$C$7,FALSE)</f>
        <v>66.070425946069321</v>
      </c>
      <c r="K56">
        <f>_xll.acq_options_binomial_american_greeks(K$31,$F56,$C$5,$C$6,$C$8,$C$9,$C$7,FALSE)</f>
        <v>147.94243092630666</v>
      </c>
      <c r="L56">
        <f>_xll.acq_options_binomial_american_greeks(L$31,$F56,$C$5,$C$6,$C$8,$C$9,$C$7,FALSE)</f>
        <v>-0.33801240939546062</v>
      </c>
      <c r="M56">
        <f>_xll.acq_options_binomial_american_greeks(M$31,$F56,$C$5,$C$6,$C$8,$C$9,$C$7,FALSE)</f>
        <v>-60.748323677605406</v>
      </c>
      <c r="N56">
        <f>_xll.acq_options_binomial_american_greeks(N$31,$F56,$C$5,$C$6,$C$8,$C$9,$C$7,FALSE)</f>
        <v>-1.8460595968852189</v>
      </c>
      <c r="R56" s="13">
        <v>190</v>
      </c>
      <c r="S56">
        <f>_xll.acq_options_bjerksund_greeks(S$31,$F56,$C$5,$C$6,$C$8,$C$9,$C$7,FALSE)</f>
        <v>5.9852452016453697</v>
      </c>
      <c r="T56">
        <f>_xll.acq_options_bjerksund_greeks(T$31,$F56,$C$5,$C$6,$C$8,$C$9,$C$7,FALSE)</f>
        <v>-0.1416023994806892</v>
      </c>
      <c r="U56">
        <f>_xll.acq_options_bjerksund_greeks(U$31,$F56,$C$5,$C$6,$C$8,$C$9,$C$7,FALSE)</f>
        <v>3.3900278140208684E-3</v>
      </c>
      <c r="V56">
        <f>_xll.acq_options_bjerksund_greeks(V$31,$F56,$C$5,$C$6,$C$8,$C$9,$C$7,FALSE)</f>
        <v>65.065301375625438</v>
      </c>
      <c r="W56">
        <f>_xll.acq_options_bjerksund_greeks(W$31,$F56,$C$5,$C$6,$C$8,$C$9,$C$7,FALSE)</f>
        <v>214.88322119012082</v>
      </c>
      <c r="X56">
        <f>_xll.acq_options_bjerksund_greeks(X$31,$F56,$C$5,$C$6,$C$8,$C$9,$C$7,FALSE)</f>
        <v>-0.66844872748106354</v>
      </c>
      <c r="Y56">
        <f>_xll.acq_options_bjerksund_greeks(Y$31,$F56,$C$5,$C$6,$C$8,$C$9,$C$7,FALSE)</f>
        <v>-59.702735426995446</v>
      </c>
      <c r="Z56">
        <f>_xll.acq_options_bjerksund_greeks(Z$31,$F56,$C$5,$C$6,$C$8,$C$9,$C$7,FALSE)</f>
        <v>-1.8207394613227734</v>
      </c>
    </row>
    <row r="57" spans="6:26" x14ac:dyDescent="0.25">
      <c r="F57" s="13">
        <v>200</v>
      </c>
      <c r="G57">
        <f>_xll.acq_options_binomial_american_greeks(G$31,$F57,$C$5,$C$6,$C$8,$C$9,$C$7,FALSE)</f>
        <v>4.8046115198633821</v>
      </c>
      <c r="H57">
        <f>_xll.acq_options_binomial_american_greeks(H$31,$F57,$C$5,$C$6,$C$8,$C$9,$C$7,FALSE)</f>
        <v>-0.10896420298145415</v>
      </c>
      <c r="I57">
        <f>_xll.acq_options_binomial_american_greeks(I$31,$F57,$C$5,$C$6,$C$8,$C$9,$C$7,FALSE)</f>
        <v>-2.8421709430404007E-8</v>
      </c>
      <c r="J57">
        <f>_xll.acq_options_binomial_american_greeks(J$31,$F57,$C$5,$C$6,$C$8,$C$9,$C$7,FALSE)</f>
        <v>58.134858930935124</v>
      </c>
      <c r="K57">
        <f>_xll.acq_options_binomial_american_greeks(K$31,$F57,$C$5,$C$6,$C$8,$C$9,$C$7,FALSE)</f>
        <v>214.52321378312433</v>
      </c>
      <c r="L57">
        <f>_xll.acq_options_binomial_american_greeks(L$31,$F57,$C$5,$C$6,$C$8,$C$9,$C$7,FALSE)</f>
        <v>-0.60055738804187797</v>
      </c>
      <c r="M57">
        <f>_xll.acq_options_binomial_american_greeks(M$31,$F57,$C$5,$C$6,$C$8,$C$9,$C$7,FALSE)</f>
        <v>-51.920739870696231</v>
      </c>
      <c r="N57">
        <f>_xll.acq_options_binomial_american_greeks(N$31,$F57,$C$5,$C$6,$C$8,$C$9,$C$7,FALSE)</f>
        <v>-1.6598746332263659</v>
      </c>
      <c r="R57" s="13">
        <v>200</v>
      </c>
      <c r="S57">
        <f>_xll.acq_options_bjerksund_greeks(S$31,$F57,$C$5,$C$6,$C$8,$C$9,$C$7,FALSE)</f>
        <v>4.7259808316812553</v>
      </c>
      <c r="T57">
        <f>_xll.acq_options_bjerksund_greeks(T$31,$F57,$C$5,$C$6,$C$8,$C$9,$C$7,FALSE)</f>
        <v>-0.111452555103142</v>
      </c>
      <c r="U57">
        <f>_xll.acq_options_bjerksund_greeks(U$31,$F57,$C$5,$C$6,$C$8,$C$9,$C$7,FALSE)</f>
        <v>2.6681732379074674E-3</v>
      </c>
      <c r="V57">
        <f>_xll.acq_options_bjerksund_greeks(V$31,$F57,$C$5,$C$6,$C$8,$C$9,$C$7,FALSE)</f>
        <v>58.30631981810081</v>
      </c>
      <c r="W57">
        <f>_xll.acq_options_bjerksund_greeks(W$31,$F57,$C$5,$C$6,$C$8,$C$9,$C$7,FALSE)</f>
        <v>257.72712953653354</v>
      </c>
      <c r="X57">
        <f>_xll.acq_options_bjerksund_greeks(X$31,$F57,$C$5,$C$6,$C$8,$C$9,$C$7,FALSE)</f>
        <v>-0.67690400840092479</v>
      </c>
      <c r="Y57">
        <f>_xll.acq_options_bjerksund_greeks(Y$31,$F57,$C$5,$C$6,$C$8,$C$9,$C$7,FALSE)</f>
        <v>-51.101136632198063</v>
      </c>
      <c r="Z57">
        <f>_xll.acq_options_bjerksund_greeks(Z$31,$F57,$C$5,$C$6,$C$8,$C$9,$C$7,FALSE)</f>
        <v>-1.6891712533890768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T57"/>
  <sheetViews>
    <sheetView tabSelected="1" workbookViewId="0">
      <selection activeCell="C11" sqref="C1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3" width="12" bestFit="1" customWidth="1"/>
    <col min="22" max="22" width="12" bestFit="1" customWidth="1"/>
    <col min="31" max="31" width="12.7109375" bestFit="1" customWidth="1"/>
  </cols>
  <sheetData>
    <row r="1" spans="1:20" ht="20.25" thickBot="1" x14ac:dyDescent="0.35">
      <c r="A1" s="54" t="s">
        <v>162</v>
      </c>
      <c r="B1" s="54"/>
      <c r="C1" s="54"/>
      <c r="D1" s="54"/>
      <c r="E1" s="54"/>
      <c r="F1" s="54"/>
      <c r="G1" s="54"/>
    </row>
    <row r="2" spans="1:20" ht="15.75" thickTop="1" x14ac:dyDescent="0.25"/>
    <row r="3" spans="1:20" ht="15.75" thickBot="1" x14ac:dyDescent="0.3">
      <c r="B3" s="3" t="s">
        <v>170</v>
      </c>
      <c r="C3" s="3"/>
      <c r="F3" s="53" t="s">
        <v>139</v>
      </c>
      <c r="G3" s="53"/>
      <c r="H3" s="53"/>
      <c r="I3" s="53" t="s">
        <v>163</v>
      </c>
      <c r="J3" s="53"/>
      <c r="K3" s="53" t="s">
        <v>137</v>
      </c>
      <c r="L3" s="53"/>
      <c r="N3" s="53" t="s">
        <v>139</v>
      </c>
      <c r="O3" s="53"/>
      <c r="P3" s="53"/>
      <c r="Q3" s="53" t="s">
        <v>163</v>
      </c>
      <c r="R3" s="53"/>
      <c r="S3" s="53" t="s">
        <v>137</v>
      </c>
      <c r="T3" s="53"/>
    </row>
    <row r="4" spans="1:20" x14ac:dyDescent="0.25">
      <c r="B4" t="s">
        <v>168</v>
      </c>
      <c r="C4" s="5" t="s">
        <v>100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N4" t="s">
        <v>88</v>
      </c>
      <c r="O4" t="s">
        <v>91</v>
      </c>
      <c r="P4" t="s">
        <v>138</v>
      </c>
      <c r="Q4" t="s">
        <v>91</v>
      </c>
      <c r="R4" t="s">
        <v>138</v>
      </c>
      <c r="S4" t="s">
        <v>91</v>
      </c>
      <c r="T4" t="s">
        <v>138</v>
      </c>
    </row>
    <row r="5" spans="1:20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1.0000000000047748</v>
      </c>
      <c r="H5">
        <f>_xll.acq_options_bjerksund_greeks($C$4,$C$5,F5,$C$7,$C$9,$C$10,$C$8,FALSE)</f>
        <v>7.1054273576010019E-12</v>
      </c>
      <c r="I5">
        <f>_xll.acq_options_binomial_american_greeks($C$4,$C$5,F5,$C$7,$C$9,$C$10,$C$8,TRUE,500)</f>
        <v>0.99999999974897946</v>
      </c>
      <c r="J5">
        <f>_xll.acq_options_binomial_american_greeks($C$4,$C$5,F5,$C$7,$C$9,$C$10,$C$8,FALSE)</f>
        <v>-1.8313593750313832E-12</v>
      </c>
      <c r="K5">
        <f>_xll.acq_options_blackscholes_greeks($C$4,$C$5,F5,$C$7,$C$9,$C$10,$C$8,TRUE)</f>
        <v>0.90483741803347062</v>
      </c>
      <c r="L5">
        <f>_xll.acq_options_blackscholes_greeks($C$4,$C$5,F5,$C$7,$C$9,$C$10,$C$8,FALSE)</f>
        <v>-2.4889202229631897E-12</v>
      </c>
      <c r="N5">
        <v>0.1</v>
      </c>
      <c r="O5">
        <f>_xll.acq_options_bjerksund_greeks($C$4,$C$5,$C$6,$N5,$C$9,$C$10,$C$8,TRUE)</f>
        <v>2.6409297504415008E-4</v>
      </c>
      <c r="P5">
        <f>_xll.acq_options_bjerksund_greeks($C$4,$C$5,$C$6,N5,$C$9,$C$10,$C$8,FALSE)</f>
        <v>-1.0000000000047748</v>
      </c>
      <c r="Q5">
        <f>_xll.acq_options_binomial_american_greeks($C$4,$C$5,$C$6,N5,$C$9,$C$10,$C$8,TRUE,500)</f>
        <v>2.5283030298929674E-4</v>
      </c>
      <c r="R5">
        <f>_xll.acq_options_binomial_american_greeks($C$4,$C$5,$C$6,N5,$C$9,$C$10,$C$8,FALSE)</f>
        <v>-1.0000000000260911</v>
      </c>
      <c r="S5">
        <f>_xll.acq_options_blackscholes_greeks($C$4,$C$5,$C$6,N5,$C$9,$C$10,$C$8,TRUE)</f>
        <v>2.6409295700900081E-4</v>
      </c>
      <c r="T5">
        <f>_xll.acq_options_blackscholes_greeks($C$4,$C$5,$C$6,N5,$C$9,$C$10,$C$8,FALSE)</f>
        <v>-0.99574389638698246</v>
      </c>
    </row>
    <row r="6" spans="1:20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1.0000000000047748</v>
      </c>
      <c r="H6">
        <f>_xll.acq_options_bjerksund_greeks($C$4,$C$5,F6,$C$7,$C$9,$C$10,$C$8,FALSE)</f>
        <v>-1.1790817211476678E-6</v>
      </c>
      <c r="I6">
        <f>_xll.acq_options_binomial_american_greeks($C$4,$C$5,F6,$C$7,$C$9,$C$10,$C$8,TRUE,500)</f>
        <v>0.99999999974897946</v>
      </c>
      <c r="J6">
        <f>_xll.acq_options_binomial_american_greeks($C$4,$C$5,F6,$C$7,$C$9,$C$10,$C$8,FALSE)</f>
        <v>-9.8221734827945515E-7</v>
      </c>
      <c r="K6">
        <f>_xll.acq_options_blackscholes_greeks($C$4,$C$5,F6,$C$7,$C$9,$C$10,$C$8,TRUE)</f>
        <v>0.90483624145151886</v>
      </c>
      <c r="L6">
        <f>_xll.acq_options_blackscholes_greeks($C$4,$C$5,F6,$C$7,$C$9,$C$10,$C$8,FALSE)</f>
        <v>-1.1765844406786618E-6</v>
      </c>
      <c r="N6">
        <v>0.25</v>
      </c>
      <c r="O6">
        <f>_xll.acq_options_bjerksund_greeks($C$4,$C$5,$C$6,$N6,$C$9,$C$10,$C$8,TRUE)</f>
        <v>1.6362197293062763E-2</v>
      </c>
      <c r="P6">
        <f>_xll.acq_options_bjerksund_greeks($C$4,$C$5,$C$6,N6,$C$9,$C$10,$C$8,FALSE)</f>
        <v>-1.0000000000047748</v>
      </c>
      <c r="Q6">
        <f>_xll.acq_options_binomial_american_greeks($C$4,$C$5,$C$6,N6,$C$9,$C$10,$C$8,TRUE,500)</f>
        <v>1.8003760845684141E-2</v>
      </c>
      <c r="R6">
        <f>_xll.acq_options_binomial_american_greeks($C$4,$C$5,$C$6,N6,$C$9,$C$10,$C$8,FALSE)</f>
        <v>-0.99999999993372057</v>
      </c>
      <c r="S6">
        <f>_xll.acq_options_blackscholes_greeks($C$4,$C$5,$C$6,N6,$C$9,$C$10,$C$8,TRUE)</f>
        <v>1.6362197082523188E-2</v>
      </c>
      <c r="T6">
        <f>_xll.acq_options_blackscholes_greeks($C$4,$C$5,$C$6,N6,$C$9,$C$10,$C$8,FALSE)</f>
        <v>-0.97368763666664493</v>
      </c>
    </row>
    <row r="7" spans="1:20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1.0000000000047748</v>
      </c>
      <c r="H7">
        <f>_xll.acq_options_bjerksund_greeks($C$4,$C$5,F7,$C$7,$C$9,$C$10,$C$8,FALSE)</f>
        <v>-2.8771012239303673E-4</v>
      </c>
      <c r="I7">
        <f>_xll.acq_options_binomial_american_greeks($C$4,$C$5,F7,$C$7,$C$9,$C$10,$C$8,TRUE,500)</f>
        <v>0.99999999974897946</v>
      </c>
      <c r="J7">
        <f>_xll.acq_options_binomial_american_greeks($C$4,$C$5,F7,$C$7,$C$9,$C$10,$C$8,FALSE)</f>
        <v>-3.0261645035840889E-4</v>
      </c>
      <c r="K7">
        <f>_xll.acq_options_blackscholes_greeks($C$4,$C$5,F7,$C$7,$C$9,$C$10,$C$8,TRUE)</f>
        <v>0.90455189470950614</v>
      </c>
      <c r="L7">
        <f>_xll.acq_options_blackscholes_greeks($C$4,$C$5,F7,$C$7,$C$9,$C$10,$C$8,FALSE)</f>
        <v>-2.8552332645341382E-4</v>
      </c>
      <c r="N7">
        <v>0.5</v>
      </c>
      <c r="O7">
        <f>_xll.acq_options_bjerksund_greeks($C$4,$C$5,$C$6,$N7,$C$9,$C$10,$C$8,TRUE)</f>
        <v>7.3944553925286982E-2</v>
      </c>
      <c r="P7">
        <f>_xll.acq_options_bjerksund_greeks($C$4,$C$5,$C$6,N7,$C$9,$C$10,$C$8,FALSE)</f>
        <v>-1.0000000000047748</v>
      </c>
      <c r="Q7">
        <f>_xll.acq_options_binomial_american_greeks($C$4,$C$5,$C$6,N7,$C$9,$C$10,$C$8,TRUE,500)</f>
        <v>7.566620028656712E-2</v>
      </c>
      <c r="R7">
        <f>_xll.acq_options_binomial_american_greeks($C$4,$C$5,$C$6,N7,$C$9,$C$10,$C$8,FALSE)</f>
        <v>-1.0000000000758291</v>
      </c>
      <c r="S7">
        <f>_xll.acq_options_blackscholes_greeks($C$4,$C$5,$C$6,N7,$C$9,$C$10,$C$8,TRUE)</f>
        <v>7.3944550212899057E-2</v>
      </c>
      <c r="T7">
        <f>_xll.acq_options_blackscholes_greeks($C$4,$C$5,$C$6,N7,$C$9,$C$10,$C$8,FALSE)</f>
        <v>-0.90625412309385622</v>
      </c>
    </row>
    <row r="8" spans="1:20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1.0000000000047748</v>
      </c>
      <c r="H8">
        <f>_xll.acq_options_bjerksund_greeks($C$4,$C$5,F8,$C$7,$C$9,$C$10,$C$8,FALSE)</f>
        <v>-5.5939363292623057E-3</v>
      </c>
      <c r="I8">
        <f>_xll.acq_options_binomial_american_greeks($C$4,$C$5,F8,$C$7,$C$9,$C$10,$C$8,TRUE,500)</f>
        <v>0.99999999974897946</v>
      </c>
      <c r="J8">
        <f>_xll.acq_options_binomial_american_greeks($C$4,$C$5,F8,$C$7,$C$9,$C$10,$C$8,FALSE)</f>
        <v>-5.6417065320626958E-3</v>
      </c>
      <c r="K8">
        <f>_xll.acq_options_blackscholes_greeks($C$4,$C$5,F8,$C$7,$C$9,$C$10,$C$8,TRUE)</f>
        <v>0.8993466572974006</v>
      </c>
      <c r="L8">
        <f>_xll.acq_options_blackscholes_greeks($C$4,$C$5,F8,$C$7,$C$9,$C$10,$C$8,FALSE)</f>
        <v>-5.4907607385588772E-3</v>
      </c>
      <c r="N8">
        <v>1</v>
      </c>
      <c r="O8">
        <f>_xll.acq_options_bjerksund_greeks($C$4,$C$5,$C$6,$N8,$C$9,$C$10,$C$8,TRUE)</f>
        <v>0.172857136526261</v>
      </c>
      <c r="P8">
        <f>_xll.acq_options_bjerksund_greeks($C$4,$C$5,$C$6,N8,$C$9,$C$10,$C$8,FALSE)</f>
        <v>-0.9068305401509491</v>
      </c>
      <c r="Q8">
        <f>_xll.acq_options_binomial_american_greeks($C$4,$C$5,$C$6,N8,$C$9,$C$10,$C$8,TRUE,500)</f>
        <v>0.17227824982180007</v>
      </c>
      <c r="R8">
        <f>_xll.acq_options_binomial_american_greeks($C$4,$C$5,$C$6,N8,$C$9,$C$10,$C$8,FALSE)</f>
        <v>-0.90862615390996382</v>
      </c>
      <c r="S8">
        <f>_xll.acq_options_blackscholes_greeks($C$4,$C$5,$C$6,N8,$C$9,$C$10,$C$8,TRUE)</f>
        <v>0.17285320167482446</v>
      </c>
      <c r="T8">
        <f>_xll.acq_options_blackscholes_greeks($C$4,$C$5,$C$6,N8,$C$9,$C$10,$C$8,FALSE)</f>
        <v>-0.78793623747749875</v>
      </c>
    </row>
    <row r="9" spans="1:20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0.92957772969270991</v>
      </c>
      <c r="H9">
        <f>_xll.acq_options_bjerksund_greeks($C$4,$C$5,F9,$C$7,$C$9,$C$10,$C$8,FALSE)</f>
        <v>-3.3528961871809315E-2</v>
      </c>
      <c r="I9">
        <f>_xll.acq_options_binomial_american_greeks($C$4,$C$5,F9,$C$7,$C$9,$C$10,$C$8,TRUE,500)</f>
        <v>0.92854126651609192</v>
      </c>
      <c r="J9">
        <f>_xll.acq_options_binomial_american_greeks($C$4,$C$5,F9,$C$7,$C$9,$C$10,$C$8,FALSE)</f>
        <v>-3.4496846979592544E-2</v>
      </c>
      <c r="K9">
        <f>_xll.acq_options_blackscholes_greeks($C$4,$C$5,F9,$C$7,$C$9,$C$10,$C$8,TRUE)</f>
        <v>0.87250520496377693</v>
      </c>
      <c r="L9">
        <f>_xll.acq_options_blackscholes_greeks($C$4,$C$5,F9,$C$7,$C$9,$C$10,$C$8,FALSE)</f>
        <v>-3.2332213072182633E-2</v>
      </c>
      <c r="N9">
        <v>2</v>
      </c>
      <c r="O9">
        <f>_xll.acq_options_bjerksund_greeks($C$4,$C$5,$C$6,$N9,$C$9,$C$10,$C$8,TRUE)</f>
        <v>0.28310671071807292</v>
      </c>
      <c r="P9">
        <f>_xll.acq_options_bjerksund_greeks($C$4,$C$5,$C$6,N9,$C$9,$C$10,$C$8,FALSE)</f>
        <v>-0.79678748015865608</v>
      </c>
      <c r="Q9">
        <f>_xll.acq_options_binomial_american_greeks($C$4,$C$5,$C$6,N9,$C$9,$C$10,$C$8,TRUE,500)</f>
        <v>0.29259663217895415</v>
      </c>
      <c r="R9">
        <f>_xll.acq_options_binomial_american_greeks($C$4,$C$5,$C$6,N9,$C$9,$C$10,$C$8,FALSE)</f>
        <v>-0.79296812854323662</v>
      </c>
      <c r="S9">
        <f>_xll.acq_options_blackscholes_greeks($C$4,$C$5,$C$6,N9,$C$9,$C$10,$C$8,TRUE)</f>
        <v>0.28284019788206849</v>
      </c>
      <c r="T9">
        <f>_xll.acq_options_blackscholes_greeks($C$4,$C$5,$C$6,N9,$C$9,$C$10,$C$8,FALSE)</f>
        <v>-0.64027614850456727</v>
      </c>
    </row>
    <row r="10" spans="1:20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0.8301276996434126</v>
      </c>
      <c r="H10">
        <f>_xll.acq_options_bjerksund_greeks($C$4,$C$5,F10,$C$7,$C$9,$C$10,$C$8,FALSE)</f>
        <v>-0.10597279148072403</v>
      </c>
      <c r="I10">
        <f>_xll.acq_options_binomial_american_greeks($C$4,$C$5,F10,$C$7,$C$9,$C$10,$C$8,TRUE,500)</f>
        <v>0.83521741553482798</v>
      </c>
      <c r="J10">
        <f>_xll.acq_options_binomial_american_greeks($C$4,$C$5,F10,$C$7,$C$9,$C$10,$C$8,FALSE)</f>
        <v>-0.10282584211140922</v>
      </c>
      <c r="K10">
        <f>_xll.acq_options_blackscholes_greeks($C$4,$C$5,F10,$C$7,$C$9,$C$10,$C$8,TRUE)</f>
        <v>0.80520832776611939</v>
      </c>
      <c r="L10">
        <f>_xll.acq_options_blackscholes_greeks($C$4,$C$5,F10,$C$7,$C$9,$C$10,$C$8,FALSE)</f>
        <v>-9.9629090269840029E-2</v>
      </c>
      <c r="N10">
        <v>3</v>
      </c>
      <c r="O10">
        <f>_xll.acq_options_bjerksund_greeks($C$4,$C$5,$C$6,$N10,$C$9,$C$10,$C$8,TRUE)</f>
        <v>0.34111374165135544</v>
      </c>
      <c r="P10">
        <f>_xll.acq_options_bjerksund_greeks($C$4,$C$5,$C$6,N10,$C$9,$C$10,$C$8,FALSE)</f>
        <v>-0.7340534859547887</v>
      </c>
      <c r="Q10">
        <f>_xll.acq_options_binomial_american_greeks($C$4,$C$5,$C$6,N10,$C$9,$C$10,$C$8,TRUE,500)</f>
        <v>0.33245253159464028</v>
      </c>
      <c r="R10">
        <f>_xll.acq_options_binomial_american_greeks($C$4,$C$5,$C$6,N10,$C$9,$C$10,$C$8,FALSE)</f>
        <v>-0.73691452177726546</v>
      </c>
      <c r="S10">
        <f>_xll.acq_options_blackscholes_greeks($C$4,$C$5,$C$6,N10,$C$9,$C$10,$C$8,TRUE)</f>
        <v>0.33964358361436808</v>
      </c>
      <c r="T10">
        <f>_xll.acq_options_blackscholes_greeks($C$4,$C$5,$C$6,N10,$C$9,$C$10,$C$8,FALSE)</f>
        <v>-0.5472768531027894</v>
      </c>
    </row>
    <row r="11" spans="1:20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0.70708211926628906</v>
      </c>
      <c r="H11">
        <f>_xll.acq_options_bjerksund_greeks($C$4,$C$5,F11,$C$7,$C$9,$C$10,$C$8,FALSE)</f>
        <v>-0.22913125734902451</v>
      </c>
      <c r="I11">
        <f>_xll.acq_options_binomial_american_greeks($C$4,$C$5,F11,$C$7,$C$9,$C$10,$C$8,TRUE,500)</f>
        <v>0.70225140398960662</v>
      </c>
      <c r="J11">
        <f>_xll.acq_options_binomial_american_greeks($C$4,$C$5,F11,$C$7,$C$9,$C$10,$C$8,FALSE)</f>
        <v>-0.23406176178131233</v>
      </c>
      <c r="K11">
        <f>_xll.acq_options_blackscholes_greeks($C$4,$C$5,F11,$C$7,$C$9,$C$10,$C$8,TRUE)</f>
        <v>0.69662705779637046</v>
      </c>
      <c r="L11">
        <f>_xll.acq_options_blackscholes_greeks($C$4,$C$5,F11,$C$7,$C$9,$C$10,$C$8,FALSE)</f>
        <v>-0.20821036023958911</v>
      </c>
      <c r="N11">
        <v>4</v>
      </c>
      <c r="O11">
        <f>_xll.acq_options_bjerksund_greeks($C$4,$C$5,$C$6,$N11,$C$9,$C$10,$C$8,TRUE)</f>
        <v>0.37656129400787108</v>
      </c>
      <c r="P11">
        <f>_xll.acq_options_bjerksund_greeks($C$4,$C$5,$C$6,N11,$C$9,$C$10,$C$8,FALSE)</f>
        <v>-0.69289760635093955</v>
      </c>
      <c r="Q11">
        <f>_xll.acq_options_binomial_american_greeks($C$4,$C$5,$C$6,N11,$C$9,$C$10,$C$8,TRUE,500)</f>
        <v>0.36917688126614223</v>
      </c>
      <c r="R11">
        <f>_xll.acq_options_binomial_american_greeks($C$4,$C$5,$C$6,N11,$C$9,$C$10,$C$8,FALSE)</f>
        <v>-0.69592637763626897</v>
      </c>
      <c r="S11">
        <f>_xll.acq_options_blackscholes_greeks($C$4,$C$5,$C$6,N11,$C$9,$C$10,$C$8,TRUE)</f>
        <v>0.3726288454956081</v>
      </c>
      <c r="T11">
        <f>_xll.acq_options_blackscholes_greeks($C$4,$C$5,$C$6,N11,$C$9,$C$10,$C$8,FALSE)</f>
        <v>-0.47951494347060325</v>
      </c>
    </row>
    <row r="12" spans="1:20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0.56900196060283292</v>
      </c>
      <c r="H12">
        <f>_xll.acq_options_bjerksund_greeks($C$4,$C$5,F12,$C$7,$C$9,$C$10,$C$8,FALSE)</f>
        <v>-0.39099868917702452</v>
      </c>
      <c r="I12">
        <f>_xll.acq_options_binomial_american_greeks($C$4,$C$5,F12,$C$7,$C$9,$C$10,$C$8,TRUE,500)</f>
        <v>0.56941307740210334</v>
      </c>
      <c r="J12">
        <f>_xll.acq_options_binomial_american_greeks($C$4,$C$5,F12,$C$7,$C$9,$C$10,$C$8,FALSE)</f>
        <v>-0.39622477732814687</v>
      </c>
      <c r="K12">
        <f>_xll.acq_options_blackscholes_greeks($C$4,$C$5,F12,$C$7,$C$9,$C$10,$C$8,TRUE)</f>
        <v>0.56469562559947628</v>
      </c>
      <c r="L12">
        <f>_xll.acq_options_blackscholes_greeks($C$4,$C$5,F12,$C$7,$C$9,$C$10,$C$8,FALSE)</f>
        <v>-0.34014179243648329</v>
      </c>
      <c r="N12">
        <v>5</v>
      </c>
      <c r="O12">
        <f>_xll.acq_options_bjerksund_greeks($C$4,$C$5,$C$6,$N12,$C$9,$C$10,$C$8,TRUE)</f>
        <v>0.400087719420128</v>
      </c>
      <c r="P12">
        <f>_xll.acq_options_bjerksund_greeks($C$4,$C$5,$C$6,N12,$C$9,$C$10,$C$8,FALSE)</f>
        <v>-0.66353706578148319</v>
      </c>
      <c r="Q12">
        <f>_xll.acq_options_binomial_american_greeks($C$4,$C$5,$C$6,N12,$C$9,$C$10,$C$8,TRUE,500)</f>
        <v>0.40292198566760362</v>
      </c>
      <c r="R12">
        <f>_xll.acq_options_binomial_american_greeks($C$4,$C$5,$C$6,N12,$C$9,$C$10,$C$8,FALSE)</f>
        <v>-0.66193711373152553</v>
      </c>
      <c r="S12">
        <f>_xll.acq_options_blackscholes_greeks($C$4,$C$5,$C$6,N12,$C$9,$C$10,$C$8,TRUE)</f>
        <v>0.39246982558386612</v>
      </c>
      <c r="T12">
        <f>_xll.acq_options_blackscholes_greeks($C$4,$C$5,$C$6,N12,$C$9,$C$10,$C$8,FALSE)</f>
        <v>-0.4262609274941157</v>
      </c>
    </row>
    <row r="13" spans="1:20" x14ac:dyDescent="0.25">
      <c r="F13">
        <v>90</v>
      </c>
      <c r="G13">
        <f>_xll.acq_options_bjerksund_greeks($C$4,$C$5,F13,$C$7,$C$9,$C$10,$C$8,TRUE)</f>
        <v>0.43389004885696636</v>
      </c>
      <c r="H13">
        <f>_xll.acq_options_bjerksund_greeks($C$4,$C$5,F13,$C$7,$C$9,$C$10,$C$8,FALSE)</f>
        <v>-0.57330784125397827</v>
      </c>
      <c r="I13">
        <f>_xll.acq_options_binomial_american_greeks($C$4,$C$5,F13,$C$7,$C$9,$C$10,$C$8,TRUE,500)</f>
        <v>0.4234461359171604</v>
      </c>
      <c r="J13">
        <f>_xll.acq_options_binomial_american_greeks($C$4,$C$5,F13,$C$7,$C$9,$C$10,$C$8,FALSE)</f>
        <v>-0.57802404033235888</v>
      </c>
      <c r="K13">
        <f>_xll.acq_options_blackscholes_greeks($C$4,$C$5,F13,$C$7,$C$9,$C$10,$C$8,TRUE)</f>
        <v>0.43212984807051297</v>
      </c>
      <c r="L13">
        <f>_xll.acq_options_blackscholes_greeks($C$4,$C$5,F13,$C$7,$C$9,$C$10,$C$8,FALSE)</f>
        <v>-0.47270756996544655</v>
      </c>
      <c r="N13">
        <v>6</v>
      </c>
      <c r="O13">
        <f>_xll.acq_options_bjerksund_greeks($C$4,$C$5,$C$6,$N13,$C$9,$C$10,$C$8,TRUE)</f>
        <v>0.41648436079455564</v>
      </c>
      <c r="P13">
        <f>_xll.acq_options_bjerksund_greeks($C$4,$C$5,$C$6,N13,$C$9,$C$10,$C$8,FALSE)</f>
        <v>-0.64146700087164277</v>
      </c>
      <c r="Q13">
        <f>_xll.acq_options_binomial_american_greeks($C$4,$C$5,$C$6,N13,$C$9,$C$10,$C$8,TRUE,500)</f>
        <v>0.40581090324742775</v>
      </c>
      <c r="R13">
        <f>_xll.acq_options_binomial_american_greeks($C$4,$C$5,$C$6,N13,$C$9,$C$10,$C$8,FALSE)</f>
        <v>-0.64279241154530098</v>
      </c>
      <c r="S13">
        <f>_xll.acq_options_blackscholes_greeks($C$4,$C$5,$C$6,N13,$C$9,$C$10,$C$8,TRUE)</f>
        <v>0.40410971397405998</v>
      </c>
      <c r="T13">
        <f>_xll.acq_options_blackscholes_greeks($C$4,$C$5,$C$6,N13,$C$9,$C$10,$C$8,FALSE)</f>
        <v>-0.38251814709249349</v>
      </c>
    </row>
    <row r="14" spans="1:20" x14ac:dyDescent="0.25">
      <c r="F14">
        <v>100</v>
      </c>
      <c r="G14">
        <f>_xll.acq_options_bjerksund_greeks($C$4,$C$5,F14,$C$7,$C$9,$C$10,$C$8,TRUE)</f>
        <v>0.31604109658189827</v>
      </c>
      <c r="H14">
        <f>_xll.acq_options_bjerksund_greeks($C$4,$C$5,F14,$C$7,$C$9,$C$10,$C$8,FALSE)</f>
        <v>-0.7617149330592099</v>
      </c>
      <c r="I14">
        <f>_xll.acq_options_binomial_american_greeks($C$4,$C$5,F14,$C$7,$C$9,$C$10,$C$8,TRUE,500)</f>
        <v>0.32799397992011592</v>
      </c>
      <c r="J14">
        <f>_xll.acq_options_binomial_american_greeks($C$4,$C$5,F14,$C$7,$C$9,$C$10,$C$8,FALSE)</f>
        <v>-0.75671739894112022</v>
      </c>
      <c r="K14">
        <f>_xll.acq_options_blackscholes_greeks($C$4,$C$5,F14,$C$7,$C$9,$C$10,$C$8,TRUE)</f>
        <v>0.31532219629300012</v>
      </c>
      <c r="L14">
        <f>_xll.acq_options_blackscholes_greeks($C$4,$C$5,F14,$C$7,$C$9,$C$10,$C$8,FALSE)</f>
        <v>-0.58951522174295934</v>
      </c>
      <c r="N14">
        <v>7</v>
      </c>
      <c r="O14">
        <f>_xll.acq_options_bjerksund_greeks($C$4,$C$5,$C$6,$N14,$C$9,$C$10,$C$8,TRUE)</f>
        <v>0.42826330781764455</v>
      </c>
      <c r="P14">
        <f>_xll.acq_options_bjerksund_greeks($C$4,$C$5,$C$6,N14,$C$9,$C$10,$C$8,FALSE)</f>
        <v>-0.62428073364273473</v>
      </c>
      <c r="Q14">
        <f>_xll.acq_options_binomial_american_greeks($C$4,$C$5,$C$6,N14,$C$9,$C$10,$C$8,TRUE,500)</f>
        <v>0.43446346418818393</v>
      </c>
      <c r="R14">
        <f>_xll.acq_options_binomial_american_greeks($C$4,$C$5,$C$6,N14,$C$9,$C$10,$C$8,FALSE)</f>
        <v>-0.61972816551580934</v>
      </c>
      <c r="S14">
        <f>_xll.acq_options_blackscholes_greeks($C$4,$C$5,$C$6,N14,$C$9,$C$10,$C$8,TRUE)</f>
        <v>0.41022690298312048</v>
      </c>
      <c r="T14">
        <f>_xll.acq_options_blackscholes_greeks($C$4,$C$5,$C$6,N14,$C$9,$C$10,$C$8,FALSE)</f>
        <v>-0.34555683847260504</v>
      </c>
    </row>
    <row r="15" spans="1:20" x14ac:dyDescent="0.25">
      <c r="F15">
        <v>110</v>
      </c>
      <c r="G15">
        <f>_xll.acq_options_bjerksund_greeks($C$4,$C$5,F15,$C$7,$C$9,$C$10,$C$8,TRUE)</f>
        <v>0.22183714651902164</v>
      </c>
      <c r="H15">
        <f>_xll.acq_options_bjerksund_greeks($C$4,$C$5,F15,$C$7,$C$9,$C$10,$C$8,FALSE)</f>
        <v>-1.0000000000047748</v>
      </c>
      <c r="I15">
        <f>_xll.acq_options_binomial_american_greeks($C$4,$C$5,F15,$C$7,$C$9,$C$10,$C$8,TRUE,500)</f>
        <v>0.21586487600533388</v>
      </c>
      <c r="J15">
        <f>_xll.acq_options_binomial_american_greeks($C$4,$C$5,F15,$C$7,$C$9,$C$10,$C$8,FALSE)</f>
        <v>-0.96606517144337545</v>
      </c>
      <c r="K15">
        <f>_xll.acq_options_blackscholes_greeks($C$4,$C$5,F15,$C$7,$C$9,$C$10,$C$8,TRUE)</f>
        <v>0.2215422481792706</v>
      </c>
      <c r="L15">
        <f>_xll.acq_options_blackscholes_greeks($C$4,$C$5,F15,$C$7,$C$9,$C$10,$C$8,FALSE)</f>
        <v>-0.68329516985668892</v>
      </c>
      <c r="N15">
        <v>8</v>
      </c>
      <c r="O15">
        <f>_xll.acq_options_bjerksund_greeks($C$4,$C$5,$C$6,$N15,$C$9,$C$10,$C$8,TRUE)</f>
        <v>0.43688668901964434</v>
      </c>
      <c r="P15">
        <f>_xll.acq_options_bjerksund_greeks($C$4,$C$5,$C$6,N15,$C$9,$C$10,$C$8,FALSE)</f>
        <v>-0.61055375573637605</v>
      </c>
      <c r="Q15">
        <f>_xll.acq_options_binomial_american_greeks($C$4,$C$5,$C$6,N15,$C$9,$C$10,$C$8,TRUE,500)</f>
        <v>0.43518986384416536</v>
      </c>
      <c r="R15">
        <f>_xll.acq_options_binomial_american_greeks($C$4,$C$5,$C$6,N15,$C$9,$C$10,$C$8,FALSE)</f>
        <v>-0.61530343885429772</v>
      </c>
      <c r="S15">
        <f>_xll.acq_options_blackscholes_greeks($C$4,$C$5,$C$6,N15,$C$9,$C$10,$C$8,TRUE)</f>
        <v>0.41243410955106297</v>
      </c>
      <c r="T15">
        <f>_xll.acq_options_blackscholes_greeks($C$4,$C$5,$C$6,N15,$C$9,$C$10,$C$8,FALSE)</f>
        <v>-0.31371492752262797</v>
      </c>
    </row>
    <row r="16" spans="1:20" x14ac:dyDescent="0.25">
      <c r="F16">
        <v>120</v>
      </c>
      <c r="G16">
        <f>_xll.acq_options_bjerksund_greeks($C$4,$C$5,F16,$C$7,$C$9,$C$10,$C$8,TRUE)</f>
        <v>0.15125763048473573</v>
      </c>
      <c r="H16">
        <f>_xll.acq_options_bjerksund_greeks($C$4,$C$5,F16,$C$7,$C$9,$C$10,$C$8,FALSE)</f>
        <v>-1.0000000000047748</v>
      </c>
      <c r="I16">
        <f>_xll.acq_options_binomial_american_greeks($C$4,$C$5,F16,$C$7,$C$9,$C$10,$C$8,TRUE,500)</f>
        <v>0.14797089306939348</v>
      </c>
      <c r="J16">
        <f>_xll.acq_options_binomial_american_greeks($C$4,$C$5,F16,$C$7,$C$9,$C$10,$C$8,FALSE)</f>
        <v>-0.99999999974897946</v>
      </c>
      <c r="K16">
        <f>_xll.acq_options_blackscholes_greeks($C$4,$C$5,F16,$C$7,$C$9,$C$10,$C$8,TRUE)</f>
        <v>0.15113565043260022</v>
      </c>
      <c r="L16">
        <f>_xll.acq_options_blackscholes_greeks($C$4,$C$5,F16,$C$7,$C$9,$C$10,$C$8,FALSE)</f>
        <v>-0.75370176760335927</v>
      </c>
      <c r="N16">
        <v>9</v>
      </c>
      <c r="O16">
        <f>_xll.acq_options_bjerksund_greeks($C$4,$C$5,$C$6,$N16,$C$9,$C$10,$C$8,TRUE)</f>
        <v>0.44327153094059213</v>
      </c>
      <c r="P16">
        <f>_xll.acq_options_bjerksund_greeks($C$4,$C$5,$C$6,N16,$C$9,$C$10,$C$8,FALSE)</f>
        <v>-0.5993785696674081</v>
      </c>
      <c r="Q16">
        <f>_xll.acq_options_binomial_american_greeks($C$4,$C$5,$C$6,N16,$C$9,$C$10,$C$8,TRUE,500)</f>
        <v>0.43579652068004293</v>
      </c>
      <c r="R16">
        <f>_xll.acq_options_binomial_american_greeks($C$4,$C$5,$C$6,N16,$C$9,$C$10,$C$8,FALSE)</f>
        <v>-0.60623873172360732</v>
      </c>
      <c r="S16">
        <f>_xll.acq_options_blackscholes_greeks($C$4,$C$5,$C$6,N16,$C$9,$C$10,$C$8,TRUE)</f>
        <v>0.4117779509090711</v>
      </c>
      <c r="T16">
        <f>_xll.acq_options_blackscholes_greeks($C$4,$C$5,$C$6,N16,$C$9,$C$10,$C$8,FALSE)</f>
        <v>-0.28589837516195987</v>
      </c>
    </row>
    <row r="17" spans="2:20" ht="15.75" thickBot="1" x14ac:dyDescent="0.3">
      <c r="B17" s="3" t="s">
        <v>169</v>
      </c>
      <c r="F17">
        <v>130</v>
      </c>
      <c r="G17">
        <f>_xll.acq_options_bjerksund_greeks($C$4,$C$5,F17,$C$7,$C$9,$C$10,$C$8,TRUE)</f>
        <v>0.10085569557816143</v>
      </c>
      <c r="H17">
        <f>_xll.acq_options_bjerksund_greeks($C$4,$C$5,F17,$C$7,$C$9,$C$10,$C$8,FALSE)</f>
        <v>-1.0000000000047748</v>
      </c>
      <c r="I17">
        <f>_xll.acq_options_binomial_american_greeks($C$4,$C$5,F17,$C$7,$C$9,$C$10,$C$8,TRUE,500)</f>
        <v>9.5769994736927266E-2</v>
      </c>
      <c r="J17">
        <f>_xll.acq_options_binomial_american_greeks($C$4,$C$5,F17,$C$7,$C$9,$C$10,$C$8,FALSE)</f>
        <v>-0.99999999974897946</v>
      </c>
      <c r="K17">
        <f>_xll.acq_options_blackscholes_greeks($C$4,$C$5,F17,$C$7,$C$9,$C$10,$C$8,TRUE)</f>
        <v>0.10080467254549613</v>
      </c>
      <c r="L17">
        <f>_xll.acq_options_blackscholes_greeks($C$4,$C$5,F17,$C$7,$C$9,$C$10,$C$8,FALSE)</f>
        <v>-0.80403274549046344</v>
      </c>
      <c r="N17">
        <v>10</v>
      </c>
      <c r="O17">
        <f>_xll.acq_options_bjerksund_greeks($C$4,$C$5,$C$6,$N17,$C$9,$C$10,$C$8,TRUE)</f>
        <v>0.44802537400379094</v>
      </c>
      <c r="P17">
        <f>_xll.acq_options_bjerksund_greeks($C$4,$C$5,$C$6,N17,$C$9,$C$10,$C$8,FALSE)</f>
        <v>-0.59014444344818173</v>
      </c>
      <c r="Q17">
        <f>_xll.acq_options_binomial_american_greeks($C$4,$C$5,$C$6,N17,$C$9,$C$10,$C$8,TRUE,500)</f>
        <v>0.45820653608874551</v>
      </c>
      <c r="R17">
        <f>_xll.acq_options_binomial_american_greeks($C$4,$C$5,$C$6,N17,$C$9,$C$10,$C$8,FALSE)</f>
        <v>-0.58814029556764069</v>
      </c>
      <c r="S17">
        <f>_xll.acq_options_blackscholes_greeks($C$4,$C$5,$C$6,N17,$C$9,$C$10,$C$8,TRUE)</f>
        <v>0.40897638374502782</v>
      </c>
      <c r="T17">
        <f>_xll.acq_options_blackscholes_greeks($C$4,$C$5,$C$6,N17,$C$9,$C$10,$C$8,FALSE)</f>
        <v>-0.26134366229061151</v>
      </c>
    </row>
    <row r="18" spans="2:20" x14ac:dyDescent="0.25">
      <c r="B18" t="s">
        <v>99</v>
      </c>
      <c r="F18">
        <v>140</v>
      </c>
      <c r="G18">
        <f>_xll.acq_options_bjerksund_greeks($C$4,$C$5,F18,$C$7,$C$9,$C$10,$C$8,TRUE)</f>
        <v>6.6121646206340756E-2</v>
      </c>
      <c r="H18">
        <f>_xll.acq_options_bjerksund_greeks($C$4,$C$5,F18,$C$7,$C$9,$C$10,$C$8,FALSE)</f>
        <v>-1.0000000000047748</v>
      </c>
      <c r="I18">
        <f>_xll.acq_options_binomial_american_greeks($C$4,$C$5,F18,$C$7,$C$9,$C$10,$C$8,TRUE,500)</f>
        <v>6.9316105379302329E-2</v>
      </c>
      <c r="J18">
        <f>_xll.acq_options_binomial_american_greeks($C$4,$C$5,F18,$C$7,$C$9,$C$10,$C$8,FALSE)</f>
        <v>-0.99999999974897946</v>
      </c>
      <c r="K18">
        <f>_xll.acq_options_blackscholes_greeks($C$4,$C$5,F18,$C$7,$C$9,$C$10,$C$8,TRUE)</f>
        <v>6.6100021174242504E-2</v>
      </c>
      <c r="L18">
        <f>_xll.acq_options_blackscholes_greeks($C$4,$C$5,F18,$C$7,$C$9,$C$10,$C$8,FALSE)</f>
        <v>-0.838737396861717</v>
      </c>
      <c r="N18">
        <v>11</v>
      </c>
      <c r="O18">
        <f>_xll.acq_options_bjerksund_greeks($C$4,$C$5,$C$6,$N18,$C$9,$C$10,$C$8,TRUE)</f>
        <v>0.45156755843933638</v>
      </c>
      <c r="P18">
        <f>_xll.acq_options_bjerksund_greeks($C$4,$C$5,$C$6,N18,$C$9,$C$10,$C$8,FALSE)</f>
        <v>-0.58242262056396044</v>
      </c>
      <c r="Q18">
        <f>_xll.acq_options_binomial_american_greeks($C$4,$C$5,$C$6,N18,$C$9,$C$10,$C$8,TRUE,500)</f>
        <v>0.45733406911985242</v>
      </c>
      <c r="R18">
        <f>_xll.acq_options_binomial_american_greeks($C$4,$C$5,$C$6,N18,$C$9,$C$10,$C$8,FALSE)</f>
        <v>-0.57655187785421447</v>
      </c>
      <c r="S18">
        <f>_xll.acq_options_blackscholes_greeks($C$4,$C$5,$C$6,N18,$C$9,$C$10,$C$8,TRUE)</f>
        <v>0.40454316202445334</v>
      </c>
      <c r="T18">
        <f>_xll.acq_options_blackscholes_greeks($C$4,$C$5,$C$6,N18,$C$9,$C$10,$C$8,FALSE)</f>
        <v>-0.23949325905868804</v>
      </c>
    </row>
    <row r="19" spans="2:20" x14ac:dyDescent="0.25">
      <c r="B19" t="s">
        <v>100</v>
      </c>
      <c r="F19">
        <v>150</v>
      </c>
      <c r="G19">
        <f>_xll.acq_options_bjerksund_greeks($C$4,$C$5,F19,$C$7,$C$9,$C$10,$C$8,TRUE)</f>
        <v>4.2808910450276016E-2</v>
      </c>
      <c r="H19">
        <f>_xll.acq_options_bjerksund_greeks($C$4,$C$5,F19,$C$7,$C$9,$C$10,$C$8,FALSE)</f>
        <v>-1.0000000000047748</v>
      </c>
      <c r="I19">
        <f>_xll.acq_options_binomial_american_greeks($C$4,$C$5,F19,$C$7,$C$9,$C$10,$C$8,TRUE,500)</f>
        <v>4.0565710369339092E-2</v>
      </c>
      <c r="J19">
        <f>_xll.acq_options_binomial_american_greeks($C$4,$C$5,F19,$C$7,$C$9,$C$10,$C$8,FALSE)</f>
        <v>-0.99999999974897946</v>
      </c>
      <c r="K19">
        <f>_xll.acq_options_blackscholes_greeks($C$4,$C$5,F19,$C$7,$C$9,$C$10,$C$8,TRUE)</f>
        <v>4.2799612260652924E-2</v>
      </c>
      <c r="L19">
        <f>_xll.acq_options_blackscholes_greeks($C$4,$C$5,F19,$C$7,$C$9,$C$10,$C$8,FALSE)</f>
        <v>-0.86203780577530653</v>
      </c>
      <c r="N19">
        <v>12</v>
      </c>
      <c r="O19">
        <f>_xll.acq_options_bjerksund_greeks($C$4,$C$5,$C$6,$N19,$C$9,$C$10,$C$8,TRUE)</f>
        <v>0.45419669183921485</v>
      </c>
      <c r="P19">
        <f>_xll.acq_options_bjerksund_greeks($C$4,$C$5,$C$6,N19,$C$9,$C$10,$C$8,FALSE)</f>
        <v>-0.57590186751887984</v>
      </c>
      <c r="Q19">
        <f>_xll.acq_options_binomial_american_greeks($C$4,$C$5,$C$6,N19,$C$9,$C$10,$C$8,TRUE,500)</f>
        <v>0.45648197169878557</v>
      </c>
      <c r="R19">
        <f>_xll.acq_options_binomial_american_greeks($C$4,$C$5,$C$6,N19,$C$9,$C$10,$C$8,FALSE)</f>
        <v>-0.56835039130831433</v>
      </c>
      <c r="S19">
        <f>_xll.acq_options_blackscholes_greeks($C$4,$C$5,$C$6,N19,$C$9,$C$10,$C$8,TRUE)</f>
        <v>0.39885820360836244</v>
      </c>
      <c r="T19">
        <f>_xll.acq_options_blackscholes_greeks($C$4,$C$5,$C$6,N19,$C$9,$C$10,$C$8,FALSE)</f>
        <v>-0.21992518819777837</v>
      </c>
    </row>
    <row r="20" spans="2:20" x14ac:dyDescent="0.25">
      <c r="B20" t="s">
        <v>101</v>
      </c>
      <c r="F20">
        <v>160</v>
      </c>
      <c r="G20">
        <f>_xll.acq_options_bjerksund_greeks($C$4,$C$5,F20,$C$7,$C$9,$C$10,$C$8,TRUE)</f>
        <v>2.7464528344012251E-2</v>
      </c>
      <c r="H20">
        <f>_xll.acq_options_bjerksund_greeks($C$4,$C$5,F20,$C$7,$C$9,$C$10,$C$8,FALSE)</f>
        <v>-1.0000000000047748</v>
      </c>
      <c r="I20">
        <f>_xll.acq_options_binomial_american_greeks($C$4,$C$5,F20,$C$7,$C$9,$C$10,$C$8,TRUE,500)</f>
        <v>2.7408475995083226E-2</v>
      </c>
      <c r="J20">
        <f>_xll.acq_options_binomial_american_greeks($C$4,$C$5,F20,$C$7,$C$9,$C$10,$C$8,FALSE)</f>
        <v>-0.99999999974897946</v>
      </c>
      <c r="K20">
        <f>_xll.acq_options_blackscholes_greeks($C$4,$C$5,F20,$C$7,$C$9,$C$10,$C$8,TRUE)</f>
        <v>2.7460469573046389E-2</v>
      </c>
      <c r="L20">
        <f>_xll.acq_options_blackscholes_greeks($C$4,$C$5,F20,$C$7,$C$9,$C$10,$C$8,FALSE)</f>
        <v>-0.87737694846291314</v>
      </c>
      <c r="N20">
        <v>13</v>
      </c>
      <c r="O20">
        <f>_xll.acq_options_bjerksund_greeks($C$4,$C$5,$C$6,$N20,$C$9,$C$10,$C$8,TRUE)</f>
        <v>0.45613059676163914</v>
      </c>
      <c r="P20">
        <f>_xll.acq_options_bjerksund_greeks($C$4,$C$5,$C$6,N20,$C$9,$C$10,$C$8,FALSE)</f>
        <v>-0.57035007549721684</v>
      </c>
      <c r="Q20">
        <f>_xll.acq_options_binomial_american_greeks($C$4,$C$5,$C$6,N20,$C$9,$C$10,$C$8,TRUE,500)</f>
        <v>0.45577969324117618</v>
      </c>
      <c r="R20">
        <f>_xll.acq_options_binomial_american_greeks($C$4,$C$5,$C$6,N20,$C$9,$C$10,$C$8,FALSE)</f>
        <v>-0.57012029326664049</v>
      </c>
      <c r="S20">
        <f>_xll.acq_options_blackscholes_greeks($C$4,$C$5,$C$6,N20,$C$9,$C$10,$C$8,TRUE)</f>
        <v>0.39220984971997208</v>
      </c>
      <c r="T20">
        <f>_xll.acq_options_blackscholes_greeks($C$4,$C$5,$C$6,N20,$C$9,$C$10,$C$8,FALSE)</f>
        <v>-0.2023106982502223</v>
      </c>
    </row>
    <row r="21" spans="2:20" x14ac:dyDescent="0.25">
      <c r="B21" t="s">
        <v>102</v>
      </c>
      <c r="F21">
        <v>170</v>
      </c>
      <c r="G21">
        <f>_xll.acq_options_bjerksund_greeks($C$4,$C$5,F21,$C$7,$C$9,$C$10,$C$8,TRUE)</f>
        <v>1.7508470619986838E-2</v>
      </c>
      <c r="H21">
        <f>_xll.acq_options_bjerksund_greeks($C$4,$C$5,F21,$C$7,$C$9,$C$10,$C$8,FALSE)</f>
        <v>-1.0000000000047748</v>
      </c>
      <c r="I21">
        <f>_xll.acq_options_binomial_american_greeks($C$4,$C$5,F21,$C$7,$C$9,$C$10,$C$8,TRUE,500)</f>
        <v>1.8000969328718641E-2</v>
      </c>
      <c r="J21">
        <f>_xll.acq_options_binomial_american_greeks($C$4,$C$5,F21,$C$7,$C$9,$C$10,$C$8,FALSE)</f>
        <v>-0.99999999974897946</v>
      </c>
      <c r="K21">
        <f>_xll.acq_options_blackscholes_greeks($C$4,$C$5,F21,$C$7,$C$9,$C$10,$C$8,TRUE)</f>
        <v>1.7506671446599582E-2</v>
      </c>
      <c r="L21">
        <f>_xll.acq_options_blackscholes_greeks($C$4,$C$5,F21,$C$7,$C$9,$C$10,$C$8,FALSE)</f>
        <v>-0.88733074658935995</v>
      </c>
      <c r="N21">
        <v>14</v>
      </c>
      <c r="O21">
        <f>_xll.acq_options_bjerksund_greeks($C$4,$C$5,$C$6,$N21,$C$9,$C$10,$C$8,TRUE)</f>
        <v>0.45753119571934064</v>
      </c>
      <c r="P21">
        <f>_xll.acq_options_bjerksund_greeks($C$4,$C$5,$C$6,N21,$C$9,$C$10,$C$8,FALSE)</f>
        <v>-0.56559025411573316</v>
      </c>
      <c r="Q21">
        <f>_xll.acq_options_binomial_american_greeks($C$4,$C$5,$C$6,N21,$C$9,$C$10,$C$8,TRUE,500)</f>
        <v>0.45503618854425554</v>
      </c>
      <c r="R21">
        <f>_xll.acq_options_binomial_american_greeks($C$4,$C$5,$C$6,N21,$C$9,$C$10,$C$8,FALSE)</f>
        <v>-0.57877715852683309</v>
      </c>
      <c r="S21">
        <f>_xll.acq_options_blackscholes_greeks($C$4,$C$5,$C$6,N21,$C$9,$C$10,$C$8,TRUE)</f>
        <v>0.3848215269034026</v>
      </c>
      <c r="T21">
        <f>_xll.acq_options_blackscholes_greeks($C$4,$C$5,$C$6,N21,$C$9,$C$10,$C$8,FALSE)</f>
        <v>-0.18638753694541232</v>
      </c>
    </row>
    <row r="22" spans="2:20" x14ac:dyDescent="0.25">
      <c r="B22" t="s">
        <v>103</v>
      </c>
    </row>
    <row r="23" spans="2:20" x14ac:dyDescent="0.25">
      <c r="B23" t="s">
        <v>104</v>
      </c>
    </row>
    <row r="24" spans="2:20" x14ac:dyDescent="0.25">
      <c r="B24" t="s">
        <v>105</v>
      </c>
    </row>
    <row r="25" spans="2:20" x14ac:dyDescent="0.25">
      <c r="B25" t="s">
        <v>106</v>
      </c>
    </row>
    <row r="54" spans="6:18" x14ac:dyDescent="0.25">
      <c r="F54" s="13"/>
      <c r="R54" s="13"/>
    </row>
    <row r="55" spans="6:18" x14ac:dyDescent="0.25">
      <c r="F55" s="13"/>
      <c r="R55" s="13"/>
    </row>
    <row r="56" spans="6:18" x14ac:dyDescent="0.25">
      <c r="F56" s="13"/>
      <c r="R56" s="13"/>
    </row>
    <row r="57" spans="6:18" x14ac:dyDescent="0.25">
      <c r="F57" s="13"/>
      <c r="R57" s="13"/>
    </row>
  </sheetData>
  <mergeCells count="7">
    <mergeCell ref="N3:P3"/>
    <mergeCell ref="Q3:R3"/>
    <mergeCell ref="S3:T3"/>
    <mergeCell ref="A1:G1"/>
    <mergeCell ref="F3:H3"/>
    <mergeCell ref="I3:J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FFD-CFD5-4286-8CBC-756067E23C33}">
  <sheetPr codeName="Sheet9"/>
  <dimension ref="B2:E16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  <col min="3" max="3" width="12" bestFit="1" customWidth="1"/>
    <col min="5" max="5" width="16.7109375" bestFit="1" customWidth="1"/>
  </cols>
  <sheetData>
    <row r="2" spans="2:5" ht="15.75" thickBot="1" x14ac:dyDescent="0.3">
      <c r="C2" t="s">
        <v>157</v>
      </c>
      <c r="E2" s="3" t="s">
        <v>158</v>
      </c>
    </row>
    <row r="3" spans="2:5" x14ac:dyDescent="0.25">
      <c r="B3" t="s">
        <v>153</v>
      </c>
      <c r="C3" s="5">
        <f>PI()</f>
        <v>3.1415926535897931</v>
      </c>
      <c r="E3" s="6" t="str">
        <f>_xll.acq_tostring(C3)</f>
        <v>3.14159265358979</v>
      </c>
    </row>
    <row r="4" spans="2:5" x14ac:dyDescent="0.25">
      <c r="B4" t="s">
        <v>1</v>
      </c>
      <c r="C4" s="48">
        <f ca="1">TODAY()</f>
        <v>44552</v>
      </c>
      <c r="E4" s="49" t="str">
        <f ca="1">_xll.acq_tostring(C4)</f>
        <v>44552</v>
      </c>
    </row>
    <row r="5" spans="2:5" x14ac:dyDescent="0.25">
      <c r="B5" t="s">
        <v>154</v>
      </c>
      <c r="C5" s="5" t="b">
        <v>1</v>
      </c>
      <c r="E5" s="6" t="str">
        <f>_xll.acq_tostring(C5)</f>
        <v>TRUE</v>
      </c>
    </row>
    <row r="6" spans="2:5" x14ac:dyDescent="0.25">
      <c r="B6" t="s">
        <v>111</v>
      </c>
      <c r="C6" s="5" t="e">
        <f>SQRT(-1)</f>
        <v>#NUM!</v>
      </c>
      <c r="E6" s="6" t="str">
        <f>_xll.acq_tostring(C6)</f>
        <v/>
      </c>
    </row>
    <row r="7" spans="2:5" x14ac:dyDescent="0.25">
      <c r="B7" t="s">
        <v>155</v>
      </c>
      <c r="C7" s="5"/>
      <c r="E7" s="6" t="str">
        <f>_xll.acq_tostring(C7)</f>
        <v/>
      </c>
    </row>
    <row r="8" spans="2:5" x14ac:dyDescent="0.25">
      <c r="B8" t="s">
        <v>111</v>
      </c>
      <c r="C8" s="5" t="e">
        <f ca="1">DS()</f>
        <v>#NAME?</v>
      </c>
      <c r="E8" s="6" t="str">
        <f ca="1">_xll.acq_tostring(C8)</f>
        <v/>
      </c>
    </row>
    <row r="9" spans="2:5" x14ac:dyDescent="0.25">
      <c r="B9" t="s">
        <v>156</v>
      </c>
      <c r="C9" s="5" t="e">
        <f>NA()</f>
        <v>#N/A</v>
      </c>
      <c r="E9" s="6" t="str">
        <f>_xll.acq_tostring(C9)</f>
        <v/>
      </c>
    </row>
    <row r="10" spans="2:5" x14ac:dyDescent="0.25">
      <c r="B10" t="s">
        <v>159</v>
      </c>
      <c r="C10" s="5" t="e">
        <f>LOOKUP(C3,)</f>
        <v>#VALUE!</v>
      </c>
      <c r="E10" s="6" t="str">
        <f>_xll.acq_tostring(C10)</f>
        <v/>
      </c>
    </row>
    <row r="13" spans="2:5" ht="15.75" thickBot="1" x14ac:dyDescent="0.3">
      <c r="B13" s="3" t="s">
        <v>151</v>
      </c>
      <c r="C13" t="str">
        <f ca="1">_xll.acq_join(C3:C10)</f>
        <v>3.14159265358979,44552,True,,,,,</v>
      </c>
    </row>
    <row r="14" spans="2:5" ht="15.75" thickBot="1" x14ac:dyDescent="0.3">
      <c r="B14" s="3" t="s">
        <v>151</v>
      </c>
      <c r="C14" t="str">
        <f ca="1">_xll.acq_join(E3:E10, "|")</f>
        <v>3.14159265358979|44552|TRUE|||||</v>
      </c>
    </row>
    <row r="15" spans="2:5" ht="15.75" thickBot="1" x14ac:dyDescent="0.3">
      <c r="B15" s="3" t="s">
        <v>160</v>
      </c>
      <c r="C15">
        <f ca="1">_xll.acq_count_unique(C3:C10)</f>
        <v>4</v>
      </c>
    </row>
    <row r="16" spans="2:5" ht="15.75" thickBot="1" x14ac:dyDescent="0.3">
      <c r="B16" s="3" t="s">
        <v>160</v>
      </c>
      <c r="C16">
        <f ca="1">_xll.acq_count_unique(C3:C10,FALSE)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Comparison</vt:lpstr>
      <vt:lpstr>Description</vt:lpstr>
      <vt:lpstr>Types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2021-12-23T03:40:42Z</dcterms:modified>
</cp:coreProperties>
</file>