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C54BC0DB-928E-4FF6-A8BA-1D02D9AE1EC4}" xr6:coauthVersionLast="47" xr6:coauthVersionMax="47" xr10:uidLastSave="{00000000-0000-0000-0000-000000000000}"/>
  <bookViews>
    <workbookView xWindow="2100" yWindow="705" windowWidth="26475" windowHeight="12885" tabRatio="900" activeTab="1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BjerksundStensland2002" sheetId="16" r:id="rId5"/>
    <sheet name="BinomialAmerican" sheetId="18" r:id="rId6"/>
    <sheet name="TrinomialAmerican" sheetId="20" r:id="rId7"/>
    <sheet name="Comparison-American" sheetId="19" r:id="rId8"/>
    <sheet name="Description" sheetId="7" r:id="rId9"/>
    <sheet name="Special" sheetId="9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6" i="3" l="1"/>
  <c r="N49" i="3"/>
  <c r="N50" i="3"/>
  <c r="N51" i="3"/>
  <c r="N52" i="3"/>
  <c r="N53" i="3"/>
  <c r="N54" i="3"/>
  <c r="N5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35" i="3"/>
  <c r="N34" i="3"/>
  <c r="N31" i="3"/>
  <c r="N32" i="3"/>
  <c r="N33" i="3"/>
  <c r="N23" i="3"/>
  <c r="N24" i="3"/>
  <c r="N25" i="3"/>
  <c r="N26" i="3"/>
  <c r="N27" i="3"/>
  <c r="N28" i="3"/>
  <c r="N29" i="3"/>
  <c r="N30" i="3"/>
  <c r="N21" i="3"/>
  <c r="N22" i="3"/>
  <c r="N20" i="3"/>
  <c r="J21" i="18"/>
  <c r="M8" i="18"/>
  <c r="AE29" i="18" s="1"/>
  <c r="M6" i="18"/>
  <c r="AE27" i="18" s="1"/>
  <c r="H28" i="3"/>
  <c r="J25" i="3"/>
  <c r="K25" i="3" s="1"/>
  <c r="J24" i="3"/>
  <c r="K24" i="3" s="1"/>
  <c r="J23" i="3"/>
  <c r="K23" i="3" s="1"/>
  <c r="J22" i="3"/>
  <c r="K22" i="3" s="1"/>
  <c r="J21" i="3"/>
  <c r="K21" i="3" s="1"/>
  <c r="K26" i="3"/>
  <c r="K27" i="3"/>
  <c r="K20" i="3"/>
  <c r="H27" i="3"/>
  <c r="H21" i="3"/>
  <c r="H22" i="3"/>
  <c r="H23" i="3"/>
  <c r="H24" i="3"/>
  <c r="H25" i="3"/>
  <c r="H26" i="3"/>
  <c r="H20" i="3"/>
  <c r="H9" i="3"/>
  <c r="H8" i="3"/>
  <c r="H6" i="3"/>
  <c r="H4" i="3"/>
  <c r="H3" i="3"/>
  <c r="I1" i="19"/>
  <c r="J14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6" i="19"/>
  <c r="X5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6" i="19"/>
  <c r="W5" i="19"/>
  <c r="G48" i="20"/>
  <c r="H48" i="20"/>
  <c r="I48" i="20"/>
  <c r="J48" i="20"/>
  <c r="K48" i="20"/>
  <c r="L48" i="20"/>
  <c r="M48" i="20"/>
  <c r="N48" i="20"/>
  <c r="G49" i="20"/>
  <c r="H49" i="20"/>
  <c r="I49" i="20"/>
  <c r="J49" i="20"/>
  <c r="K49" i="20"/>
  <c r="L49" i="20"/>
  <c r="M49" i="20"/>
  <c r="N49" i="20"/>
  <c r="G50" i="20"/>
  <c r="H50" i="20"/>
  <c r="I50" i="20"/>
  <c r="J50" i="20"/>
  <c r="K50" i="20"/>
  <c r="L50" i="20"/>
  <c r="M50" i="20"/>
  <c r="N50" i="20"/>
  <c r="G51" i="20"/>
  <c r="H51" i="20"/>
  <c r="I51" i="20"/>
  <c r="J51" i="20"/>
  <c r="K51" i="20"/>
  <c r="L51" i="20"/>
  <c r="M51" i="20"/>
  <c r="N51" i="20"/>
  <c r="G52" i="20"/>
  <c r="H52" i="20"/>
  <c r="I52" i="20"/>
  <c r="J52" i="20"/>
  <c r="K52" i="20"/>
  <c r="L52" i="20"/>
  <c r="M52" i="20"/>
  <c r="N52" i="20"/>
  <c r="G53" i="20"/>
  <c r="H53" i="20"/>
  <c r="I53" i="20"/>
  <c r="J53" i="20"/>
  <c r="K53" i="20"/>
  <c r="L53" i="20"/>
  <c r="M53" i="20"/>
  <c r="N53" i="20"/>
  <c r="G54" i="20"/>
  <c r="H54" i="20"/>
  <c r="I54" i="20"/>
  <c r="J54" i="20"/>
  <c r="K54" i="20"/>
  <c r="L54" i="20"/>
  <c r="M54" i="20"/>
  <c r="N54" i="20"/>
  <c r="G55" i="20"/>
  <c r="H55" i="20"/>
  <c r="I55" i="20"/>
  <c r="J55" i="20"/>
  <c r="K55" i="20"/>
  <c r="L55" i="20"/>
  <c r="M55" i="20"/>
  <c r="N55" i="20"/>
  <c r="G56" i="20"/>
  <c r="H56" i="20"/>
  <c r="I56" i="20"/>
  <c r="J56" i="20"/>
  <c r="K56" i="20"/>
  <c r="L56" i="20"/>
  <c r="M56" i="20"/>
  <c r="N56" i="20"/>
  <c r="G57" i="20"/>
  <c r="H57" i="20"/>
  <c r="I57" i="20"/>
  <c r="J57" i="20"/>
  <c r="K57" i="20"/>
  <c r="L57" i="20"/>
  <c r="M57" i="20"/>
  <c r="N57" i="20"/>
  <c r="H47" i="20"/>
  <c r="I47" i="20"/>
  <c r="J47" i="20"/>
  <c r="K47" i="20"/>
  <c r="L47" i="20"/>
  <c r="M47" i="20"/>
  <c r="N47" i="20"/>
  <c r="G47" i="20"/>
  <c r="G33" i="20"/>
  <c r="H33" i="20"/>
  <c r="I33" i="20"/>
  <c r="J33" i="20"/>
  <c r="K33" i="20"/>
  <c r="L33" i="20"/>
  <c r="M33" i="20"/>
  <c r="N33" i="20"/>
  <c r="G34" i="20"/>
  <c r="H34" i="20"/>
  <c r="I34" i="20"/>
  <c r="J34" i="20"/>
  <c r="K34" i="20"/>
  <c r="L34" i="20"/>
  <c r="M34" i="20"/>
  <c r="N34" i="20"/>
  <c r="G35" i="20"/>
  <c r="H35" i="20"/>
  <c r="I35" i="20"/>
  <c r="J35" i="20"/>
  <c r="K35" i="20"/>
  <c r="L35" i="20"/>
  <c r="M35" i="20"/>
  <c r="N35" i="20"/>
  <c r="G36" i="20"/>
  <c r="H36" i="20"/>
  <c r="I36" i="20"/>
  <c r="J36" i="20"/>
  <c r="K36" i="20"/>
  <c r="L36" i="20"/>
  <c r="M36" i="20"/>
  <c r="N36" i="20"/>
  <c r="G37" i="20"/>
  <c r="H37" i="20"/>
  <c r="I37" i="20"/>
  <c r="J37" i="20"/>
  <c r="K37" i="20"/>
  <c r="L37" i="20"/>
  <c r="M37" i="20"/>
  <c r="N37" i="20"/>
  <c r="G38" i="20"/>
  <c r="H38" i="20"/>
  <c r="I38" i="20"/>
  <c r="J38" i="20"/>
  <c r="K38" i="20"/>
  <c r="L38" i="20"/>
  <c r="M38" i="20"/>
  <c r="N38" i="20"/>
  <c r="G39" i="20"/>
  <c r="H39" i="20"/>
  <c r="I39" i="20"/>
  <c r="J39" i="20"/>
  <c r="K39" i="20"/>
  <c r="L39" i="20"/>
  <c r="M39" i="20"/>
  <c r="N39" i="20"/>
  <c r="G40" i="20"/>
  <c r="H40" i="20"/>
  <c r="I40" i="20"/>
  <c r="J40" i="20"/>
  <c r="K40" i="20"/>
  <c r="L40" i="20"/>
  <c r="M40" i="20"/>
  <c r="N40" i="20"/>
  <c r="G41" i="20"/>
  <c r="H41" i="20"/>
  <c r="I41" i="20"/>
  <c r="J41" i="20"/>
  <c r="K41" i="20"/>
  <c r="L41" i="20"/>
  <c r="M41" i="20"/>
  <c r="N41" i="20"/>
  <c r="G42" i="20"/>
  <c r="H42" i="20"/>
  <c r="I42" i="20"/>
  <c r="J42" i="20"/>
  <c r="K42" i="20"/>
  <c r="L42" i="20"/>
  <c r="M42" i="20"/>
  <c r="N42" i="20"/>
  <c r="H32" i="20"/>
  <c r="I32" i="20"/>
  <c r="J32" i="20"/>
  <c r="K32" i="20"/>
  <c r="L32" i="20"/>
  <c r="M32" i="20"/>
  <c r="N32" i="20"/>
  <c r="G32" i="20"/>
  <c r="V6" i="20"/>
  <c r="W6" i="20"/>
  <c r="X6" i="20"/>
  <c r="Y6" i="20"/>
  <c r="Z6" i="20"/>
  <c r="AA6" i="20"/>
  <c r="AB6" i="20"/>
  <c r="V7" i="20"/>
  <c r="W7" i="20"/>
  <c r="X7" i="20"/>
  <c r="Y7" i="20"/>
  <c r="Z7" i="20"/>
  <c r="AA7" i="20"/>
  <c r="AB7" i="20"/>
  <c r="V8" i="20"/>
  <c r="W8" i="20"/>
  <c r="X8" i="20"/>
  <c r="Y8" i="20"/>
  <c r="Z8" i="20"/>
  <c r="AA8" i="20"/>
  <c r="AB8" i="20"/>
  <c r="V9" i="20"/>
  <c r="W9" i="20"/>
  <c r="X9" i="20"/>
  <c r="Y9" i="20"/>
  <c r="Z9" i="20"/>
  <c r="AA9" i="20"/>
  <c r="AB9" i="20"/>
  <c r="V10" i="20"/>
  <c r="W10" i="20"/>
  <c r="X10" i="20"/>
  <c r="Y10" i="20"/>
  <c r="Z10" i="20"/>
  <c r="AA10" i="20"/>
  <c r="AB10" i="20"/>
  <c r="V11" i="20"/>
  <c r="W11" i="20"/>
  <c r="X11" i="20"/>
  <c r="Y11" i="20"/>
  <c r="Z11" i="20"/>
  <c r="AA11" i="20"/>
  <c r="AB11" i="20"/>
  <c r="V12" i="20"/>
  <c r="W12" i="20"/>
  <c r="X12" i="20"/>
  <c r="Y12" i="20"/>
  <c r="Z12" i="20"/>
  <c r="AA12" i="20"/>
  <c r="AB12" i="20"/>
  <c r="V13" i="20"/>
  <c r="W13" i="20"/>
  <c r="X13" i="20"/>
  <c r="Y13" i="20"/>
  <c r="Z13" i="20"/>
  <c r="AA13" i="20"/>
  <c r="AB13" i="20"/>
  <c r="V14" i="20"/>
  <c r="W14" i="20"/>
  <c r="X14" i="20"/>
  <c r="Y14" i="20"/>
  <c r="Z14" i="20"/>
  <c r="AA14" i="20"/>
  <c r="AB14" i="20"/>
  <c r="V15" i="20"/>
  <c r="W15" i="20"/>
  <c r="X15" i="20"/>
  <c r="Y15" i="20"/>
  <c r="Z15" i="20"/>
  <c r="AA15" i="20"/>
  <c r="AB15" i="20"/>
  <c r="V16" i="20"/>
  <c r="W16" i="20"/>
  <c r="X16" i="20"/>
  <c r="Y16" i="20"/>
  <c r="Z16" i="20"/>
  <c r="AA16" i="20"/>
  <c r="AB16" i="20"/>
  <c r="V17" i="20"/>
  <c r="W17" i="20"/>
  <c r="X17" i="20"/>
  <c r="Y17" i="20"/>
  <c r="Z17" i="20"/>
  <c r="AA17" i="20"/>
  <c r="AB17" i="20"/>
  <c r="V18" i="20"/>
  <c r="W18" i="20"/>
  <c r="X18" i="20"/>
  <c r="Y18" i="20"/>
  <c r="Z18" i="20"/>
  <c r="AA18" i="20"/>
  <c r="AB18" i="20"/>
  <c r="V19" i="20"/>
  <c r="W19" i="20"/>
  <c r="X19" i="20"/>
  <c r="Y19" i="20"/>
  <c r="Z19" i="20"/>
  <c r="AA19" i="20"/>
  <c r="AB19" i="20"/>
  <c r="V20" i="20"/>
  <c r="W20" i="20"/>
  <c r="X20" i="20"/>
  <c r="Y20" i="20"/>
  <c r="Z20" i="20"/>
  <c r="AA20" i="20"/>
  <c r="AB20" i="20"/>
  <c r="V21" i="20"/>
  <c r="W21" i="20"/>
  <c r="X21" i="20"/>
  <c r="Y21" i="20"/>
  <c r="Z21" i="20"/>
  <c r="AA21" i="20"/>
  <c r="AB21" i="20"/>
  <c r="V22" i="20"/>
  <c r="W22" i="20"/>
  <c r="X22" i="20"/>
  <c r="Y22" i="20"/>
  <c r="Z22" i="20"/>
  <c r="AA22" i="20"/>
  <c r="AB22" i="20"/>
  <c r="V23" i="20"/>
  <c r="W23" i="20"/>
  <c r="X23" i="20"/>
  <c r="Y23" i="20"/>
  <c r="Z23" i="20"/>
  <c r="AA23" i="20"/>
  <c r="AB23" i="20"/>
  <c r="V24" i="20"/>
  <c r="W24" i="20"/>
  <c r="X24" i="20"/>
  <c r="Y24" i="20"/>
  <c r="Z24" i="20"/>
  <c r="AA24" i="20"/>
  <c r="AB24" i="20"/>
  <c r="W5" i="20"/>
  <c r="X5" i="20"/>
  <c r="Y5" i="20"/>
  <c r="Z5" i="20"/>
  <c r="AA5" i="20"/>
  <c r="AB5" i="20"/>
  <c r="V5" i="20"/>
  <c r="B17" i="20"/>
  <c r="B16" i="20"/>
  <c r="B15" i="20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5" i="19"/>
  <c r="K6" i="19"/>
  <c r="K7" i="19"/>
  <c r="Z7" i="19" s="1"/>
  <c r="K8" i="19"/>
  <c r="Z8" i="19" s="1"/>
  <c r="K9" i="19"/>
  <c r="K10" i="19"/>
  <c r="Z10" i="19" s="1"/>
  <c r="K11" i="19"/>
  <c r="K12" i="19"/>
  <c r="K13" i="19"/>
  <c r="K14" i="19"/>
  <c r="K15" i="19"/>
  <c r="Z15" i="19" s="1"/>
  <c r="K16" i="19"/>
  <c r="Z16" i="19" s="1"/>
  <c r="K17" i="19"/>
  <c r="K18" i="19"/>
  <c r="K19" i="19"/>
  <c r="K20" i="19"/>
  <c r="K21" i="19"/>
  <c r="K5" i="19"/>
  <c r="J7" i="20"/>
  <c r="J6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5" i="20"/>
  <c r="G5" i="20"/>
  <c r="G9" i="20"/>
  <c r="G8" i="20"/>
  <c r="G11" i="20"/>
  <c r="H10" i="20"/>
  <c r="H16" i="20"/>
  <c r="H15" i="20"/>
  <c r="H6" i="20"/>
  <c r="H7" i="20"/>
  <c r="H8" i="20"/>
  <c r="H9" i="20"/>
  <c r="H11" i="20"/>
  <c r="H12" i="20"/>
  <c r="H13" i="20"/>
  <c r="H14" i="20"/>
  <c r="H17" i="20"/>
  <c r="H18" i="20"/>
  <c r="H19" i="20"/>
  <c r="H20" i="20"/>
  <c r="H21" i="20"/>
  <c r="H5" i="20"/>
  <c r="G6" i="20"/>
  <c r="G7" i="20"/>
  <c r="G10" i="20"/>
  <c r="G12" i="20"/>
  <c r="G13" i="20"/>
  <c r="G14" i="20"/>
  <c r="G15" i="20"/>
  <c r="G16" i="20"/>
  <c r="G17" i="20"/>
  <c r="G18" i="20"/>
  <c r="G19" i="20"/>
  <c r="G20" i="20"/>
  <c r="G21" i="20"/>
  <c r="M6" i="20"/>
  <c r="N6" i="20"/>
  <c r="O6" i="20"/>
  <c r="P6" i="20"/>
  <c r="Q6" i="20"/>
  <c r="R6" i="20"/>
  <c r="S6" i="20"/>
  <c r="M7" i="20"/>
  <c r="N7" i="20"/>
  <c r="O7" i="20"/>
  <c r="P7" i="20"/>
  <c r="Q7" i="20"/>
  <c r="R7" i="20"/>
  <c r="S7" i="20"/>
  <c r="M8" i="20"/>
  <c r="N8" i="20"/>
  <c r="O8" i="20"/>
  <c r="P8" i="20"/>
  <c r="Q8" i="20"/>
  <c r="R8" i="20"/>
  <c r="S8" i="20"/>
  <c r="M9" i="20"/>
  <c r="N9" i="20"/>
  <c r="O9" i="20"/>
  <c r="P9" i="20"/>
  <c r="Q9" i="20"/>
  <c r="R9" i="20"/>
  <c r="S9" i="20"/>
  <c r="M10" i="20"/>
  <c r="N10" i="20"/>
  <c r="O10" i="20"/>
  <c r="P10" i="20"/>
  <c r="Q10" i="20"/>
  <c r="R10" i="20"/>
  <c r="S10" i="20"/>
  <c r="M11" i="20"/>
  <c r="N11" i="20"/>
  <c r="O11" i="20"/>
  <c r="P11" i="20"/>
  <c r="Q11" i="20"/>
  <c r="R11" i="20"/>
  <c r="S11" i="20"/>
  <c r="M12" i="20"/>
  <c r="N12" i="20"/>
  <c r="O12" i="20"/>
  <c r="P12" i="20"/>
  <c r="Q12" i="20"/>
  <c r="R12" i="20"/>
  <c r="S12" i="20"/>
  <c r="M13" i="20"/>
  <c r="N13" i="20"/>
  <c r="O13" i="20"/>
  <c r="P13" i="20"/>
  <c r="Q13" i="20"/>
  <c r="R13" i="20"/>
  <c r="S13" i="20"/>
  <c r="M14" i="20"/>
  <c r="N14" i="20"/>
  <c r="O14" i="20"/>
  <c r="P14" i="20"/>
  <c r="Q14" i="20"/>
  <c r="R14" i="20"/>
  <c r="S14" i="20"/>
  <c r="M15" i="20"/>
  <c r="N15" i="20"/>
  <c r="O15" i="20"/>
  <c r="P15" i="20"/>
  <c r="Q15" i="20"/>
  <c r="R15" i="20"/>
  <c r="S15" i="20"/>
  <c r="M16" i="20"/>
  <c r="N16" i="20"/>
  <c r="O16" i="20"/>
  <c r="P16" i="20"/>
  <c r="Q16" i="20"/>
  <c r="R16" i="20"/>
  <c r="S16" i="20"/>
  <c r="M17" i="20"/>
  <c r="N17" i="20"/>
  <c r="O17" i="20"/>
  <c r="P17" i="20"/>
  <c r="Q17" i="20"/>
  <c r="R17" i="20"/>
  <c r="S17" i="20"/>
  <c r="M18" i="20"/>
  <c r="N18" i="20"/>
  <c r="O18" i="20"/>
  <c r="P18" i="20"/>
  <c r="Q18" i="20"/>
  <c r="R18" i="20"/>
  <c r="S18" i="20"/>
  <c r="M19" i="20"/>
  <c r="N19" i="20"/>
  <c r="O19" i="20"/>
  <c r="P19" i="20"/>
  <c r="Q19" i="20"/>
  <c r="R19" i="20"/>
  <c r="S19" i="20"/>
  <c r="M20" i="20"/>
  <c r="N20" i="20"/>
  <c r="O20" i="20"/>
  <c r="P20" i="20"/>
  <c r="Q20" i="20"/>
  <c r="R20" i="20"/>
  <c r="S20" i="20"/>
  <c r="M21" i="20"/>
  <c r="N21" i="20"/>
  <c r="O21" i="20"/>
  <c r="P21" i="20"/>
  <c r="Q21" i="20"/>
  <c r="R21" i="20"/>
  <c r="S21" i="20"/>
  <c r="M22" i="20"/>
  <c r="N22" i="20"/>
  <c r="O22" i="20"/>
  <c r="P22" i="20"/>
  <c r="Q22" i="20"/>
  <c r="R22" i="20"/>
  <c r="S22" i="20"/>
  <c r="M23" i="20"/>
  <c r="N23" i="20"/>
  <c r="O23" i="20"/>
  <c r="P23" i="20"/>
  <c r="Q23" i="20"/>
  <c r="R23" i="20"/>
  <c r="S23" i="20"/>
  <c r="M24" i="20"/>
  <c r="N24" i="20"/>
  <c r="O24" i="20"/>
  <c r="P24" i="20"/>
  <c r="Q24" i="20"/>
  <c r="R24" i="20"/>
  <c r="S24" i="20"/>
  <c r="N5" i="20"/>
  <c r="O5" i="20"/>
  <c r="P5" i="20"/>
  <c r="Q5" i="20"/>
  <c r="R5" i="20"/>
  <c r="S5" i="20"/>
  <c r="M5" i="20"/>
  <c r="Z57" i="20"/>
  <c r="Y57" i="20"/>
  <c r="X57" i="20"/>
  <c r="W57" i="20"/>
  <c r="V57" i="20"/>
  <c r="U57" i="20"/>
  <c r="T57" i="20"/>
  <c r="S57" i="20"/>
  <c r="Z56" i="20"/>
  <c r="Y56" i="20"/>
  <c r="X56" i="20"/>
  <c r="W56" i="20"/>
  <c r="V56" i="20"/>
  <c r="U56" i="20"/>
  <c r="T56" i="20"/>
  <c r="S56" i="20"/>
  <c r="Z55" i="20"/>
  <c r="Y55" i="20"/>
  <c r="X55" i="20"/>
  <c r="W55" i="20"/>
  <c r="V55" i="20"/>
  <c r="U55" i="20"/>
  <c r="T55" i="20"/>
  <c r="S55" i="20"/>
  <c r="Z54" i="20"/>
  <c r="Y54" i="20"/>
  <c r="X54" i="20"/>
  <c r="W54" i="20"/>
  <c r="V54" i="20"/>
  <c r="U54" i="20"/>
  <c r="T54" i="20"/>
  <c r="S54" i="20"/>
  <c r="Z53" i="20"/>
  <c r="Y53" i="20"/>
  <c r="X53" i="20"/>
  <c r="W53" i="20"/>
  <c r="V53" i="20"/>
  <c r="U53" i="20"/>
  <c r="T53" i="20"/>
  <c r="S53" i="20"/>
  <c r="Z52" i="20"/>
  <c r="Y52" i="20"/>
  <c r="X52" i="20"/>
  <c r="W52" i="20"/>
  <c r="V52" i="20"/>
  <c r="U52" i="20"/>
  <c r="T52" i="20"/>
  <c r="S52" i="20"/>
  <c r="Z51" i="20"/>
  <c r="Y51" i="20"/>
  <c r="X51" i="20"/>
  <c r="W51" i="20"/>
  <c r="V51" i="20"/>
  <c r="U51" i="20"/>
  <c r="T51" i="20"/>
  <c r="S51" i="20"/>
  <c r="Z50" i="20"/>
  <c r="Y50" i="20"/>
  <c r="X50" i="20"/>
  <c r="W50" i="20"/>
  <c r="V50" i="20"/>
  <c r="U50" i="20"/>
  <c r="T50" i="20"/>
  <c r="S50" i="20"/>
  <c r="Z49" i="20"/>
  <c r="Y49" i="20"/>
  <c r="X49" i="20"/>
  <c r="W49" i="20"/>
  <c r="V49" i="20"/>
  <c r="U49" i="20"/>
  <c r="T49" i="20"/>
  <c r="S49" i="20"/>
  <c r="Z48" i="20"/>
  <c r="Y48" i="20"/>
  <c r="X48" i="20"/>
  <c r="W48" i="20"/>
  <c r="V48" i="20"/>
  <c r="U48" i="20"/>
  <c r="T48" i="20"/>
  <c r="S48" i="20"/>
  <c r="Z47" i="20"/>
  <c r="Y47" i="20"/>
  <c r="X47" i="20"/>
  <c r="W47" i="20"/>
  <c r="V47" i="20"/>
  <c r="U47" i="20"/>
  <c r="T47" i="20"/>
  <c r="S47" i="20"/>
  <c r="Z42" i="20"/>
  <c r="Y42" i="20"/>
  <c r="X42" i="20"/>
  <c r="W42" i="20"/>
  <c r="V42" i="20"/>
  <c r="U42" i="20"/>
  <c r="T42" i="20"/>
  <c r="S42" i="20"/>
  <c r="Z41" i="20"/>
  <c r="Y41" i="20"/>
  <c r="X41" i="20"/>
  <c r="W41" i="20"/>
  <c r="V41" i="20"/>
  <c r="U41" i="20"/>
  <c r="T41" i="20"/>
  <c r="S41" i="20"/>
  <c r="Z40" i="20"/>
  <c r="Y40" i="20"/>
  <c r="X40" i="20"/>
  <c r="W40" i="20"/>
  <c r="V40" i="20"/>
  <c r="U40" i="20"/>
  <c r="T40" i="20"/>
  <c r="S40" i="20"/>
  <c r="Z39" i="20"/>
  <c r="Y39" i="20"/>
  <c r="X39" i="20"/>
  <c r="W39" i="20"/>
  <c r="V39" i="20"/>
  <c r="U39" i="20"/>
  <c r="T39" i="20"/>
  <c r="S39" i="20"/>
  <c r="Z38" i="20"/>
  <c r="Y38" i="20"/>
  <c r="X38" i="20"/>
  <c r="W38" i="20"/>
  <c r="V38" i="20"/>
  <c r="U38" i="20"/>
  <c r="T38" i="20"/>
  <c r="S38" i="20"/>
  <c r="Z37" i="20"/>
  <c r="Y37" i="20"/>
  <c r="X37" i="20"/>
  <c r="W37" i="20"/>
  <c r="V37" i="20"/>
  <c r="U37" i="20"/>
  <c r="T37" i="20"/>
  <c r="S37" i="20"/>
  <c r="Z36" i="20"/>
  <c r="Y36" i="20"/>
  <c r="X36" i="20"/>
  <c r="W36" i="20"/>
  <c r="V36" i="20"/>
  <c r="U36" i="20"/>
  <c r="T36" i="20"/>
  <c r="S36" i="20"/>
  <c r="Z35" i="20"/>
  <c r="Y35" i="20"/>
  <c r="X35" i="20"/>
  <c r="W35" i="20"/>
  <c r="V35" i="20"/>
  <c r="U35" i="20"/>
  <c r="T35" i="20"/>
  <c r="S35" i="20"/>
  <c r="Z34" i="20"/>
  <c r="Y34" i="20"/>
  <c r="X34" i="20"/>
  <c r="W34" i="20"/>
  <c r="V34" i="20"/>
  <c r="U34" i="20"/>
  <c r="T34" i="20"/>
  <c r="S34" i="20"/>
  <c r="Z33" i="20"/>
  <c r="Y33" i="20"/>
  <c r="X33" i="20"/>
  <c r="W33" i="20"/>
  <c r="V33" i="20"/>
  <c r="U33" i="20"/>
  <c r="T33" i="20"/>
  <c r="S33" i="20"/>
  <c r="Z32" i="20"/>
  <c r="Y32" i="20"/>
  <c r="X32" i="20"/>
  <c r="W32" i="20"/>
  <c r="V32" i="20"/>
  <c r="U32" i="20"/>
  <c r="T32" i="20"/>
  <c r="S32" i="20"/>
  <c r="S27" i="20"/>
  <c r="C11" i="20"/>
  <c r="J5" i="20"/>
  <c r="H13" i="19"/>
  <c r="G8" i="19"/>
  <c r="G7" i="19"/>
  <c r="G6" i="19"/>
  <c r="Q12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5" i="19"/>
  <c r="U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5" i="19"/>
  <c r="Q6" i="19"/>
  <c r="Q7" i="19"/>
  <c r="Q8" i="19"/>
  <c r="Q9" i="19"/>
  <c r="Q10" i="19"/>
  <c r="Q11" i="19"/>
  <c r="Q13" i="19"/>
  <c r="Q14" i="19"/>
  <c r="Q15" i="19"/>
  <c r="Q16" i="19"/>
  <c r="Q17" i="19"/>
  <c r="Q18" i="19"/>
  <c r="Q19" i="19"/>
  <c r="Q20" i="19"/>
  <c r="Q21" i="19"/>
  <c r="Q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5" i="19"/>
  <c r="J6" i="19"/>
  <c r="J7" i="19"/>
  <c r="J8" i="19"/>
  <c r="J9" i="19"/>
  <c r="J10" i="19"/>
  <c r="J11" i="19"/>
  <c r="J12" i="19"/>
  <c r="J13" i="19"/>
  <c r="J15" i="19"/>
  <c r="J16" i="19"/>
  <c r="J17" i="19"/>
  <c r="J18" i="19"/>
  <c r="J19" i="19"/>
  <c r="J20" i="19"/>
  <c r="J21" i="19"/>
  <c r="J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5" i="19"/>
  <c r="H6" i="19"/>
  <c r="H7" i="19"/>
  <c r="H8" i="19"/>
  <c r="H9" i="19"/>
  <c r="H10" i="19"/>
  <c r="H11" i="19"/>
  <c r="H12" i="19"/>
  <c r="H14" i="19"/>
  <c r="H15" i="19"/>
  <c r="H16" i="19"/>
  <c r="H17" i="19"/>
  <c r="H18" i="19"/>
  <c r="H19" i="19"/>
  <c r="H20" i="19"/>
  <c r="H21" i="19"/>
  <c r="H5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5" i="19"/>
  <c r="C12" i="19"/>
  <c r="S27" i="18"/>
  <c r="S32" i="18"/>
  <c r="G32" i="18"/>
  <c r="G5" i="18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V24" i="16"/>
  <c r="W24" i="16"/>
  <c r="X24" i="16"/>
  <c r="Y24" i="16"/>
  <c r="Z24" i="16"/>
  <c r="AA24" i="16"/>
  <c r="AB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T47" i="18"/>
  <c r="U47" i="18"/>
  <c r="V47" i="18"/>
  <c r="W47" i="18"/>
  <c r="X47" i="18"/>
  <c r="Y47" i="18"/>
  <c r="Z47" i="18"/>
  <c r="T48" i="18"/>
  <c r="U48" i="18"/>
  <c r="V48" i="18"/>
  <c r="W48" i="18"/>
  <c r="X48" i="18"/>
  <c r="Y48" i="18"/>
  <c r="Z48" i="18"/>
  <c r="T49" i="18"/>
  <c r="U49" i="18"/>
  <c r="V49" i="18"/>
  <c r="W49" i="18"/>
  <c r="X49" i="18"/>
  <c r="Y49" i="18"/>
  <c r="Z49" i="18"/>
  <c r="T50" i="18"/>
  <c r="U50" i="18"/>
  <c r="V50" i="18"/>
  <c r="W50" i="18"/>
  <c r="X50" i="18"/>
  <c r="Y50" i="18"/>
  <c r="Z50" i="18"/>
  <c r="T51" i="18"/>
  <c r="U51" i="18"/>
  <c r="V51" i="18"/>
  <c r="W51" i="18"/>
  <c r="X51" i="18"/>
  <c r="Y51" i="18"/>
  <c r="Z51" i="18"/>
  <c r="T52" i="18"/>
  <c r="U52" i="18"/>
  <c r="V52" i="18"/>
  <c r="W52" i="18"/>
  <c r="X52" i="18"/>
  <c r="Y52" i="18"/>
  <c r="Z52" i="18"/>
  <c r="T53" i="18"/>
  <c r="U53" i="18"/>
  <c r="V53" i="18"/>
  <c r="W53" i="18"/>
  <c r="X53" i="18"/>
  <c r="Y53" i="18"/>
  <c r="Z53" i="18"/>
  <c r="T54" i="18"/>
  <c r="U54" i="18"/>
  <c r="V54" i="18"/>
  <c r="W54" i="18"/>
  <c r="X54" i="18"/>
  <c r="Y54" i="18"/>
  <c r="Z54" i="18"/>
  <c r="T55" i="18"/>
  <c r="U55" i="18"/>
  <c r="V55" i="18"/>
  <c r="W55" i="18"/>
  <c r="X55" i="18"/>
  <c r="Y55" i="18"/>
  <c r="Z55" i="18"/>
  <c r="T56" i="18"/>
  <c r="U56" i="18"/>
  <c r="V56" i="18"/>
  <c r="W56" i="18"/>
  <c r="X56" i="18"/>
  <c r="Y56" i="18"/>
  <c r="Z56" i="18"/>
  <c r="T57" i="18"/>
  <c r="U57" i="18"/>
  <c r="V57" i="18"/>
  <c r="W57" i="18"/>
  <c r="X57" i="18"/>
  <c r="Y57" i="18"/>
  <c r="Z57" i="18"/>
  <c r="S48" i="18"/>
  <c r="S49" i="18"/>
  <c r="S50" i="18"/>
  <c r="S51" i="18"/>
  <c r="S52" i="18"/>
  <c r="S53" i="18"/>
  <c r="S54" i="18"/>
  <c r="S55" i="18"/>
  <c r="S56" i="18"/>
  <c r="S57" i="18"/>
  <c r="S47" i="18"/>
  <c r="H47" i="18"/>
  <c r="I47" i="18"/>
  <c r="J47" i="18"/>
  <c r="K47" i="18"/>
  <c r="L47" i="18"/>
  <c r="M47" i="18"/>
  <c r="N47" i="18"/>
  <c r="H48" i="18"/>
  <c r="I48" i="18"/>
  <c r="J48" i="18"/>
  <c r="K48" i="18"/>
  <c r="L48" i="18"/>
  <c r="M48" i="18"/>
  <c r="N48" i="18"/>
  <c r="H49" i="18"/>
  <c r="I49" i="18"/>
  <c r="J49" i="18"/>
  <c r="K49" i="18"/>
  <c r="L49" i="18"/>
  <c r="M49" i="18"/>
  <c r="N49" i="18"/>
  <c r="H50" i="18"/>
  <c r="I50" i="18"/>
  <c r="J50" i="18"/>
  <c r="K50" i="18"/>
  <c r="L50" i="18"/>
  <c r="M50" i="18"/>
  <c r="N50" i="18"/>
  <c r="H51" i="18"/>
  <c r="I51" i="18"/>
  <c r="J51" i="18"/>
  <c r="K51" i="18"/>
  <c r="L51" i="18"/>
  <c r="M51" i="18"/>
  <c r="N51" i="18"/>
  <c r="H52" i="18"/>
  <c r="I52" i="18"/>
  <c r="J52" i="18"/>
  <c r="K52" i="18"/>
  <c r="L52" i="18"/>
  <c r="M52" i="18"/>
  <c r="N52" i="18"/>
  <c r="H53" i="18"/>
  <c r="I53" i="18"/>
  <c r="J53" i="18"/>
  <c r="K53" i="18"/>
  <c r="L53" i="18"/>
  <c r="M53" i="18"/>
  <c r="N53" i="18"/>
  <c r="H54" i="18"/>
  <c r="I54" i="18"/>
  <c r="J54" i="18"/>
  <c r="K54" i="18"/>
  <c r="L54" i="18"/>
  <c r="M54" i="18"/>
  <c r="N54" i="18"/>
  <c r="H55" i="18"/>
  <c r="I55" i="18"/>
  <c r="J55" i="18"/>
  <c r="K55" i="18"/>
  <c r="L55" i="18"/>
  <c r="M55" i="18"/>
  <c r="N55" i="18"/>
  <c r="H56" i="18"/>
  <c r="I56" i="18"/>
  <c r="J56" i="18"/>
  <c r="K56" i="18"/>
  <c r="L56" i="18"/>
  <c r="M56" i="18"/>
  <c r="N56" i="18"/>
  <c r="H57" i="18"/>
  <c r="I57" i="18"/>
  <c r="J57" i="18"/>
  <c r="K57" i="18"/>
  <c r="L57" i="18"/>
  <c r="M57" i="18"/>
  <c r="N57" i="18"/>
  <c r="G48" i="18"/>
  <c r="G49" i="18"/>
  <c r="G50" i="18"/>
  <c r="G51" i="18"/>
  <c r="G52" i="18"/>
  <c r="G53" i="18"/>
  <c r="G54" i="18"/>
  <c r="G55" i="18"/>
  <c r="G56" i="18"/>
  <c r="G57" i="18"/>
  <c r="T32" i="18"/>
  <c r="U32" i="18"/>
  <c r="V32" i="18"/>
  <c r="W32" i="18"/>
  <c r="X32" i="18"/>
  <c r="Y32" i="18"/>
  <c r="Z32" i="18"/>
  <c r="T33" i="18"/>
  <c r="U33" i="18"/>
  <c r="V33" i="18"/>
  <c r="W33" i="18"/>
  <c r="X33" i="18"/>
  <c r="Y33" i="18"/>
  <c r="Z33" i="18"/>
  <c r="T34" i="18"/>
  <c r="U34" i="18"/>
  <c r="V34" i="18"/>
  <c r="W34" i="18"/>
  <c r="X34" i="18"/>
  <c r="Y34" i="18"/>
  <c r="Z34" i="18"/>
  <c r="T35" i="18"/>
  <c r="U35" i="18"/>
  <c r="V35" i="18"/>
  <c r="W35" i="18"/>
  <c r="X35" i="18"/>
  <c r="Y35" i="18"/>
  <c r="Z35" i="18"/>
  <c r="T36" i="18"/>
  <c r="U36" i="18"/>
  <c r="V36" i="18"/>
  <c r="W36" i="18"/>
  <c r="X36" i="18"/>
  <c r="Y36" i="18"/>
  <c r="Z36" i="18"/>
  <c r="T37" i="18"/>
  <c r="U37" i="18"/>
  <c r="V37" i="18"/>
  <c r="W37" i="18"/>
  <c r="X37" i="18"/>
  <c r="Y37" i="18"/>
  <c r="Z37" i="18"/>
  <c r="T38" i="18"/>
  <c r="U38" i="18"/>
  <c r="V38" i="18"/>
  <c r="W38" i="18"/>
  <c r="X38" i="18"/>
  <c r="Y38" i="18"/>
  <c r="Z38" i="18"/>
  <c r="T39" i="18"/>
  <c r="U39" i="18"/>
  <c r="V39" i="18"/>
  <c r="W39" i="18"/>
  <c r="X39" i="18"/>
  <c r="Y39" i="18"/>
  <c r="Z39" i="18"/>
  <c r="T40" i="18"/>
  <c r="U40" i="18"/>
  <c r="V40" i="18"/>
  <c r="W40" i="18"/>
  <c r="X40" i="18"/>
  <c r="Y40" i="18"/>
  <c r="Z40" i="18"/>
  <c r="T41" i="18"/>
  <c r="U41" i="18"/>
  <c r="V41" i="18"/>
  <c r="W41" i="18"/>
  <c r="X41" i="18"/>
  <c r="Y41" i="18"/>
  <c r="Z41" i="18"/>
  <c r="T42" i="18"/>
  <c r="U42" i="18"/>
  <c r="V42" i="18"/>
  <c r="W42" i="18"/>
  <c r="X42" i="18"/>
  <c r="Y42" i="18"/>
  <c r="Z42" i="18"/>
  <c r="S33" i="18"/>
  <c r="S34" i="18"/>
  <c r="S35" i="18"/>
  <c r="S36" i="18"/>
  <c r="S37" i="18"/>
  <c r="S38" i="18"/>
  <c r="S39" i="18"/>
  <c r="S40" i="18"/>
  <c r="S41" i="18"/>
  <c r="S42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5" i="16"/>
  <c r="G47" i="18"/>
  <c r="H32" i="18"/>
  <c r="I32" i="18"/>
  <c r="J32" i="18"/>
  <c r="K32" i="18"/>
  <c r="L32" i="18"/>
  <c r="M32" i="18"/>
  <c r="N32" i="18"/>
  <c r="H33" i="18"/>
  <c r="I33" i="18"/>
  <c r="J33" i="18"/>
  <c r="K33" i="18"/>
  <c r="L33" i="18"/>
  <c r="M33" i="18"/>
  <c r="N33" i="18"/>
  <c r="H34" i="18"/>
  <c r="I34" i="18"/>
  <c r="J34" i="18"/>
  <c r="K34" i="18"/>
  <c r="L34" i="18"/>
  <c r="M34" i="18"/>
  <c r="N34" i="18"/>
  <c r="H35" i="18"/>
  <c r="I35" i="18"/>
  <c r="J35" i="18"/>
  <c r="K35" i="18"/>
  <c r="L35" i="18"/>
  <c r="M35" i="18"/>
  <c r="N35" i="18"/>
  <c r="H36" i="18"/>
  <c r="I36" i="18"/>
  <c r="J36" i="18"/>
  <c r="K36" i="18"/>
  <c r="L36" i="18"/>
  <c r="M36" i="18"/>
  <c r="N36" i="18"/>
  <c r="H37" i="18"/>
  <c r="I37" i="18"/>
  <c r="J37" i="18"/>
  <c r="K37" i="18"/>
  <c r="L37" i="18"/>
  <c r="M37" i="18"/>
  <c r="N37" i="18"/>
  <c r="H38" i="18"/>
  <c r="I38" i="18"/>
  <c r="J38" i="18"/>
  <c r="K38" i="18"/>
  <c r="L38" i="18"/>
  <c r="M38" i="18"/>
  <c r="N38" i="18"/>
  <c r="H39" i="18"/>
  <c r="I39" i="18"/>
  <c r="J39" i="18"/>
  <c r="K39" i="18"/>
  <c r="L39" i="18"/>
  <c r="M39" i="18"/>
  <c r="N39" i="18"/>
  <c r="H40" i="18"/>
  <c r="I40" i="18"/>
  <c r="J40" i="18"/>
  <c r="K40" i="18"/>
  <c r="L40" i="18"/>
  <c r="M40" i="18"/>
  <c r="N40" i="18"/>
  <c r="H41" i="18"/>
  <c r="I41" i="18"/>
  <c r="J41" i="18"/>
  <c r="K41" i="18"/>
  <c r="L41" i="18"/>
  <c r="M41" i="18"/>
  <c r="N41" i="18"/>
  <c r="H42" i="18"/>
  <c r="I42" i="18"/>
  <c r="J42" i="18"/>
  <c r="K42" i="18"/>
  <c r="L42" i="18"/>
  <c r="M42" i="18"/>
  <c r="N42" i="18"/>
  <c r="G33" i="18"/>
  <c r="G34" i="18"/>
  <c r="G35" i="18"/>
  <c r="G36" i="18"/>
  <c r="G37" i="18"/>
  <c r="G38" i="18"/>
  <c r="G39" i="18"/>
  <c r="G40" i="18"/>
  <c r="G41" i="18"/>
  <c r="G42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5" i="18"/>
  <c r="V6" i="18"/>
  <c r="AN27" i="18" s="1"/>
  <c r="W6" i="18"/>
  <c r="AO27" i="18" s="1"/>
  <c r="X6" i="18"/>
  <c r="AP27" i="18" s="1"/>
  <c r="Y6" i="18"/>
  <c r="AQ27" i="18" s="1"/>
  <c r="Z6" i="18"/>
  <c r="AR27" i="18" s="1"/>
  <c r="AA6" i="18"/>
  <c r="AS27" i="18" s="1"/>
  <c r="AB6" i="18"/>
  <c r="AT27" i="18" s="1"/>
  <c r="V7" i="18"/>
  <c r="AN28" i="18" s="1"/>
  <c r="W7" i="18"/>
  <c r="AO28" i="18" s="1"/>
  <c r="X7" i="18"/>
  <c r="AP28" i="18" s="1"/>
  <c r="Y7" i="18"/>
  <c r="AQ28" i="18" s="1"/>
  <c r="Z7" i="18"/>
  <c r="AR28" i="18" s="1"/>
  <c r="AA7" i="18"/>
  <c r="AS28" i="18" s="1"/>
  <c r="AB7" i="18"/>
  <c r="AT28" i="18" s="1"/>
  <c r="V8" i="18"/>
  <c r="AN29" i="18" s="1"/>
  <c r="W8" i="18"/>
  <c r="AO29" i="18" s="1"/>
  <c r="X8" i="18"/>
  <c r="AP29" i="18" s="1"/>
  <c r="Y8" i="18"/>
  <c r="AQ29" i="18" s="1"/>
  <c r="Z8" i="18"/>
  <c r="AR29" i="18" s="1"/>
  <c r="AA8" i="18"/>
  <c r="AS29" i="18" s="1"/>
  <c r="AB8" i="18"/>
  <c r="AT29" i="18" s="1"/>
  <c r="V9" i="18"/>
  <c r="AN30" i="18" s="1"/>
  <c r="W9" i="18"/>
  <c r="AO30" i="18" s="1"/>
  <c r="X9" i="18"/>
  <c r="AP30" i="18" s="1"/>
  <c r="Y9" i="18"/>
  <c r="AQ30" i="18" s="1"/>
  <c r="Z9" i="18"/>
  <c r="AR30" i="18" s="1"/>
  <c r="AA9" i="18"/>
  <c r="AS30" i="18" s="1"/>
  <c r="AB9" i="18"/>
  <c r="AT30" i="18" s="1"/>
  <c r="V10" i="18"/>
  <c r="AN31" i="18" s="1"/>
  <c r="W10" i="18"/>
  <c r="AO31" i="18" s="1"/>
  <c r="X10" i="18"/>
  <c r="AP31" i="18" s="1"/>
  <c r="Y10" i="18"/>
  <c r="AQ31" i="18" s="1"/>
  <c r="Z10" i="18"/>
  <c r="AR31" i="18" s="1"/>
  <c r="AA10" i="18"/>
  <c r="AS31" i="18" s="1"/>
  <c r="AB10" i="18"/>
  <c r="AT31" i="18" s="1"/>
  <c r="V11" i="18"/>
  <c r="AN32" i="18" s="1"/>
  <c r="W11" i="18"/>
  <c r="AO32" i="18" s="1"/>
  <c r="X11" i="18"/>
  <c r="AP32" i="18" s="1"/>
  <c r="Y11" i="18"/>
  <c r="AQ32" i="18" s="1"/>
  <c r="Z11" i="18"/>
  <c r="AR32" i="18" s="1"/>
  <c r="AA11" i="18"/>
  <c r="AS32" i="18" s="1"/>
  <c r="AB11" i="18"/>
  <c r="AT32" i="18" s="1"/>
  <c r="V12" i="18"/>
  <c r="AN33" i="18" s="1"/>
  <c r="W12" i="18"/>
  <c r="AO33" i="18" s="1"/>
  <c r="X12" i="18"/>
  <c r="AP33" i="18" s="1"/>
  <c r="Y12" i="18"/>
  <c r="AQ33" i="18" s="1"/>
  <c r="Z12" i="18"/>
  <c r="AR33" i="18" s="1"/>
  <c r="AA12" i="18"/>
  <c r="AS33" i="18" s="1"/>
  <c r="AB12" i="18"/>
  <c r="AT33" i="18" s="1"/>
  <c r="V13" i="18"/>
  <c r="AN34" i="18" s="1"/>
  <c r="W13" i="18"/>
  <c r="AO34" i="18" s="1"/>
  <c r="X13" i="18"/>
  <c r="AP34" i="18" s="1"/>
  <c r="Y13" i="18"/>
  <c r="AQ34" i="18" s="1"/>
  <c r="Z13" i="18"/>
  <c r="AR34" i="18" s="1"/>
  <c r="AA13" i="18"/>
  <c r="AS34" i="18" s="1"/>
  <c r="AB13" i="18"/>
  <c r="AT34" i="18" s="1"/>
  <c r="V14" i="18"/>
  <c r="AN35" i="18" s="1"/>
  <c r="W14" i="18"/>
  <c r="AO35" i="18" s="1"/>
  <c r="X14" i="18"/>
  <c r="AP35" i="18" s="1"/>
  <c r="Y14" i="18"/>
  <c r="AQ35" i="18" s="1"/>
  <c r="Z14" i="18"/>
  <c r="AR35" i="18" s="1"/>
  <c r="AA14" i="18"/>
  <c r="AS35" i="18" s="1"/>
  <c r="AB14" i="18"/>
  <c r="AT35" i="18" s="1"/>
  <c r="V15" i="18"/>
  <c r="AN36" i="18" s="1"/>
  <c r="W15" i="18"/>
  <c r="AO36" i="18" s="1"/>
  <c r="X15" i="18"/>
  <c r="AP36" i="18" s="1"/>
  <c r="Y15" i="18"/>
  <c r="AQ36" i="18" s="1"/>
  <c r="Z15" i="18"/>
  <c r="AR36" i="18" s="1"/>
  <c r="AA15" i="18"/>
  <c r="AS36" i="18" s="1"/>
  <c r="AB15" i="18"/>
  <c r="AT36" i="18" s="1"/>
  <c r="V16" i="18"/>
  <c r="AN37" i="18" s="1"/>
  <c r="W16" i="18"/>
  <c r="AO37" i="18" s="1"/>
  <c r="X16" i="18"/>
  <c r="AP37" i="18" s="1"/>
  <c r="Y16" i="18"/>
  <c r="AQ37" i="18" s="1"/>
  <c r="Z16" i="18"/>
  <c r="AR37" i="18" s="1"/>
  <c r="AA16" i="18"/>
  <c r="AS37" i="18" s="1"/>
  <c r="AB16" i="18"/>
  <c r="AT37" i="18" s="1"/>
  <c r="V17" i="18"/>
  <c r="AN38" i="18" s="1"/>
  <c r="W17" i="18"/>
  <c r="AO38" i="18" s="1"/>
  <c r="X17" i="18"/>
  <c r="AP38" i="18" s="1"/>
  <c r="Y17" i="18"/>
  <c r="AQ38" i="18" s="1"/>
  <c r="Z17" i="18"/>
  <c r="AR38" i="18" s="1"/>
  <c r="AA17" i="18"/>
  <c r="AS38" i="18" s="1"/>
  <c r="AB17" i="18"/>
  <c r="AT38" i="18" s="1"/>
  <c r="V18" i="18"/>
  <c r="AN39" i="18" s="1"/>
  <c r="W18" i="18"/>
  <c r="AO39" i="18" s="1"/>
  <c r="X18" i="18"/>
  <c r="AP39" i="18" s="1"/>
  <c r="Y18" i="18"/>
  <c r="AQ39" i="18" s="1"/>
  <c r="Z18" i="18"/>
  <c r="AR39" i="18" s="1"/>
  <c r="AA18" i="18"/>
  <c r="AS39" i="18" s="1"/>
  <c r="AB18" i="18"/>
  <c r="AT39" i="18" s="1"/>
  <c r="V19" i="18"/>
  <c r="AN40" i="18" s="1"/>
  <c r="W19" i="18"/>
  <c r="AO40" i="18" s="1"/>
  <c r="X19" i="18"/>
  <c r="AP40" i="18" s="1"/>
  <c r="Y19" i="18"/>
  <c r="AQ40" i="18" s="1"/>
  <c r="Z19" i="18"/>
  <c r="AR40" i="18" s="1"/>
  <c r="AA19" i="18"/>
  <c r="AS40" i="18" s="1"/>
  <c r="AB19" i="18"/>
  <c r="AT40" i="18" s="1"/>
  <c r="V20" i="18"/>
  <c r="AN41" i="18" s="1"/>
  <c r="W20" i="18"/>
  <c r="AO41" i="18" s="1"/>
  <c r="X20" i="18"/>
  <c r="AP41" i="18" s="1"/>
  <c r="Y20" i="18"/>
  <c r="AQ41" i="18" s="1"/>
  <c r="Z20" i="18"/>
  <c r="AR41" i="18" s="1"/>
  <c r="AA20" i="18"/>
  <c r="AS41" i="18" s="1"/>
  <c r="AB20" i="18"/>
  <c r="AT41" i="18" s="1"/>
  <c r="V21" i="18"/>
  <c r="AN42" i="18" s="1"/>
  <c r="W21" i="18"/>
  <c r="AO42" i="18" s="1"/>
  <c r="X21" i="18"/>
  <c r="AP42" i="18" s="1"/>
  <c r="Y21" i="18"/>
  <c r="AQ42" i="18" s="1"/>
  <c r="Z21" i="18"/>
  <c r="AR42" i="18" s="1"/>
  <c r="AA21" i="18"/>
  <c r="AS42" i="18" s="1"/>
  <c r="AB21" i="18"/>
  <c r="AT42" i="18" s="1"/>
  <c r="V22" i="18"/>
  <c r="AN43" i="18" s="1"/>
  <c r="W22" i="18"/>
  <c r="AO43" i="18" s="1"/>
  <c r="X22" i="18"/>
  <c r="AP43" i="18" s="1"/>
  <c r="Y22" i="18"/>
  <c r="AQ43" i="18" s="1"/>
  <c r="Z22" i="18"/>
  <c r="AR43" i="18" s="1"/>
  <c r="AA22" i="18"/>
  <c r="AS43" i="18" s="1"/>
  <c r="AB22" i="18"/>
  <c r="AT43" i="18" s="1"/>
  <c r="V23" i="18"/>
  <c r="AN44" i="18" s="1"/>
  <c r="W23" i="18"/>
  <c r="AO44" i="18" s="1"/>
  <c r="X23" i="18"/>
  <c r="AP44" i="18" s="1"/>
  <c r="Y23" i="18"/>
  <c r="AQ44" i="18" s="1"/>
  <c r="Z23" i="18"/>
  <c r="AR44" i="18" s="1"/>
  <c r="AA23" i="18"/>
  <c r="AS44" i="18" s="1"/>
  <c r="AB23" i="18"/>
  <c r="AT44" i="18" s="1"/>
  <c r="V24" i="18"/>
  <c r="AN45" i="18" s="1"/>
  <c r="W24" i="18"/>
  <c r="AO45" i="18" s="1"/>
  <c r="X24" i="18"/>
  <c r="AP45" i="18" s="1"/>
  <c r="Y24" i="18"/>
  <c r="AQ45" i="18" s="1"/>
  <c r="Z24" i="18"/>
  <c r="AR45" i="18" s="1"/>
  <c r="AA24" i="18"/>
  <c r="AS45" i="18" s="1"/>
  <c r="AB24" i="18"/>
  <c r="AT45" i="18" s="1"/>
  <c r="W5" i="18"/>
  <c r="AO26" i="18" s="1"/>
  <c r="X5" i="18"/>
  <c r="AP26" i="18" s="1"/>
  <c r="Y5" i="18"/>
  <c r="AQ26" i="18" s="1"/>
  <c r="Z5" i="18"/>
  <c r="AR26" i="18" s="1"/>
  <c r="AA5" i="18"/>
  <c r="AS26" i="18" s="1"/>
  <c r="AB5" i="18"/>
  <c r="AT26" i="18" s="1"/>
  <c r="V5" i="18"/>
  <c r="AN26" i="18" s="1"/>
  <c r="N6" i="18"/>
  <c r="AF27" i="18" s="1"/>
  <c r="O6" i="18"/>
  <c r="AG27" i="18" s="1"/>
  <c r="P6" i="18"/>
  <c r="AH27" i="18" s="1"/>
  <c r="Q6" i="18"/>
  <c r="AI27" i="18" s="1"/>
  <c r="R6" i="18"/>
  <c r="AJ27" i="18" s="1"/>
  <c r="S6" i="18"/>
  <c r="AK27" i="18" s="1"/>
  <c r="M7" i="18"/>
  <c r="AE28" i="18" s="1"/>
  <c r="N7" i="18"/>
  <c r="AF28" i="18" s="1"/>
  <c r="O7" i="18"/>
  <c r="AG28" i="18" s="1"/>
  <c r="P7" i="18"/>
  <c r="AH28" i="18" s="1"/>
  <c r="Q7" i="18"/>
  <c r="AI28" i="18" s="1"/>
  <c r="R7" i="18"/>
  <c r="AJ28" i="18" s="1"/>
  <c r="S7" i="18"/>
  <c r="AK28" i="18" s="1"/>
  <c r="N8" i="18"/>
  <c r="AF29" i="18" s="1"/>
  <c r="O8" i="18"/>
  <c r="AG29" i="18" s="1"/>
  <c r="P8" i="18"/>
  <c r="AH29" i="18" s="1"/>
  <c r="Q8" i="18"/>
  <c r="AI29" i="18" s="1"/>
  <c r="R8" i="18"/>
  <c r="AJ29" i="18" s="1"/>
  <c r="S8" i="18"/>
  <c r="AK29" i="18" s="1"/>
  <c r="M9" i="18"/>
  <c r="AE30" i="18" s="1"/>
  <c r="N9" i="18"/>
  <c r="AF30" i="18" s="1"/>
  <c r="O9" i="18"/>
  <c r="AG30" i="18" s="1"/>
  <c r="P9" i="18"/>
  <c r="AH30" i="18" s="1"/>
  <c r="Q9" i="18"/>
  <c r="AI30" i="18" s="1"/>
  <c r="R9" i="18"/>
  <c r="AJ30" i="18" s="1"/>
  <c r="S9" i="18"/>
  <c r="AK30" i="18" s="1"/>
  <c r="M10" i="18"/>
  <c r="AE31" i="18" s="1"/>
  <c r="N10" i="18"/>
  <c r="AF31" i="18" s="1"/>
  <c r="O10" i="18"/>
  <c r="AG31" i="18" s="1"/>
  <c r="P10" i="18"/>
  <c r="AH31" i="18" s="1"/>
  <c r="Q10" i="18"/>
  <c r="AI31" i="18" s="1"/>
  <c r="R10" i="18"/>
  <c r="AJ31" i="18" s="1"/>
  <c r="S10" i="18"/>
  <c r="AK31" i="18" s="1"/>
  <c r="M11" i="18"/>
  <c r="AE32" i="18" s="1"/>
  <c r="N11" i="18"/>
  <c r="AF32" i="18" s="1"/>
  <c r="O11" i="18"/>
  <c r="AG32" i="18" s="1"/>
  <c r="P11" i="18"/>
  <c r="AH32" i="18" s="1"/>
  <c r="Q11" i="18"/>
  <c r="AI32" i="18" s="1"/>
  <c r="R11" i="18"/>
  <c r="AJ32" i="18" s="1"/>
  <c r="S11" i="18"/>
  <c r="AK32" i="18" s="1"/>
  <c r="M12" i="18"/>
  <c r="AE33" i="18" s="1"/>
  <c r="N12" i="18"/>
  <c r="AF33" i="18" s="1"/>
  <c r="O12" i="18"/>
  <c r="AG33" i="18" s="1"/>
  <c r="P12" i="18"/>
  <c r="AH33" i="18" s="1"/>
  <c r="Q12" i="18"/>
  <c r="AI33" i="18" s="1"/>
  <c r="R12" i="18"/>
  <c r="AJ33" i="18" s="1"/>
  <c r="S12" i="18"/>
  <c r="AK33" i="18" s="1"/>
  <c r="M13" i="18"/>
  <c r="AE34" i="18" s="1"/>
  <c r="N13" i="18"/>
  <c r="AF34" i="18" s="1"/>
  <c r="O13" i="18"/>
  <c r="AG34" i="18" s="1"/>
  <c r="P13" i="18"/>
  <c r="AH34" i="18" s="1"/>
  <c r="Q13" i="18"/>
  <c r="AI34" i="18" s="1"/>
  <c r="R13" i="18"/>
  <c r="AJ34" i="18" s="1"/>
  <c r="S13" i="18"/>
  <c r="AK34" i="18" s="1"/>
  <c r="M14" i="18"/>
  <c r="AE35" i="18" s="1"/>
  <c r="N14" i="18"/>
  <c r="AF35" i="18" s="1"/>
  <c r="O14" i="18"/>
  <c r="AG35" i="18" s="1"/>
  <c r="P14" i="18"/>
  <c r="AH35" i="18" s="1"/>
  <c r="Q14" i="18"/>
  <c r="AI35" i="18" s="1"/>
  <c r="R14" i="18"/>
  <c r="AJ35" i="18" s="1"/>
  <c r="S14" i="18"/>
  <c r="AK35" i="18" s="1"/>
  <c r="M15" i="18"/>
  <c r="AE36" i="18" s="1"/>
  <c r="N15" i="18"/>
  <c r="AF36" i="18" s="1"/>
  <c r="O15" i="18"/>
  <c r="AG36" i="18" s="1"/>
  <c r="P15" i="18"/>
  <c r="AH36" i="18" s="1"/>
  <c r="Q15" i="18"/>
  <c r="AI36" i="18" s="1"/>
  <c r="R15" i="18"/>
  <c r="AJ36" i="18" s="1"/>
  <c r="S15" i="18"/>
  <c r="AK36" i="18" s="1"/>
  <c r="M16" i="18"/>
  <c r="AE37" i="18" s="1"/>
  <c r="N16" i="18"/>
  <c r="AF37" i="18" s="1"/>
  <c r="O16" i="18"/>
  <c r="AG37" i="18" s="1"/>
  <c r="P16" i="18"/>
  <c r="AH37" i="18" s="1"/>
  <c r="Q16" i="18"/>
  <c r="AI37" i="18" s="1"/>
  <c r="R16" i="18"/>
  <c r="AJ37" i="18" s="1"/>
  <c r="S16" i="18"/>
  <c r="AK37" i="18" s="1"/>
  <c r="M17" i="18"/>
  <c r="AE38" i="18" s="1"/>
  <c r="N17" i="18"/>
  <c r="AF38" i="18" s="1"/>
  <c r="O17" i="18"/>
  <c r="AG38" i="18" s="1"/>
  <c r="P17" i="18"/>
  <c r="AH38" i="18" s="1"/>
  <c r="Q17" i="18"/>
  <c r="AI38" i="18" s="1"/>
  <c r="R17" i="18"/>
  <c r="AJ38" i="18" s="1"/>
  <c r="S17" i="18"/>
  <c r="AK38" i="18" s="1"/>
  <c r="M18" i="18"/>
  <c r="AE39" i="18" s="1"/>
  <c r="N18" i="18"/>
  <c r="AF39" i="18" s="1"/>
  <c r="O18" i="18"/>
  <c r="AG39" i="18" s="1"/>
  <c r="P18" i="18"/>
  <c r="AH39" i="18" s="1"/>
  <c r="Q18" i="18"/>
  <c r="AI39" i="18" s="1"/>
  <c r="R18" i="18"/>
  <c r="AJ39" i="18" s="1"/>
  <c r="S18" i="18"/>
  <c r="AK39" i="18" s="1"/>
  <c r="M19" i="18"/>
  <c r="AE40" i="18" s="1"/>
  <c r="N19" i="18"/>
  <c r="AF40" i="18" s="1"/>
  <c r="O19" i="18"/>
  <c r="AG40" i="18" s="1"/>
  <c r="P19" i="18"/>
  <c r="AH40" i="18" s="1"/>
  <c r="Q19" i="18"/>
  <c r="AI40" i="18" s="1"/>
  <c r="R19" i="18"/>
  <c r="AJ40" i="18" s="1"/>
  <c r="S19" i="18"/>
  <c r="AK40" i="18" s="1"/>
  <c r="M20" i="18"/>
  <c r="AE41" i="18" s="1"/>
  <c r="N20" i="18"/>
  <c r="AF41" i="18" s="1"/>
  <c r="O20" i="18"/>
  <c r="AG41" i="18" s="1"/>
  <c r="P20" i="18"/>
  <c r="AH41" i="18" s="1"/>
  <c r="Q20" i="18"/>
  <c r="AI41" i="18" s="1"/>
  <c r="R20" i="18"/>
  <c r="AJ41" i="18" s="1"/>
  <c r="S20" i="18"/>
  <c r="AK41" i="18" s="1"/>
  <c r="M21" i="18"/>
  <c r="AE42" i="18" s="1"/>
  <c r="N21" i="18"/>
  <c r="AF42" i="18" s="1"/>
  <c r="O21" i="18"/>
  <c r="AG42" i="18" s="1"/>
  <c r="P21" i="18"/>
  <c r="AH42" i="18" s="1"/>
  <c r="Q21" i="18"/>
  <c r="AI42" i="18" s="1"/>
  <c r="R21" i="18"/>
  <c r="AJ42" i="18" s="1"/>
  <c r="S21" i="18"/>
  <c r="AK42" i="18" s="1"/>
  <c r="M22" i="18"/>
  <c r="AE43" i="18" s="1"/>
  <c r="N22" i="18"/>
  <c r="AF43" i="18" s="1"/>
  <c r="O22" i="18"/>
  <c r="AG43" i="18" s="1"/>
  <c r="P22" i="18"/>
  <c r="AH43" i="18" s="1"/>
  <c r="Q22" i="18"/>
  <c r="AI43" i="18" s="1"/>
  <c r="R22" i="18"/>
  <c r="AJ43" i="18" s="1"/>
  <c r="S22" i="18"/>
  <c r="AK43" i="18" s="1"/>
  <c r="M23" i="18"/>
  <c r="AE44" i="18" s="1"/>
  <c r="N23" i="18"/>
  <c r="AF44" i="18" s="1"/>
  <c r="O23" i="18"/>
  <c r="AG44" i="18" s="1"/>
  <c r="P23" i="18"/>
  <c r="AH44" i="18" s="1"/>
  <c r="Q23" i="18"/>
  <c r="AI44" i="18" s="1"/>
  <c r="R23" i="18"/>
  <c r="AJ44" i="18" s="1"/>
  <c r="S23" i="18"/>
  <c r="AK44" i="18" s="1"/>
  <c r="M24" i="18"/>
  <c r="AE45" i="18" s="1"/>
  <c r="N24" i="18"/>
  <c r="AF45" i="18" s="1"/>
  <c r="O24" i="18"/>
  <c r="AG45" i="18" s="1"/>
  <c r="P24" i="18"/>
  <c r="AH45" i="18" s="1"/>
  <c r="Q24" i="18"/>
  <c r="AI45" i="18" s="1"/>
  <c r="R24" i="18"/>
  <c r="AJ45" i="18" s="1"/>
  <c r="S24" i="18"/>
  <c r="AK45" i="18" s="1"/>
  <c r="N5" i="18"/>
  <c r="AF26" i="18" s="1"/>
  <c r="O5" i="18"/>
  <c r="AG26" i="18" s="1"/>
  <c r="P5" i="18"/>
  <c r="AH26" i="18" s="1"/>
  <c r="Q5" i="18"/>
  <c r="AI26" i="18" s="1"/>
  <c r="R5" i="18"/>
  <c r="AJ26" i="18" s="1"/>
  <c r="S5" i="18"/>
  <c r="AK26" i="18" s="1"/>
  <c r="M5" i="18"/>
  <c r="AE26" i="18" s="1"/>
  <c r="J14" i="18"/>
  <c r="J9" i="18"/>
  <c r="J5" i="18"/>
  <c r="J6" i="18"/>
  <c r="J12" i="18"/>
  <c r="J11" i="18"/>
  <c r="J16" i="18"/>
  <c r="J15" i="18"/>
  <c r="J13" i="18"/>
  <c r="J7" i="18"/>
  <c r="J10" i="18"/>
  <c r="J8" i="18"/>
  <c r="J17" i="18"/>
  <c r="J18" i="18"/>
  <c r="J19" i="18"/>
  <c r="J20" i="18"/>
  <c r="C11" i="18"/>
  <c r="C11" i="16"/>
  <c r="J12" i="16"/>
  <c r="I9" i="16"/>
  <c r="J6" i="16"/>
  <c r="J7" i="16"/>
  <c r="J8" i="16"/>
  <c r="J9" i="16"/>
  <c r="J10" i="16"/>
  <c r="J11" i="16"/>
  <c r="J13" i="16"/>
  <c r="J14" i="16"/>
  <c r="J15" i="16"/>
  <c r="J16" i="16"/>
  <c r="J17" i="16"/>
  <c r="J18" i="16"/>
  <c r="J19" i="16"/>
  <c r="J20" i="16"/>
  <c r="J21" i="16"/>
  <c r="J5" i="16"/>
  <c r="S32" i="16"/>
  <c r="G47" i="16"/>
  <c r="S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G52" i="16"/>
  <c r="H52" i="16"/>
  <c r="I52" i="16"/>
  <c r="J52" i="16"/>
  <c r="K52" i="16"/>
  <c r="L52" i="16"/>
  <c r="M52" i="16"/>
  <c r="N52" i="16"/>
  <c r="G53" i="16"/>
  <c r="H53" i="16"/>
  <c r="I53" i="16"/>
  <c r="J53" i="16"/>
  <c r="K53" i="16"/>
  <c r="L53" i="16"/>
  <c r="M53" i="16"/>
  <c r="N53" i="16"/>
  <c r="G54" i="16"/>
  <c r="H54" i="16"/>
  <c r="I54" i="16"/>
  <c r="J54" i="16"/>
  <c r="K54" i="16"/>
  <c r="L54" i="16"/>
  <c r="M54" i="16"/>
  <c r="N54" i="16"/>
  <c r="G55" i="16"/>
  <c r="H55" i="16"/>
  <c r="I55" i="16"/>
  <c r="J55" i="16"/>
  <c r="K55" i="16"/>
  <c r="L55" i="16"/>
  <c r="M55" i="16"/>
  <c r="N55" i="16"/>
  <c r="G56" i="16"/>
  <c r="H56" i="16"/>
  <c r="I56" i="16"/>
  <c r="J56" i="16"/>
  <c r="K56" i="16"/>
  <c r="L56" i="16"/>
  <c r="M56" i="16"/>
  <c r="N56" i="16"/>
  <c r="G57" i="16"/>
  <c r="H57" i="16"/>
  <c r="I57" i="16"/>
  <c r="J57" i="16"/>
  <c r="K57" i="16"/>
  <c r="L57" i="16"/>
  <c r="M57" i="16"/>
  <c r="N57" i="16"/>
  <c r="H47" i="16"/>
  <c r="I47" i="16"/>
  <c r="J47" i="16"/>
  <c r="K47" i="16"/>
  <c r="L47" i="16"/>
  <c r="M47" i="16"/>
  <c r="N47" i="16"/>
  <c r="Z47" i="16"/>
  <c r="S48" i="16"/>
  <c r="T48" i="16"/>
  <c r="U48" i="16"/>
  <c r="V48" i="16"/>
  <c r="W48" i="16"/>
  <c r="X48" i="16"/>
  <c r="Y48" i="16"/>
  <c r="Z48" i="16"/>
  <c r="S49" i="16"/>
  <c r="T49" i="16"/>
  <c r="U49" i="16"/>
  <c r="V49" i="16"/>
  <c r="W49" i="16"/>
  <c r="X49" i="16"/>
  <c r="Y49" i="16"/>
  <c r="Z49" i="16"/>
  <c r="S50" i="16"/>
  <c r="T50" i="16"/>
  <c r="U50" i="16"/>
  <c r="V50" i="16"/>
  <c r="W50" i="16"/>
  <c r="X50" i="16"/>
  <c r="Y50" i="16"/>
  <c r="Z50" i="16"/>
  <c r="S51" i="16"/>
  <c r="T51" i="16"/>
  <c r="U51" i="16"/>
  <c r="V51" i="16"/>
  <c r="W51" i="16"/>
  <c r="X51" i="16"/>
  <c r="Y51" i="16"/>
  <c r="Z51" i="16"/>
  <c r="S52" i="16"/>
  <c r="T52" i="16"/>
  <c r="U52" i="16"/>
  <c r="V52" i="16"/>
  <c r="W52" i="16"/>
  <c r="X52" i="16"/>
  <c r="Y52" i="16"/>
  <c r="Z52" i="16"/>
  <c r="S53" i="16"/>
  <c r="T53" i="16"/>
  <c r="U53" i="16"/>
  <c r="V53" i="16"/>
  <c r="W53" i="16"/>
  <c r="X53" i="16"/>
  <c r="Y53" i="16"/>
  <c r="Z53" i="16"/>
  <c r="S54" i="16"/>
  <c r="T54" i="16"/>
  <c r="U54" i="16"/>
  <c r="V54" i="16"/>
  <c r="W54" i="16"/>
  <c r="X54" i="16"/>
  <c r="Y54" i="16"/>
  <c r="Z54" i="16"/>
  <c r="S55" i="16"/>
  <c r="T55" i="16"/>
  <c r="U55" i="16"/>
  <c r="V55" i="16"/>
  <c r="W55" i="16"/>
  <c r="X55" i="16"/>
  <c r="Y55" i="16"/>
  <c r="Z55" i="16"/>
  <c r="S56" i="16"/>
  <c r="T56" i="16"/>
  <c r="U56" i="16"/>
  <c r="V56" i="16"/>
  <c r="W56" i="16"/>
  <c r="X56" i="16"/>
  <c r="Y56" i="16"/>
  <c r="Z56" i="16"/>
  <c r="S57" i="16"/>
  <c r="T57" i="16"/>
  <c r="U57" i="16"/>
  <c r="V57" i="16"/>
  <c r="W57" i="16"/>
  <c r="X57" i="16"/>
  <c r="Y57" i="16"/>
  <c r="Z57" i="16"/>
  <c r="T47" i="16"/>
  <c r="U47" i="16"/>
  <c r="V47" i="16"/>
  <c r="W47" i="16"/>
  <c r="X47" i="16"/>
  <c r="Y47" i="16"/>
  <c r="J33" i="16"/>
  <c r="L32" i="16"/>
  <c r="M33" i="16"/>
  <c r="M34" i="16"/>
  <c r="M35" i="16"/>
  <c r="M36" i="16"/>
  <c r="M37" i="16"/>
  <c r="M38" i="16"/>
  <c r="M39" i="16"/>
  <c r="M40" i="16"/>
  <c r="M41" i="16"/>
  <c r="M42" i="16"/>
  <c r="M32" i="16"/>
  <c r="T32" i="16"/>
  <c r="U32" i="16"/>
  <c r="V32" i="16"/>
  <c r="W32" i="16"/>
  <c r="X32" i="16"/>
  <c r="Y32" i="16"/>
  <c r="Z32" i="16"/>
  <c r="T33" i="16"/>
  <c r="U33" i="16"/>
  <c r="V33" i="16"/>
  <c r="W33" i="16"/>
  <c r="X33" i="16"/>
  <c r="Y33" i="16"/>
  <c r="Z33" i="16"/>
  <c r="T34" i="16"/>
  <c r="U34" i="16"/>
  <c r="V34" i="16"/>
  <c r="W34" i="16"/>
  <c r="X34" i="16"/>
  <c r="Y34" i="16"/>
  <c r="Z34" i="16"/>
  <c r="T35" i="16"/>
  <c r="U35" i="16"/>
  <c r="V35" i="16"/>
  <c r="W35" i="16"/>
  <c r="X35" i="16"/>
  <c r="Y35" i="16"/>
  <c r="Z35" i="16"/>
  <c r="T36" i="16"/>
  <c r="U36" i="16"/>
  <c r="V36" i="16"/>
  <c r="W36" i="16"/>
  <c r="X36" i="16"/>
  <c r="Y36" i="16"/>
  <c r="Z36" i="16"/>
  <c r="T37" i="16"/>
  <c r="U37" i="16"/>
  <c r="V37" i="16"/>
  <c r="W37" i="16"/>
  <c r="X37" i="16"/>
  <c r="Y37" i="16"/>
  <c r="Z37" i="16"/>
  <c r="T38" i="16"/>
  <c r="U38" i="16"/>
  <c r="V38" i="16"/>
  <c r="W38" i="16"/>
  <c r="X38" i="16"/>
  <c r="Y38" i="16"/>
  <c r="Z38" i="16"/>
  <c r="T39" i="16"/>
  <c r="U39" i="16"/>
  <c r="V39" i="16"/>
  <c r="W39" i="16"/>
  <c r="X39" i="16"/>
  <c r="Y39" i="16"/>
  <c r="Z39" i="16"/>
  <c r="T40" i="16"/>
  <c r="U40" i="16"/>
  <c r="V40" i="16"/>
  <c r="W40" i="16"/>
  <c r="X40" i="16"/>
  <c r="Y40" i="16"/>
  <c r="Z40" i="16"/>
  <c r="T41" i="16"/>
  <c r="U41" i="16"/>
  <c r="V41" i="16"/>
  <c r="W41" i="16"/>
  <c r="X41" i="16"/>
  <c r="Y41" i="16"/>
  <c r="Z41" i="16"/>
  <c r="T42" i="16"/>
  <c r="U42" i="16"/>
  <c r="V42" i="16"/>
  <c r="W42" i="16"/>
  <c r="X42" i="16"/>
  <c r="Y42" i="16"/>
  <c r="Z42" i="16"/>
  <c r="S33" i="16"/>
  <c r="S34" i="16"/>
  <c r="S35" i="16"/>
  <c r="S36" i="16"/>
  <c r="S37" i="16"/>
  <c r="S38" i="16"/>
  <c r="S39" i="16"/>
  <c r="S40" i="16"/>
  <c r="S41" i="16"/>
  <c r="S42" i="16"/>
  <c r="H32" i="16"/>
  <c r="I32" i="16"/>
  <c r="J32" i="16"/>
  <c r="K32" i="16"/>
  <c r="N32" i="16"/>
  <c r="H33" i="16"/>
  <c r="I33" i="16"/>
  <c r="K33" i="16"/>
  <c r="L33" i="16"/>
  <c r="N33" i="16"/>
  <c r="H34" i="16"/>
  <c r="I34" i="16"/>
  <c r="J34" i="16"/>
  <c r="K34" i="16"/>
  <c r="L34" i="16"/>
  <c r="N34" i="16"/>
  <c r="H35" i="16"/>
  <c r="I35" i="16"/>
  <c r="J35" i="16"/>
  <c r="K35" i="16"/>
  <c r="L35" i="16"/>
  <c r="N35" i="16"/>
  <c r="H36" i="16"/>
  <c r="I36" i="16"/>
  <c r="J36" i="16"/>
  <c r="K36" i="16"/>
  <c r="L36" i="16"/>
  <c r="N36" i="16"/>
  <c r="H37" i="16"/>
  <c r="I37" i="16"/>
  <c r="J37" i="16"/>
  <c r="K37" i="16"/>
  <c r="L37" i="16"/>
  <c r="N37" i="16"/>
  <c r="H38" i="16"/>
  <c r="I38" i="16"/>
  <c r="J38" i="16"/>
  <c r="K38" i="16"/>
  <c r="L38" i="16"/>
  <c r="N38" i="16"/>
  <c r="H39" i="16"/>
  <c r="I39" i="16"/>
  <c r="J39" i="16"/>
  <c r="K39" i="16"/>
  <c r="L39" i="16"/>
  <c r="N39" i="16"/>
  <c r="H40" i="16"/>
  <c r="I40" i="16"/>
  <c r="J40" i="16"/>
  <c r="K40" i="16"/>
  <c r="L40" i="16"/>
  <c r="N40" i="16"/>
  <c r="H41" i="16"/>
  <c r="I41" i="16"/>
  <c r="J41" i="16"/>
  <c r="K41" i="16"/>
  <c r="L41" i="16"/>
  <c r="N41" i="16"/>
  <c r="H42" i="16"/>
  <c r="I42" i="16"/>
  <c r="J42" i="16"/>
  <c r="K42" i="16"/>
  <c r="L42" i="16"/>
  <c r="N42" i="16"/>
  <c r="G33" i="16"/>
  <c r="G34" i="16"/>
  <c r="G35" i="16"/>
  <c r="G36" i="16"/>
  <c r="G37" i="16"/>
  <c r="G38" i="16"/>
  <c r="G39" i="16"/>
  <c r="G40" i="16"/>
  <c r="G41" i="16"/>
  <c r="G42" i="16"/>
  <c r="G32" i="16"/>
  <c r="I6" i="16"/>
  <c r="I7" i="16"/>
  <c r="I8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F28" i="14" s="1"/>
  <c r="AD17" i="14"/>
  <c r="AD16" i="14" s="1"/>
  <c r="AF16" i="14" s="1"/>
  <c r="AD6" i="14"/>
  <c r="AD7" i="14" s="1"/>
  <c r="AE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G28" i="13" s="1"/>
  <c r="AB28" i="13"/>
  <c r="AD28" i="13" s="1"/>
  <c r="AB17" i="13"/>
  <c r="AC17" i="13" s="1"/>
  <c r="AB6" i="13"/>
  <c r="AC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J9" i="3"/>
  <c r="C6" i="3"/>
  <c r="C5" i="3"/>
  <c r="J7" i="3"/>
  <c r="J3" i="3"/>
  <c r="J6" i="3"/>
  <c r="C4" i="3"/>
  <c r="C7" i="3"/>
  <c r="C3" i="3"/>
  <c r="J5" i="3"/>
  <c r="J4" i="3"/>
  <c r="J8" i="3"/>
  <c r="Z18" i="19" l="1"/>
  <c r="Z19" i="19"/>
  <c r="Z21" i="19"/>
  <c r="Z5" i="19"/>
  <c r="Z20" i="19"/>
  <c r="Z17" i="19"/>
  <c r="Z14" i="19"/>
  <c r="Z13" i="19"/>
  <c r="Z12" i="19"/>
  <c r="Z11" i="19"/>
  <c r="Z9" i="19"/>
  <c r="Z6" i="19"/>
  <c r="H10" i="3"/>
  <c r="H16" i="3" s="1"/>
  <c r="H13" i="3"/>
  <c r="H15" i="3"/>
  <c r="C17" i="20"/>
  <c r="AQ40" i="14"/>
  <c r="AJ28" i="14"/>
  <c r="AG7" i="14"/>
  <c r="AJ40" i="14"/>
  <c r="AF7" i="14"/>
  <c r="AI40" i="14"/>
  <c r="AG6" i="14"/>
  <c r="AF6" i="14"/>
  <c r="AJ39" i="14"/>
  <c r="AI39" i="14"/>
  <c r="AE6" i="14"/>
  <c r="AE16" i="14"/>
  <c r="AG16" i="14"/>
  <c r="AN40" i="14"/>
  <c r="AM40" i="14"/>
  <c r="AN39" i="14"/>
  <c r="AG17" i="14"/>
  <c r="AM39" i="14"/>
  <c r="AF17" i="14"/>
  <c r="AE17" i="14"/>
  <c r="AE28" i="14"/>
  <c r="AR40" i="14"/>
  <c r="AR39" i="14"/>
  <c r="AQ39" i="14"/>
  <c r="AH28" i="13"/>
  <c r="AI40" i="13"/>
  <c r="AH40" i="13"/>
  <c r="AD6" i="13"/>
  <c r="AI39" i="13"/>
  <c r="AE6" i="13"/>
  <c r="AH39" i="13"/>
  <c r="AD17" i="13"/>
  <c r="AE17" i="13"/>
  <c r="AM40" i="13"/>
  <c r="AL40" i="13"/>
  <c r="AM39" i="13"/>
  <c r="AL39" i="13"/>
  <c r="AQ40" i="13"/>
  <c r="AC28" i="13"/>
  <c r="AP40" i="13"/>
  <c r="AQ39" i="13"/>
  <c r="AP39" i="13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B40" i="15"/>
  <c r="AH38" i="15"/>
  <c r="AE17" i="15"/>
  <c r="AD17" i="15"/>
  <c r="AE16" i="15"/>
  <c r="AM39" i="15"/>
  <c r="AG28" i="15"/>
  <c r="AL39" i="15"/>
  <c r="AQ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F40" i="14"/>
  <c r="AE40" i="14"/>
  <c r="AF39" i="14"/>
  <c r="AE39" i="14"/>
  <c r="AF27" i="13"/>
  <c r="I12" i="14"/>
  <c r="I10" i="14"/>
  <c r="I7" i="14"/>
  <c r="I14" i="14"/>
  <c r="AG37" i="14"/>
  <c r="AK40" i="14" s="1"/>
  <c r="AD38" i="14"/>
  <c r="I19" i="14"/>
  <c r="I6" i="14"/>
  <c r="I18" i="14"/>
  <c r="I9" i="14"/>
  <c r="I8" i="14"/>
  <c r="I4" i="14"/>
  <c r="AD29" i="14"/>
  <c r="I20" i="14"/>
  <c r="AD27" i="14"/>
  <c r="I17" i="14"/>
  <c r="I16" i="14"/>
  <c r="I15" i="14"/>
  <c r="I13" i="14"/>
  <c r="I11" i="14"/>
  <c r="I5" i="14"/>
  <c r="AH29" i="14"/>
  <c r="AH27" i="14"/>
  <c r="AD18" i="14"/>
  <c r="AD5" i="14"/>
  <c r="AB27" i="13"/>
  <c r="I14" i="13"/>
  <c r="AF29" i="13"/>
  <c r="AE39" i="13"/>
  <c r="I16" i="13"/>
  <c r="AC37" i="13"/>
  <c r="AO40" i="13" s="1"/>
  <c r="AE40" i="13"/>
  <c r="AD40" i="13"/>
  <c r="AD39" i="13"/>
  <c r="AB38" i="13"/>
  <c r="AB29" i="13"/>
  <c r="AB16" i="13"/>
  <c r="I10" i="13"/>
  <c r="AB18" i="13"/>
  <c r="AB5" i="13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J10" i="3"/>
  <c r="H14" i="3" l="1"/>
  <c r="AI38" i="15"/>
  <c r="AS39" i="14"/>
  <c r="AS40" i="14"/>
  <c r="AE5" i="14"/>
  <c r="AG9" i="14" s="1"/>
  <c r="AG10" i="14" s="1"/>
  <c r="AG5" i="14"/>
  <c r="AF5" i="14"/>
  <c r="AH9" i="14" s="1"/>
  <c r="AH10" i="14" s="1"/>
  <c r="AE18" i="14"/>
  <c r="AF18" i="14"/>
  <c r="AH20" i="14" s="1"/>
  <c r="AH21" i="14" s="1"/>
  <c r="AG18" i="14"/>
  <c r="AI27" i="14"/>
  <c r="AJ27" i="14"/>
  <c r="AI29" i="14"/>
  <c r="AJ29" i="14"/>
  <c r="AO39" i="14"/>
  <c r="AO40" i="14"/>
  <c r="AF27" i="14"/>
  <c r="AE27" i="14"/>
  <c r="AF29" i="14"/>
  <c r="AE29" i="14"/>
  <c r="AK39" i="14"/>
  <c r="AF42" i="14" s="1"/>
  <c r="AF43" i="14" s="1"/>
  <c r="AR38" i="14"/>
  <c r="AS38" i="14"/>
  <c r="AQ38" i="14"/>
  <c r="AN38" i="14"/>
  <c r="AG42" i="14" s="1"/>
  <c r="AG43" i="14" s="1"/>
  <c r="AO38" i="14"/>
  <c r="AM38" i="14"/>
  <c r="AJ38" i="14"/>
  <c r="AK38" i="14"/>
  <c r="AI38" i="14"/>
  <c r="AP38" i="13"/>
  <c r="AQ38" i="13"/>
  <c r="AO38" i="13"/>
  <c r="AL38" i="13"/>
  <c r="AE42" i="13" s="1"/>
  <c r="AE43" i="13" s="1"/>
  <c r="AM38" i="13"/>
  <c r="AK38" i="13"/>
  <c r="AH38" i="13"/>
  <c r="AI38" i="13"/>
  <c r="AG38" i="13"/>
  <c r="AC16" i="13"/>
  <c r="AE16" i="13" s="1"/>
  <c r="AD16" i="13"/>
  <c r="AH27" i="13"/>
  <c r="AG27" i="13"/>
  <c r="AC5" i="13"/>
  <c r="AE5" i="13"/>
  <c r="AD5" i="13"/>
  <c r="AG29" i="13"/>
  <c r="AH29" i="13"/>
  <c r="AO39" i="13"/>
  <c r="AD27" i="13"/>
  <c r="AC27" i="13"/>
  <c r="AK39" i="13"/>
  <c r="AK40" i="13"/>
  <c r="AG39" i="13"/>
  <c r="AD42" i="13" s="1"/>
  <c r="AD43" i="13" s="1"/>
  <c r="AG40" i="13"/>
  <c r="AC7" i="13"/>
  <c r="AE7" i="13"/>
  <c r="AD7" i="13"/>
  <c r="AC18" i="13"/>
  <c r="AD18" i="13"/>
  <c r="AE18" i="13"/>
  <c r="AD29" i="13"/>
  <c r="AC29" i="13"/>
  <c r="AP38" i="15"/>
  <c r="AC38" i="15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F38" i="14"/>
  <c r="AG38" i="14"/>
  <c r="AE38" i="14"/>
  <c r="AG39" i="14"/>
  <c r="AG40" i="14"/>
  <c r="AF20" i="14"/>
  <c r="AF21" i="14" s="1"/>
  <c r="K199" i="9"/>
  <c r="K167" i="9"/>
  <c r="K135" i="9"/>
  <c r="K179" i="9"/>
  <c r="K147" i="9"/>
  <c r="K184" i="9"/>
  <c r="K152" i="9"/>
  <c r="K120" i="9"/>
  <c r="K88" i="9"/>
  <c r="K56" i="9"/>
  <c r="K115" i="9"/>
  <c r="K83" i="9"/>
  <c r="K196" i="9"/>
  <c r="K164" i="9"/>
  <c r="K132" i="9"/>
  <c r="K100" i="9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38" i="13"/>
  <c r="AE38" i="13"/>
  <c r="AC38" i="13"/>
  <c r="E147" i="9"/>
  <c r="E115" i="9"/>
  <c r="E83" i="9"/>
  <c r="E179" i="9"/>
  <c r="AC39" i="13"/>
  <c r="E156" i="9"/>
  <c r="K3" i="9"/>
  <c r="E146" i="9"/>
  <c r="E114" i="9"/>
  <c r="K200" i="9"/>
  <c r="K168" i="9"/>
  <c r="K136" i="9"/>
  <c r="K104" i="9"/>
  <c r="K72" i="9"/>
  <c r="K40" i="9"/>
  <c r="K8" i="9"/>
  <c r="E182" i="9"/>
  <c r="E150" i="9"/>
  <c r="E118" i="9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F20" i="13" l="1"/>
  <c r="AF21" i="13" s="1"/>
  <c r="AD31" i="13"/>
  <c r="AD32" i="13" s="1"/>
  <c r="AE42" i="15"/>
  <c r="AE43" i="15" s="1"/>
  <c r="AH31" i="13"/>
  <c r="AH32" i="13" s="1"/>
  <c r="AD20" i="13"/>
  <c r="AD21" i="13" s="1"/>
  <c r="AD42" i="15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<sst xmlns="http://schemas.openxmlformats.org/spreadsheetml/2006/main" count="620" uniqueCount="178">
  <si>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</si>
  <si>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</si>
  <si>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</si>
  <si>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</si>
  <si>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</si>
  <si>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</si>
  <si>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</si>
  <si>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</si>
  <si>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</si>
  <si>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</si>
  <si>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</si>
  <si>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</si>
  <si>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</si>
  <si>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</si>
  <si>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</si>
  <si>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</si>
  <si>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</si>
  <si>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</si>
  <si>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</si>
  <si>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</si>
  <si>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</si>
  <si>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</si>
  <si>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</si>
  <si>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</si>
  <si>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</si>
  <si>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</si>
  <si>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</si>
  <si>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</si>
  <si>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</si>
  <si>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</si>
  <si>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</si>
  <si>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</si>
  <si>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</si>
  <si>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</si>
  <si>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</si>
  <si>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</si>
  <si>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</si>
  <si>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</si>
  <si>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</si>
  <si>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</si>
  <si>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</si>
  <si>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</si>
  <si>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</si>
  <si>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</si>
  <si>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</si>
  <si>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</si>
  <si>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</si>
  <si>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</si>
  <si>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</si>
  <si>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</si>
  <si>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</si>
  <si>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</si>
  <si>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</si>
  <si>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</si>
  <si>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</si>
  <si>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</si>
  <si>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</si>
  <si>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</si>
  <si>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</si>
  <si>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</si>
  <si>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</si>
  <si>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</si>
  <si>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</si>
  <si>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</si>
  <si>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</si>
  <si>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</si>
  <si>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</si>
  <si>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</si>
  <si>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</si>
  <si>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</si>
  <si>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</si>
  <si>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</si>
  <si>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</si>
  <si>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</si>
  <si>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</si>
  <si>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</si>
  <si>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</si>
  <si>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</si>
  <si>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</si>
  <si>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</si>
  <si>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</si>
  <si>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</si>
  <si>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</si>
  <si>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</si>
  <si>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</si>
  <si>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</si>
  <si>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</si>
  <si>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</si>
  <si>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</si>
  <si>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</si>
  <si>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</si>
  <si>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</si>
  <si>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</si>
  <si>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</si>
  <si>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</si>
  <si>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</si>
  <si>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</si>
  <si>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</si>
  <si>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</si>
  <si>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</si>
  <si>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</si>
  <si>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</si>
  <si>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</si>
  <si>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</si>
  <si>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</si>
  <si>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</si>
  <si>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</si>
  <si>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</si>
  <si>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</si>
  <si>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</si>
  <si>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</si>
  <si>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</si>
  <si>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</si>
  <si>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</si>
  <si>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</si>
  <si>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</si>
  <si>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</si>
  <si>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</si>
  <si>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</si>
  <si>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</si>
  <si>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</si>
  <si>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</si>
  <si>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</si>
  <si>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</si>
  <si>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</si>
  <si>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</si>
  <si>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</si>
  <si>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</si>
  <si>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</si>
  <si>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</si>
  <si>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</si>
  <si>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</si>
  <si>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</si>
  <si>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</si>
  <si>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</si>
  <si>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</si>
  <si>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</si>
  <si>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</si>
  <si>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</si>
  <si>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</si>
  <si>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</si>
  <si>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</si>
  <si>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</si>
  <si>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</si>
  <si>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</si>
  <si>
    <t>Call Greeks: Bjerksund Stensland Numerical Greeks</t>
  </si>
  <si>
    <t>Call Greeks: Black-Scholes Analyical Greeks</t>
  </si>
  <si>
    <t>Put Greeks: Black-Scholes Analyical Greeks</t>
  </si>
  <si>
    <t>Put Greeks: Bjerksund Stensland Numerical Greeks</t>
  </si>
  <si>
    <t>Next Business Day</t>
  </si>
  <si>
    <t>Adjust to Business Day</t>
  </si>
  <si>
    <t>acq_join</t>
  </si>
  <si>
    <t>Concatenates the elements of a specified array using the specified separator (optional) between each element</t>
  </si>
  <si>
    <t>float</t>
  </si>
  <si>
    <t>bool</t>
  </si>
  <si>
    <t>Empty</t>
  </si>
  <si>
    <t>NA</t>
  </si>
  <si>
    <t>values</t>
  </si>
  <si>
    <t>acq_tostring</t>
  </si>
  <si>
    <t>Value</t>
  </si>
  <si>
    <t>acq_count_unique</t>
  </si>
  <si>
    <t>cost of carry</t>
  </si>
  <si>
    <t>Binomial American Option Greeks</t>
  </si>
  <si>
    <t>Binomial</t>
  </si>
  <si>
    <t>Call Greeks: Binomial Numerical Greeks</t>
  </si>
  <si>
    <t>Put Greeks: Binomial Numerical Greeks</t>
  </si>
  <si>
    <t>Put Greeks: Bjerksund Stensland (2002) Greeks</t>
  </si>
  <si>
    <t>Call Greeks: Bjerksund Stensland (2002) Greeks</t>
  </si>
  <si>
    <t>Greek</t>
  </si>
  <si>
    <t>All Greeks</t>
  </si>
  <si>
    <t>Pricing Params</t>
  </si>
  <si>
    <t>Trinomial</t>
  </si>
  <si>
    <t>Call Greeks: Trinomial Numerical Greeks</t>
  </si>
  <si>
    <t>Put Greeks: Trinomial Numerical Greeks</t>
  </si>
  <si>
    <t>acq_isprime</t>
  </si>
  <si>
    <t>acq_isinteger</t>
  </si>
  <si>
    <t>acq_isleap_year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</si>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</sst>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00"/>
    <numFmt numFmtId="165" formatCode="0.000"/>
    <numFmt numFmtId="166" formatCode="0.00000"/>
    <numFmt numFmtId="167" formatCode="[$-F800]dddd\,\ mmmm\ dd\,\ yyyy"/>
    <numFmt numFmtId="168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11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10" fillId="0" borderId="0" xfId="9"/>
    <xf numFmtId="2" fontId="0" fillId="8" borderId="0" xfId="0" applyNumberFormat="1" applyFill="1"/>
    <xf numFmtId="3" fontId="0" fillId="0" borderId="0" xfId="0" applyNumberFormat="1"/>
    <xf numFmtId="0" fontId="0" fillId="9" borderId="0" xfId="0" applyFill="1"/>
    <xf numFmtId="14" fontId="3" fillId="3" borderId="2" xfId="2" applyNumberFormat="1"/>
    <xf numFmtId="167" fontId="5" fillId="4" borderId="2" xfId="4" applyNumberFormat="1"/>
    <xf numFmtId="168" fontId="0" fillId="0" borderId="0" xfId="10" applyNumberFormat="1" applyFont="1"/>
    <xf numFmtId="168" fontId="3" fillId="3" borderId="2" xfId="10" applyNumberFormat="1" applyFont="1" applyFill="1" applyBorder="1"/>
    <xf numFmtId="168" fontId="3" fillId="3" borderId="17" xfId="10" applyNumberFormat="1" applyFont="1" applyFill="1" applyBorder="1"/>
    <xf numFmtId="0" fontId="4" fillId="0" borderId="19" xfId="3" applyBorder="1"/>
    <xf numFmtId="0" fontId="3" fillId="3" borderId="20" xfId="2" applyBorder="1"/>
    <xf numFmtId="0" fontId="3" fillId="3" borderId="21" xfId="2" applyBorder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11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'Comparison-American'!$G$5:$G$21</c:f>
              <c:numCache>
                <c:formatCode>General</c:formatCode>
                <c:ptCount val="17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30.487152647952069</c:v>
                </c:pt>
                <c:pt idx="5">
                  <c:v>22.430820824175672</c:v>
                </c:pt>
                <c:pt idx="6">
                  <c:v>15.853930971233307</c:v>
                </c:pt>
                <c:pt idx="7">
                  <c:v>10.785772502599372</c:v>
                </c:pt>
                <c:pt idx="8">
                  <c:v>7.102541516770799</c:v>
                </c:pt>
                <c:pt idx="9">
                  <c:v>4.5564752177547092</c:v>
                </c:pt>
                <c:pt idx="10">
                  <c:v>2.8649835138199933</c:v>
                </c:pt>
                <c:pt idx="11">
                  <c:v>1.7747808899319608</c:v>
                </c:pt>
                <c:pt idx="12">
                  <c:v>1.0877976643522516</c:v>
                </c:pt>
                <c:pt idx="13">
                  <c:v>0.66194442960889432</c:v>
                </c:pt>
                <c:pt idx="14">
                  <c:v>0.40100452141440712</c:v>
                </c:pt>
                <c:pt idx="15">
                  <c:v>0.24236350083225489</c:v>
                </c:pt>
                <c:pt idx="16">
                  <c:v>0.14639028291574618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B3-4DA8-9841-7A3BFBEFF994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'Comparison-American'!$I$5:$I$21</c:f>
              <c:numCache>
                <c:formatCode>General</c:formatCode>
                <c:ptCount val="17"/>
                <c:pt idx="0">
                  <c:v>70.00000000000118</c:v>
                </c:pt>
                <c:pt idx="1">
                  <c:v>60.00000000000118</c:v>
                </c:pt>
                <c:pt idx="2">
                  <c:v>50.00000000000118</c:v>
                </c:pt>
                <c:pt idx="3">
                  <c:v>40.00000000000118</c:v>
                </c:pt>
                <c:pt idx="4">
                  <c:v>30.498607987378957</c:v>
                </c:pt>
                <c:pt idx="5">
                  <c:v>22.445588153801527</c:v>
                </c:pt>
                <c:pt idx="6">
                  <c:v>15.866713732138688</c:v>
                </c:pt>
                <c:pt idx="7">
                  <c:v>10.787516089465147</c:v>
                </c:pt>
                <c:pt idx="8">
                  <c:v>7.105659637756867</c:v>
                </c:pt>
                <c:pt idx="9">
                  <c:v>4.5560551169431056</c:v>
                </c:pt>
                <c:pt idx="10">
                  <c:v>2.8658896425262248</c:v>
                </c:pt>
                <c:pt idx="11">
                  <c:v>1.7752763323819662</c:v>
                </c:pt>
                <c:pt idx="12">
                  <c:v>1.0859947582280787</c:v>
                </c:pt>
                <c:pt idx="13">
                  <c:v>0.66062760556418976</c:v>
                </c:pt>
                <c:pt idx="14">
                  <c:v>0.39967596050848903</c:v>
                </c:pt>
                <c:pt idx="15">
                  <c:v>0.24169918851687733</c:v>
                </c:pt>
                <c:pt idx="16">
                  <c:v>0.14568502917523413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B3-4DA8-9841-7A3BFBEFF994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'Comparison-American'!$M$5:$M$21</c:f>
              <c:numCache>
                <c:formatCode>General</c:formatCode>
                <c:ptCount val="17"/>
                <c:pt idx="0">
                  <c:v>63.779913678635367</c:v>
                </c:pt>
                <c:pt idx="1">
                  <c:v>55.172840147299368</c:v>
                </c:pt>
                <c:pt idx="2">
                  <c:v>46.567757798347316</c:v>
                </c:pt>
                <c:pt idx="3">
                  <c:v>38.008037548963244</c:v>
                </c:pt>
                <c:pt idx="4">
                  <c:v>29.717343880901694</c:v>
                </c:pt>
                <c:pt idx="5">
                  <c:v>22.146383610307787</c:v>
                </c:pt>
                <c:pt idx="6">
                  <c:v>15.749546206029741</c:v>
                </c:pt>
                <c:pt idx="7">
                  <c:v>10.747330990955795</c:v>
                </c:pt>
                <c:pt idx="8">
                  <c:v>7.0882590547425899</c:v>
                </c:pt>
                <c:pt idx="9">
                  <c:v>4.5511018468385949</c:v>
                </c:pt>
                <c:pt idx="10">
                  <c:v>2.862930735575695</c:v>
                </c:pt>
                <c:pt idx="11">
                  <c:v>1.7739829852483062</c:v>
                </c:pt>
                <c:pt idx="12">
                  <c:v>1.0874817137678168</c:v>
                </c:pt>
                <c:pt idx="13">
                  <c:v>0.66181689423987855</c:v>
                </c:pt>
                <c:pt idx="14">
                  <c:v>0.40095203195998286</c:v>
                </c:pt>
                <c:pt idx="15">
                  <c:v>0.24234147714966259</c:v>
                </c:pt>
                <c:pt idx="16">
                  <c:v>0.14638086539598461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B3-4DA8-9841-7A3BFBEFF994}"/>
            </c:ext>
          </c:extLst>
        </c:ser>
        <c:ser>
          <c:idx val="0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'Comparison-American'!$K$5:$K$21</c:f>
              <c:numCache>
                <c:formatCode>General</c:formatCode>
                <c:ptCount val="17"/>
                <c:pt idx="0">
                  <c:v>69.999999999999986</c:v>
                </c:pt>
                <c:pt idx="1">
                  <c:v>59.999999999999986</c:v>
                </c:pt>
                <c:pt idx="2">
                  <c:v>49.999999999999986</c:v>
                </c:pt>
                <c:pt idx="3">
                  <c:v>39.999999999999986</c:v>
                </c:pt>
                <c:pt idx="4">
                  <c:v>30.498380409808711</c:v>
                </c:pt>
                <c:pt idx="5">
                  <c:v>22.446455528312654</c:v>
                </c:pt>
                <c:pt idx="6">
                  <c:v>15.865993500151173</c:v>
                </c:pt>
                <c:pt idx="7">
                  <c:v>10.789799785481252</c:v>
                </c:pt>
                <c:pt idx="8">
                  <c:v>7.1050671839426629</c:v>
                </c:pt>
                <c:pt idx="9">
                  <c:v>4.5576258454195173</c:v>
                </c:pt>
                <c:pt idx="10">
                  <c:v>2.8641484870550871</c:v>
                </c:pt>
                <c:pt idx="11">
                  <c:v>1.7749433956584808</c:v>
                </c:pt>
                <c:pt idx="12">
                  <c:v>1.0875315364274123</c:v>
                </c:pt>
                <c:pt idx="13">
                  <c:v>0.66035216158533605</c:v>
                </c:pt>
                <c:pt idx="14">
                  <c:v>0.40069869352047782</c:v>
                </c:pt>
                <c:pt idx="15">
                  <c:v>0.24197271431601239</c:v>
                </c:pt>
                <c:pt idx="16">
                  <c:v>0.14601281191060614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3-4DA8-9841-7A3BFBEF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'Comparison-American'!$H$5:$H$21</c:f>
              <c:numCache>
                <c:formatCode>General</c:formatCode>
                <c:ptCount val="17"/>
                <c:pt idx="0">
                  <c:v>9.1802121460204944E-12</c:v>
                </c:pt>
                <c:pt idx="1">
                  <c:v>6.2439020780402643E-6</c:v>
                </c:pt>
                <c:pt idx="2">
                  <c:v>2.0157900578396948E-3</c:v>
                </c:pt>
                <c:pt idx="3">
                  <c:v>5.0063267512371112E-2</c:v>
                </c:pt>
                <c:pt idx="4">
                  <c:v>0.37549289503182592</c:v>
                </c:pt>
                <c:pt idx="5">
                  <c:v>1.4628849085821187</c:v>
                </c:pt>
                <c:pt idx="6">
                  <c:v>3.8462442765554528</c:v>
                </c:pt>
                <c:pt idx="7">
                  <c:v>7.8700177822955482</c:v>
                </c:pt>
                <c:pt idx="8">
                  <c:v>13.629482806088344</c:v>
                </c:pt>
                <c:pt idx="9">
                  <c:v>21.046997807419487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B-46E0-9543-7836A1C0E5E8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'Comparison-American'!$J$5:$J$21</c:f>
              <c:numCache>
                <c:formatCode>General</c:formatCode>
                <c:ptCount val="17"/>
                <c:pt idx="0">
                  <c:v>6.7346288312237292E-12</c:v>
                </c:pt>
                <c:pt idx="1">
                  <c:v>5.8263507221031199E-6</c:v>
                </c:pt>
                <c:pt idx="2">
                  <c:v>2.0164891238280643E-3</c:v>
                </c:pt>
                <c:pt idx="3">
                  <c:v>5.0724140906864779E-2</c:v>
                </c:pt>
                <c:pt idx="4">
                  <c:v>0.38098762630663141</c:v>
                </c:pt>
                <c:pt idx="5">
                  <c:v>1.4797874865549066</c:v>
                </c:pt>
                <c:pt idx="6">
                  <c:v>3.8824119701638331</c:v>
                </c:pt>
                <c:pt idx="7">
                  <c:v>7.9148107175946514</c:v>
                </c:pt>
                <c:pt idx="8">
                  <c:v>13.678926821754601</c:v>
                </c:pt>
                <c:pt idx="9">
                  <c:v>21.091955921688211</c:v>
                </c:pt>
                <c:pt idx="10">
                  <c:v>30.035232694413907</c:v>
                </c:pt>
                <c:pt idx="11">
                  <c:v>39.99999999999882</c:v>
                </c:pt>
                <c:pt idx="12">
                  <c:v>49.99999999999882</c:v>
                </c:pt>
                <c:pt idx="13">
                  <c:v>59.99999999999882</c:v>
                </c:pt>
                <c:pt idx="14">
                  <c:v>69.99999999999882</c:v>
                </c:pt>
                <c:pt idx="15">
                  <c:v>79.99999999999882</c:v>
                </c:pt>
                <c:pt idx="16">
                  <c:v>89.99999999999882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B-46E0-9543-7836A1C0E5E8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'Comparison-American'!$N$5:$N$21</c:f>
              <c:numCache>
                <c:formatCode>General</c:formatCode>
                <c:ptCount val="17"/>
                <c:pt idx="0">
                  <c:v>9.1842814948206544E-12</c:v>
                </c:pt>
                <c:pt idx="1">
                  <c:v>6.2329237730476437E-6</c:v>
                </c:pt>
                <c:pt idx="2">
                  <c:v>2.003648222303353E-3</c:v>
                </c:pt>
                <c:pt idx="3">
                  <c:v>4.9363163088802509E-2</c:v>
                </c:pt>
                <c:pt idx="4">
                  <c:v>0.36574925927782242</c:v>
                </c:pt>
                <c:pt idx="5">
                  <c:v>1.401868752934508</c:v>
                </c:pt>
                <c:pt idx="6">
                  <c:v>3.61211111290703</c:v>
                </c:pt>
                <c:pt idx="7">
                  <c:v>7.2169756620836516</c:v>
                </c:pt>
                <c:pt idx="8">
                  <c:v>12.164983490121045</c:v>
                </c:pt>
                <c:pt idx="9">
                  <c:v>18.234906046467614</c:v>
                </c:pt>
                <c:pt idx="10">
                  <c:v>25.153814699455282</c:v>
                </c:pt>
                <c:pt idx="11">
                  <c:v>32.671946713378489</c:v>
                </c:pt>
                <c:pt idx="12">
                  <c:v>40.592525206148579</c:v>
                </c:pt>
                <c:pt idx="13">
                  <c:v>48.773940150871198</c:v>
                </c:pt>
                <c:pt idx="14">
                  <c:v>57.120155052841895</c:v>
                </c:pt>
                <c:pt idx="15">
                  <c:v>65.568624262282157</c:v>
                </c:pt>
                <c:pt idx="16">
                  <c:v>74.079743414779045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CB-46E0-9543-7836A1C0E5E8}"/>
            </c:ext>
          </c:extLst>
        </c:ser>
        <c:ser>
          <c:idx val="1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'Comparison-American'!$L$5:$L$21</c:f>
              <c:numCache>
                <c:formatCode>General</c:formatCode>
                <c:ptCount val="17"/>
                <c:pt idx="0">
                  <c:v>7.7531407749717081E-12</c:v>
                </c:pt>
                <c:pt idx="1">
                  <c:v>6.1198396917104289E-6</c:v>
                </c:pt>
                <c:pt idx="2">
                  <c:v>2.0202104753871985E-3</c:v>
                </c:pt>
                <c:pt idx="3">
                  <c:v>5.0745317142587704E-2</c:v>
                </c:pt>
                <c:pt idx="4">
                  <c:v>0.38081386927335337</c:v>
                </c:pt>
                <c:pt idx="5">
                  <c:v>1.480431683143093</c:v>
                </c:pt>
                <c:pt idx="6">
                  <c:v>3.8810475580777197</c:v>
                </c:pt>
                <c:pt idx="7">
                  <c:v>7.9151152949034689</c:v>
                </c:pt>
                <c:pt idx="8">
                  <c:v>13.67667721163852</c:v>
                </c:pt>
                <c:pt idx="9">
                  <c:v>21.090392408953964</c:v>
                </c:pt>
                <c:pt idx="10">
                  <c:v>30.037336547675785</c:v>
                </c:pt>
                <c:pt idx="11">
                  <c:v>40.000000000000014</c:v>
                </c:pt>
                <c:pt idx="12">
                  <c:v>50.000000000000014</c:v>
                </c:pt>
                <c:pt idx="13">
                  <c:v>60.000000000000014</c:v>
                </c:pt>
                <c:pt idx="14">
                  <c:v>70.000000000000014</c:v>
                </c:pt>
                <c:pt idx="15">
                  <c:v>80.000000000000014</c:v>
                </c:pt>
                <c:pt idx="16">
                  <c:v>90.000000000000014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B-46E0-9543-7836A1C0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'Comparison-American'!$P$3</c:f>
              <c:strCache>
                <c:ptCount val="1"/>
                <c:pt idx="0">
                  <c:v>Bjerksund Stensland (2002)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'Comparison-American'!$Q$5:$Q$21</c:f>
              <c:numCache>
                <c:formatCode>General</c:formatCode>
                <c:ptCount val="17"/>
                <c:pt idx="0">
                  <c:v>3.335177460144223E-4</c:v>
                </c:pt>
                <c:pt idx="1">
                  <c:v>4.5456678892776381E-2</c:v>
                </c:pt>
                <c:pt idx="2">
                  <c:v>0.35505451568060664</c:v>
                </c:pt>
                <c:pt idx="3">
                  <c:v>1.3714112161997178</c:v>
                </c:pt>
                <c:pt idx="4">
                  <c:v>3.5533683946349583</c:v>
                </c:pt>
                <c:pt idx="5">
                  <c:v>5.489098402517925</c:v>
                </c:pt>
                <c:pt idx="6">
                  <c:v>7.1597639755190912</c:v>
                </c:pt>
                <c:pt idx="7">
                  <c:v>8.6069710414120095</c:v>
                </c:pt>
                <c:pt idx="8">
                  <c:v>9.8690906190489329</c:v>
                </c:pt>
                <c:pt idx="9">
                  <c:v>10.976626329711749</c:v>
                </c:pt>
                <c:pt idx="10">
                  <c:v>11.953580710569064</c:v>
                </c:pt>
                <c:pt idx="11">
                  <c:v>12.819088931134925</c:v>
                </c:pt>
                <c:pt idx="12">
                  <c:v>13.588657407426926</c:v>
                </c:pt>
                <c:pt idx="13">
                  <c:v>14.275042748570662</c:v>
                </c:pt>
                <c:pt idx="14">
                  <c:v>14.888875484549732</c:v>
                </c:pt>
                <c:pt idx="15">
                  <c:v>15.43911053354682</c:v>
                </c:pt>
                <c:pt idx="16">
                  <c:v>15.933359702623587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A-478F-B6DC-78E38551B400}"/>
            </c:ext>
          </c:extLst>
        </c:ser>
        <c:ser>
          <c:idx val="1"/>
          <c:order val="1"/>
          <c:tx>
            <c:strRef>
              <c:f>'Comparison-American'!$S$3</c:f>
              <c:strCache>
                <c:ptCount val="1"/>
                <c:pt idx="0">
                  <c:v>Binomial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'Comparison-American'!$S$5:$S$21</c:f>
              <c:numCache>
                <c:formatCode>General</c:formatCode>
                <c:ptCount val="17"/>
                <c:pt idx="0">
                  <c:v>3.2540922869439743E-4</c:v>
                </c:pt>
                <c:pt idx="1">
                  <c:v>4.5078317313361912E-2</c:v>
                </c:pt>
                <c:pt idx="2">
                  <c:v>0.35501734744452784</c:v>
                </c:pt>
                <c:pt idx="3">
                  <c:v>1.372410174366212</c:v>
                </c:pt>
                <c:pt idx="4">
                  <c:v>3.553605543926504</c:v>
                </c:pt>
                <c:pt idx="5">
                  <c:v>5.4921344238709562</c:v>
                </c:pt>
                <c:pt idx="6">
                  <c:v>7.1670978039002691</c:v>
                </c:pt>
                <c:pt idx="7">
                  <c:v>8.6208685977530592</c:v>
                </c:pt>
                <c:pt idx="8">
                  <c:v>9.8784238870998458</c:v>
                </c:pt>
                <c:pt idx="9">
                  <c:v>10.994300133623087</c:v>
                </c:pt>
                <c:pt idx="10">
                  <c:v>11.974898991092967</c:v>
                </c:pt>
                <c:pt idx="11">
                  <c:v>12.836107576563149</c:v>
                </c:pt>
                <c:pt idx="12">
                  <c:v>13.602428476058812</c:v>
                </c:pt>
                <c:pt idx="13">
                  <c:v>14.295498438240386</c:v>
                </c:pt>
                <c:pt idx="14">
                  <c:v>14.911991152854359</c:v>
                </c:pt>
                <c:pt idx="15">
                  <c:v>15.462162648753464</c:v>
                </c:pt>
                <c:pt idx="16">
                  <c:v>15.954537142435116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A-478F-B6DC-78E38551B400}"/>
            </c:ext>
          </c:extLst>
        </c:ser>
        <c:ser>
          <c:idx val="2"/>
          <c:order val="2"/>
          <c:tx>
            <c:strRef>
              <c:f>'Comparison-American'!$W$3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'Comparison-American'!$W$5:$W$21</c:f>
              <c:numCache>
                <c:formatCode>General</c:formatCode>
                <c:ptCount val="17"/>
                <c:pt idx="0">
                  <c:v>3.2878225846039481E-4</c:v>
                </c:pt>
                <c:pt idx="1">
                  <c:v>4.5362907552770448E-2</c:v>
                </c:pt>
                <c:pt idx="2">
                  <c:v>0.35446037434305855</c:v>
                </c:pt>
                <c:pt idx="3">
                  <c:v>1.3717766118614212</c:v>
                </c:pt>
                <c:pt idx="4">
                  <c:v>3.5552974923851526</c:v>
                </c:pt>
                <c:pt idx="5">
                  <c:v>5.4919312685658506</c:v>
                </c:pt>
                <c:pt idx="6">
                  <c:v>7.1659504190710379</c:v>
                </c:pt>
                <c:pt idx="7">
                  <c:v>8.6155333627550021</c:v>
                </c:pt>
                <c:pt idx="8">
                  <c:v>9.8821952981193775</c:v>
                </c:pt>
                <c:pt idx="9">
                  <c:v>10.9937639191799</c:v>
                </c:pt>
                <c:pt idx="10">
                  <c:v>11.971555048494547</c:v>
                </c:pt>
                <c:pt idx="11">
                  <c:v>12.836507128490545</c:v>
                </c:pt>
                <c:pt idx="12">
                  <c:v>13.610353346017032</c:v>
                </c:pt>
                <c:pt idx="13">
                  <c:v>14.296489058553618</c:v>
                </c:pt>
                <c:pt idx="14">
                  <c:v>14.907287728066489</c:v>
                </c:pt>
                <c:pt idx="15">
                  <c:v>15.457808393273426</c:v>
                </c:pt>
                <c:pt idx="16">
                  <c:v>15.954057435044053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A-478F-B6DC-78E38551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22</xdr:row>
      <xdr:rowOff>23811</xdr:rowOff>
    </xdr:from>
    <xdr:to>
      <xdr:col>9</xdr:col>
      <xdr:colOff>352425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4B7B1-CA75-49A6-B835-E3835E80D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22</xdr:row>
      <xdr:rowOff>19050</xdr:rowOff>
    </xdr:from>
    <xdr:to>
      <xdr:col>17</xdr:col>
      <xdr:colOff>533400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3ABC5-B811-4370-A477-9D02599CB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114300</xdr:colOff>
      <xdr:row>22</xdr:row>
      <xdr:rowOff>47625</xdr:rowOff>
    </xdr:from>
    <xdr:to>
      <xdr:col>25</xdr:col>
      <xdr:colOff>276225</xdr:colOff>
      <xdr:row>36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6B1E0-A638-43CB-8014-6DA013DA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N56"/>
  <sheetViews>
    <sheetView workbookViewId="0">
      <selection activeCell="I33" sqref="I33"/>
    </sheetView>
  </sheetViews>
  <sheetFormatPr defaultRowHeight="15" x14ac:dyDescent="0.25"/>
  <cols>
    <col min="2" max="2" width="21.28515625" bestFit="1" customWidth="1"/>
    <col min="3" max="3" width="36.28515625" bestFit="1" customWidth="1"/>
    <col min="4" max="4" width="11.85546875" customWidth="1"/>
    <col min="7" max="7" width="24.85546875" customWidth="1"/>
    <col min="8" max="8" width="12.5703125" customWidth="1"/>
    <col min="11" max="11" width="12.85546875" bestFit="1" customWidth="1"/>
    <col min="14" max="14" width="15.28515625" bestFit="1" customWidth="1"/>
  </cols>
  <sheetData>
    <row r="2" spans="2:10" ht="15.75" thickBot="1" x14ac:dyDescent="0.3">
      <c r="B2" s="3" t="s">
        <v>4</v>
      </c>
      <c r="C2" s="3"/>
      <c r="H2" t="s">
        <v>157</v>
      </c>
      <c r="J2" s="3" t="s">
        <v>158</v>
      </c>
    </row>
    <row r="3" spans="2:10" x14ac:dyDescent="0.25">
      <c r="B3" t="s">
        <v>6</v>
      </c>
      <c r="C3" s="6">
        <f>_xll.acq_excel_version()</f>
        <v>16</v>
      </c>
      <c r="G3" t="s">
        <v>153</v>
      </c>
      <c r="H3" s="5">
        <f>PI()</f>
        <v>3.1415926535897931</v>
      </c>
      <c r="J3" s="6" t="str">
        <f>_xll.acq_tostring(H3)</f>
        <v>3.14159265358979</v>
      </c>
    </row>
    <row r="4" spans="2:10" x14ac:dyDescent="0.25">
      <c r="B4" t="s">
        <v>7</v>
      </c>
      <c r="C4" s="6" t="str">
        <f>_xll.acq_version()</f>
        <v>1.3.8029.27023</v>
      </c>
      <c r="G4" t="s">
        <v>1</v>
      </c>
      <c r="H4" s="48">
        <f ca="1">TODAY()</f>
        <v>44555</v>
      </c>
      <c r="J4" s="49" t="str">
        <f ca="1">_xll.acq_tostring(H4)</f>
        <v>44555</v>
      </c>
    </row>
    <row r="5" spans="2:10" x14ac:dyDescent="0.25">
      <c r="B5" t="s">
        <v>5</v>
      </c>
      <c r="C5" s="6" t="str">
        <f>_xll.acq_xllpath()</f>
        <v>D:\Github\ACQ\Distribution\ACQ64.xll</v>
      </c>
      <c r="G5" t="s">
        <v>154</v>
      </c>
      <c r="H5" s="5" t="b">
        <v>1</v>
      </c>
      <c r="J5" s="6" t="str">
        <f>_xll.acq_tostring(H5)</f>
        <v>TRUE</v>
      </c>
    </row>
    <row r="6" spans="2:10" x14ac:dyDescent="0.25">
      <c r="B6" t="s">
        <v>8</v>
      </c>
      <c r="C6" s="6" t="str">
        <f>_xll.acq_exceldna_version()</f>
        <v>1.1.0.3</v>
      </c>
      <c r="G6" t="s">
        <v>111</v>
      </c>
      <c r="H6" s="5" t="e">
        <f>SQRT(-1)</f>
        <v>#NUM!</v>
      </c>
      <c r="J6" s="6" t="str">
        <f>_xll.acq_tostring(H6)</f>
        <v/>
      </c>
    </row>
    <row r="7" spans="2:10" x14ac:dyDescent="0.25">
      <c r="B7" t="s">
        <v>12</v>
      </c>
      <c r="C7" s="6" t="str">
        <f>_xll.acq_dotnet_version()</f>
        <v>4.0.30319.42000</v>
      </c>
      <c r="G7" t="s">
        <v>155</v>
      </c>
      <c r="H7" s="5"/>
      <c r="J7" s="6" t="str">
        <f>_xll.acq_tostring(H7)</f>
        <v/>
      </c>
    </row>
    <row r="8" spans="2:10" x14ac:dyDescent="0.25">
      <c r="G8" t="s">
        <v>111</v>
      </c>
      <c r="H8" s="5" t="e">
        <f ca="1">DS()</f>
        <v>#NAME?</v>
      </c>
      <c r="J8" s="6" t="str">
        <f ca="1">_xll.acq_tostring(H8)</f>
        <v/>
      </c>
    </row>
    <row r="9" spans="2:10" ht="15.75" thickBot="1" x14ac:dyDescent="0.3">
      <c r="B9" s="3" t="s">
        <v>10</v>
      </c>
      <c r="C9" s="3"/>
      <c r="G9" t="s">
        <v>156</v>
      </c>
      <c r="H9" s="5" t="e">
        <f>NA()</f>
        <v>#N/A</v>
      </c>
      <c r="J9" s="6" t="str">
        <f>_xll.acq_tostring(H9)</f>
        <v/>
      </c>
    </row>
    <row r="10" spans="2:10" x14ac:dyDescent="0.25">
      <c r="B10" t="s">
        <v>11</v>
      </c>
      <c r="C10" s="2" t="s">
        <v>9</v>
      </c>
      <c r="G10" t="s">
        <v>159</v>
      </c>
      <c r="H10" s="5" t="e">
        <f>LOOKUP(H3,)</f>
        <v>#VALUE!</v>
      </c>
      <c r="J10" s="6" t="str">
        <f>_xll.acq_tostring(H10)</f>
        <v/>
      </c>
    </row>
    <row r="11" spans="2:10" x14ac:dyDescent="0.25">
      <c r="B11" t="s">
        <v>13</v>
      </c>
      <c r="C11" s="2" t="s">
        <v>14</v>
      </c>
    </row>
    <row r="13" spans="2:10" ht="15.75" thickBot="1" x14ac:dyDescent="0.3">
      <c r="G13" s="3" t="s">
        <v>151</v>
      </c>
      <c r="H13" t="str">
        <f ca="1">_xll.acq_join(H3:H10)</f>
        <v>3.14159265358979,44555,True,,,,,</v>
      </c>
    </row>
    <row r="14" spans="2:10" ht="15.75" thickBot="1" x14ac:dyDescent="0.3">
      <c r="G14" s="3" t="s">
        <v>151</v>
      </c>
      <c r="H14" t="str">
        <f ca="1">_xll.acq_join(J3:J10, "|")</f>
        <v>3.14159265358979|44555|TRUE|||||</v>
      </c>
    </row>
    <row r="15" spans="2:10" ht="15.75" thickBot="1" x14ac:dyDescent="0.3">
      <c r="G15" s="3" t="s">
        <v>160</v>
      </c>
      <c r="H15">
        <f ca="1">_xll.acq_count_unique(H3:H10)</f>
        <v>4</v>
      </c>
    </row>
    <row r="16" spans="2:10" ht="15.75" thickBot="1" x14ac:dyDescent="0.3">
      <c r="G16" s="3" t="s">
        <v>160</v>
      </c>
      <c r="H16">
        <f ca="1">_xll.acq_count_unique(H3:H10,FALSE)</f>
        <v>8</v>
      </c>
    </row>
    <row r="17" spans="2:14" ht="15.75" thickBot="1" x14ac:dyDescent="0.3">
      <c r="B17" s="3" t="s">
        <v>3</v>
      </c>
      <c r="C17" s="3"/>
    </row>
    <row r="18" spans="2:14" x14ac:dyDescent="0.25">
      <c r="B18" s="1" t="s">
        <v>1</v>
      </c>
      <c r="C18" s="5">
        <v>20150630</v>
      </c>
    </row>
    <row r="19" spans="2:14" ht="15.75" thickBot="1" x14ac:dyDescent="0.3">
      <c r="B19" s="1" t="s">
        <v>2</v>
      </c>
      <c r="C19" s="4">
        <f>_xll.acq_convert_todate(C18)</f>
        <v>42185</v>
      </c>
      <c r="G19" s="19"/>
      <c r="H19" s="53" t="s">
        <v>174</v>
      </c>
      <c r="J19" s="19"/>
      <c r="K19" s="53" t="s">
        <v>175</v>
      </c>
      <c r="M19" s="19" t="s">
        <v>177</v>
      </c>
      <c r="N19" s="53" t="s">
        <v>176</v>
      </c>
    </row>
    <row r="20" spans="2:14" x14ac:dyDescent="0.25">
      <c r="B20" s="1" t="s">
        <v>149</v>
      </c>
      <c r="C20" s="4">
        <f>_xll.acq_nextbusinessday(C19)</f>
        <v>42186</v>
      </c>
      <c r="G20" s="54">
        <v>0</v>
      </c>
      <c r="H20" s="22" t="b">
        <f>_xll.acq_isprime(G20)</f>
        <v>0</v>
      </c>
      <c r="J20" s="54">
        <v>1</v>
      </c>
      <c r="K20" s="22" t="b">
        <f>_xll.acq_isinteger(J20)</f>
        <v>1</v>
      </c>
      <c r="M20" s="33">
        <v>1992</v>
      </c>
      <c r="N20" s="22" t="b">
        <f>_xll.acq_isleap_year(M20)</f>
        <v>1</v>
      </c>
    </row>
    <row r="21" spans="2:14" x14ac:dyDescent="0.25">
      <c r="B21" s="1" t="s">
        <v>150</v>
      </c>
      <c r="C21" s="4">
        <f>_xll.acq_adjustbusinessday(C19,-1)</f>
        <v>42185</v>
      </c>
      <c r="G21" s="54">
        <v>1</v>
      </c>
      <c r="H21" s="22" t="b">
        <f>_xll.acq_isprime(G21)</f>
        <v>0</v>
      </c>
      <c r="J21" s="54">
        <f>PI()</f>
        <v>3.1415926535897931</v>
      </c>
      <c r="K21" s="22" t="b">
        <f>_xll.acq_isinteger(J21)</f>
        <v>0</v>
      </c>
      <c r="M21" s="33">
        <v>2000</v>
      </c>
      <c r="N21" s="22" t="b">
        <f>_xll.acq_isleap_year(M21)</f>
        <v>1</v>
      </c>
    </row>
    <row r="22" spans="2:14" x14ac:dyDescent="0.25">
      <c r="G22" s="54">
        <v>2</v>
      </c>
      <c r="H22" s="22" t="b">
        <f>_xll.acq_isprime(G22)</f>
        <v>1</v>
      </c>
      <c r="J22" s="54" t="str">
        <f>"text"</f>
        <v>text</v>
      </c>
      <c r="K22" s="22" t="b">
        <f>_xll.acq_isinteger(J22)</f>
        <v>0</v>
      </c>
      <c r="M22" s="33">
        <v>1900</v>
      </c>
      <c r="N22" s="22" t="b">
        <f>_xll.acq_isleap_year(M22)</f>
        <v>0</v>
      </c>
    </row>
    <row r="23" spans="2:14" x14ac:dyDescent="0.25">
      <c r="G23" s="54">
        <v>3</v>
      </c>
      <c r="H23" s="22" t="b">
        <f>_xll.acq_isprime(G23)</f>
        <v>1</v>
      </c>
      <c r="J23" s="54" t="str">
        <f>"3.14"</f>
        <v>3.14</v>
      </c>
      <c r="K23" s="22" t="b">
        <f>_xll.acq_isinteger(J23)</f>
        <v>0</v>
      </c>
      <c r="M23" s="33">
        <v>1700</v>
      </c>
      <c r="N23" s="22" t="b">
        <f>_xll.acq_isleap_year(M23)</f>
        <v>0</v>
      </c>
    </row>
    <row r="24" spans="2:14" x14ac:dyDescent="0.25">
      <c r="G24" s="54">
        <v>4</v>
      </c>
      <c r="H24" s="22" t="b">
        <f>_xll.acq_isprime(G24)</f>
        <v>0</v>
      </c>
      <c r="J24" s="54" t="str">
        <f>"3"</f>
        <v>3</v>
      </c>
      <c r="K24" s="22" t="b">
        <f>_xll.acq_isinteger(J24)</f>
        <v>1</v>
      </c>
      <c r="M24" s="33">
        <v>1800</v>
      </c>
      <c r="N24" s="22" t="b">
        <f>_xll.acq_isleap_year(M24)</f>
        <v>0</v>
      </c>
    </row>
    <row r="25" spans="2:14" x14ac:dyDescent="0.25">
      <c r="G25" s="54">
        <v>5</v>
      </c>
      <c r="H25" s="22" t="b">
        <f>_xll.acq_isprime(G25)</f>
        <v>1</v>
      </c>
      <c r="J25" s="54" t="str">
        <f>"3.00"</f>
        <v>3.00</v>
      </c>
      <c r="K25" s="22" t="b">
        <f>_xll.acq_isinteger(J25)</f>
        <v>1</v>
      </c>
      <c r="M25" s="33">
        <v>1900</v>
      </c>
      <c r="N25" s="22" t="b">
        <f>_xll.acq_isleap_year(M25)</f>
        <v>0</v>
      </c>
    </row>
    <row r="26" spans="2:14" x14ac:dyDescent="0.25">
      <c r="G26" s="54">
        <v>6</v>
      </c>
      <c r="H26" s="22" t="b">
        <f>_xll.acq_isprime(G26)</f>
        <v>0</v>
      </c>
      <c r="J26" s="54">
        <v>2</v>
      </c>
      <c r="K26" s="22" t="b">
        <f>_xll.acq_isinteger(J26)</f>
        <v>1</v>
      </c>
      <c r="M26" s="33">
        <v>2100</v>
      </c>
      <c r="N26" s="22" t="b">
        <f>_xll.acq_isleap_year(M26)</f>
        <v>0</v>
      </c>
    </row>
    <row r="27" spans="2:14" x14ac:dyDescent="0.25">
      <c r="G27" s="55">
        <v>7</v>
      </c>
      <c r="H27" s="24" t="b">
        <f>_xll.acq_isprime(G27)</f>
        <v>1</v>
      </c>
      <c r="J27" s="55">
        <v>8</v>
      </c>
      <c r="K27" s="24" t="b">
        <f>_xll.acq_isinteger(J27)</f>
        <v>1</v>
      </c>
      <c r="M27" s="33">
        <v>2200</v>
      </c>
      <c r="N27" s="22" t="b">
        <f>_xll.acq_isleap_year(M27)</f>
        <v>0</v>
      </c>
    </row>
    <row r="28" spans="2:14" x14ac:dyDescent="0.25">
      <c r="G28" s="55">
        <v>7.2</v>
      </c>
      <c r="H28" s="24" t="b">
        <f>_xll.acq_isprime(G28)</f>
        <v>0</v>
      </c>
      <c r="M28" s="33">
        <v>2300</v>
      </c>
      <c r="N28" s="22" t="b">
        <f>_xll.acq_isleap_year(M28)</f>
        <v>0</v>
      </c>
    </row>
    <row r="29" spans="2:14" x14ac:dyDescent="0.25">
      <c r="M29" s="33">
        <v>2500</v>
      </c>
      <c r="N29" s="22" t="b">
        <f>_xll.acq_isleap_year(M29)</f>
        <v>0</v>
      </c>
    </row>
    <row r="30" spans="2:14" x14ac:dyDescent="0.25">
      <c r="M30" s="33">
        <v>2600</v>
      </c>
      <c r="N30" s="22" t="b">
        <f>_xll.acq_isleap_year(M30)</f>
        <v>0</v>
      </c>
    </row>
    <row r="31" spans="2:14" x14ac:dyDescent="0.25">
      <c r="M31" s="33">
        <v>1600</v>
      </c>
      <c r="N31" s="22" t="b">
        <f>_xll.acq_isleap_year(M31)</f>
        <v>1</v>
      </c>
    </row>
    <row r="32" spans="2:14" x14ac:dyDescent="0.25">
      <c r="M32" s="33">
        <v>2000</v>
      </c>
      <c r="N32" s="22" t="b">
        <f>_xll.acq_isleap_year(M32)</f>
        <v>1</v>
      </c>
    </row>
    <row r="33" spans="7:14" x14ac:dyDescent="0.25">
      <c r="G33" s="12"/>
      <c r="M33" s="33">
        <v>2400</v>
      </c>
      <c r="N33" s="22" t="b">
        <f>_xll.acq_isleap_year(M33)</f>
        <v>1</v>
      </c>
    </row>
    <row r="34" spans="7:14" x14ac:dyDescent="0.25">
      <c r="G34" s="12"/>
      <c r="M34" s="33">
        <v>23.4</v>
      </c>
      <c r="N34" s="22" t="e">
        <f>_xll.acq_isleap_year(M34)</f>
        <v>#VALUE!</v>
      </c>
    </row>
    <row r="35" spans="7:14" x14ac:dyDescent="0.25">
      <c r="G35" s="12"/>
      <c r="M35" s="33">
        <v>2000</v>
      </c>
      <c r="N35" s="22" t="b">
        <f>_xll.acq_isleap_year(M35)</f>
        <v>1</v>
      </c>
    </row>
    <row r="36" spans="7:14" x14ac:dyDescent="0.25">
      <c r="G36" s="12"/>
      <c r="M36" s="33">
        <v>2001</v>
      </c>
      <c r="N36" s="22" t="b">
        <f>_xll.acq_isleap_year(M36)</f>
        <v>0</v>
      </c>
    </row>
    <row r="37" spans="7:14" x14ac:dyDescent="0.25">
      <c r="G37" s="12"/>
      <c r="M37" s="33">
        <v>2002</v>
      </c>
      <c r="N37" s="22" t="b">
        <f>_xll.acq_isleap_year(M37)</f>
        <v>0</v>
      </c>
    </row>
    <row r="38" spans="7:14" x14ac:dyDescent="0.25">
      <c r="G38" s="12"/>
      <c r="M38" s="33">
        <v>2003</v>
      </c>
      <c r="N38" s="22" t="b">
        <f>_xll.acq_isleap_year(M38)</f>
        <v>0</v>
      </c>
    </row>
    <row r="39" spans="7:14" x14ac:dyDescent="0.25">
      <c r="G39" s="12"/>
      <c r="M39" s="33">
        <v>2004</v>
      </c>
      <c r="N39" s="22" t="b">
        <f>_xll.acq_isleap_year(M39)</f>
        <v>1</v>
      </c>
    </row>
    <row r="40" spans="7:14" x14ac:dyDescent="0.25">
      <c r="G40" s="12"/>
      <c r="M40" s="33">
        <v>2005</v>
      </c>
      <c r="N40" s="22" t="b">
        <f>_xll.acq_isleap_year(M40)</f>
        <v>0</v>
      </c>
    </row>
    <row r="41" spans="7:14" x14ac:dyDescent="0.25">
      <c r="M41" s="33">
        <v>2006</v>
      </c>
      <c r="N41" s="22" t="b">
        <f>_xll.acq_isleap_year(M41)</f>
        <v>0</v>
      </c>
    </row>
    <row r="42" spans="7:14" x14ac:dyDescent="0.25">
      <c r="M42" s="33">
        <v>2007</v>
      </c>
      <c r="N42" s="22" t="b">
        <f>_xll.acq_isleap_year(M42)</f>
        <v>0</v>
      </c>
    </row>
    <row r="43" spans="7:14" x14ac:dyDescent="0.25">
      <c r="M43" s="33">
        <v>2008</v>
      </c>
      <c r="N43" s="22" t="b">
        <f>_xll.acq_isleap_year(M43)</f>
        <v>1</v>
      </c>
    </row>
    <row r="44" spans="7:14" x14ac:dyDescent="0.25">
      <c r="M44" s="33">
        <v>2009</v>
      </c>
      <c r="N44" s="22" t="b">
        <f>_xll.acq_isleap_year(M44)</f>
        <v>0</v>
      </c>
    </row>
    <row r="45" spans="7:14" x14ac:dyDescent="0.25">
      <c r="M45" s="33">
        <v>2010</v>
      </c>
      <c r="N45" s="22" t="b">
        <f>_xll.acq_isleap_year(M45)</f>
        <v>0</v>
      </c>
    </row>
    <row r="46" spans="7:14" x14ac:dyDescent="0.25">
      <c r="M46" s="33">
        <v>2011</v>
      </c>
      <c r="N46" s="22" t="b">
        <f>_xll.acq_isleap_year(M46)</f>
        <v>0</v>
      </c>
    </row>
    <row r="47" spans="7:14" x14ac:dyDescent="0.25">
      <c r="M47" s="33">
        <v>2012</v>
      </c>
      <c r="N47" s="22" t="b">
        <f>_xll.acq_isleap_year(M47)</f>
        <v>1</v>
      </c>
    </row>
    <row r="48" spans="7:14" x14ac:dyDescent="0.25">
      <c r="M48" s="33">
        <v>2013</v>
      </c>
      <c r="N48" s="22" t="b">
        <f>_xll.acq_isleap_year(M48)</f>
        <v>0</v>
      </c>
    </row>
    <row r="49" spans="13:14" x14ac:dyDescent="0.25">
      <c r="M49" s="33">
        <v>2014</v>
      </c>
      <c r="N49" s="22" t="b">
        <f>_xll.acq_isleap_year(M49)</f>
        <v>0</v>
      </c>
    </row>
    <row r="50" spans="13:14" x14ac:dyDescent="0.25">
      <c r="M50" s="33">
        <v>2015</v>
      </c>
      <c r="N50" s="22" t="b">
        <f>_xll.acq_isleap_year(M50)</f>
        <v>0</v>
      </c>
    </row>
    <row r="51" spans="13:14" x14ac:dyDescent="0.25">
      <c r="M51" s="33">
        <v>2016</v>
      </c>
      <c r="N51" s="22" t="b">
        <f>_xll.acq_isleap_year(M51)</f>
        <v>1</v>
      </c>
    </row>
    <row r="52" spans="13:14" x14ac:dyDescent="0.25">
      <c r="M52" s="33">
        <v>2017</v>
      </c>
      <c r="N52" s="22" t="b">
        <f>_xll.acq_isleap_year(M52)</f>
        <v>0</v>
      </c>
    </row>
    <row r="53" spans="13:14" x14ac:dyDescent="0.25">
      <c r="M53" s="33">
        <v>2018</v>
      </c>
      <c r="N53" s="22" t="b">
        <f>_xll.acq_isleap_year(M53)</f>
        <v>0</v>
      </c>
    </row>
    <row r="54" spans="13:14" x14ac:dyDescent="0.25">
      <c r="M54" s="33">
        <v>2019</v>
      </c>
      <c r="N54" s="22" t="b">
        <f>_xll.acq_isleap_year(M54)</f>
        <v>0</v>
      </c>
    </row>
    <row r="55" spans="13:14" x14ac:dyDescent="0.25">
      <c r="M55" s="33">
        <v>2020</v>
      </c>
      <c r="N55" s="22" t="b">
        <f>_xll.acq_isleap_year(M55)</f>
        <v>1</v>
      </c>
    </row>
    <row r="56" spans="13:14" x14ac:dyDescent="0.25">
      <c r="M56" s="34">
        <v>2021</v>
      </c>
      <c r="N56" s="24" t="b">
        <f>_xll.acq_isleap_year(M56)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tabSelected="1" workbookViewId="0">
      <selection activeCell="AH43" sqref="AH43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7" t="s">
        <v>129</v>
      </c>
      <c r="B1" s="57"/>
      <c r="C1" s="57"/>
      <c r="D1" s="57"/>
    </row>
    <row r="2" spans="1:43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_xll.acq_options_black_greeks(AC$3,$AB5,$C$5,$C$6,$C$8,$C$7,$C$9)</f>
        <v>15.519036627414497</v>
      </c>
      <c r="AD5" s="13">
        <f>_xll.acq_options_black_greeks(AD$3,$AB5,$C$5,$C$6,$C$8,$C$7,$C$9)</f>
        <v>-0.50257071403175657</v>
      </c>
      <c r="AE5" s="13">
        <f>_xll.acq_options_black_greeks(AE$3,$AB5,$C$5,$C$6,$C$8,$C$7,$C$9)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3">
        <f>_xll.acq_options_black_greeks(AC$3,$AB6,$C$5,$C$6,$C$8,$C$7,$C$9)</f>
        <v>15.518986370404006</v>
      </c>
      <c r="AD6" s="13">
        <f>_xll.acq_options_black_greeks(AD$3,$AB6,$C$5,$C$6,$C$8,$C$7,$C$9)</f>
        <v>-0.50256949581167554</v>
      </c>
      <c r="AE6" s="13">
        <f>_xll.acq_options_black_greeks(AE$3,$AB6,$C$5,$C$6,$C$8,$C$7,$C$9)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_xll.acq_options_black_greeks(AC$3,$AB7,$C$5,$C$6,$C$8,$C$7,$C$9)</f>
        <v>15.518936113515325</v>
      </c>
      <c r="AD7" s="13">
        <f>_xll.acq_options_black_greeks(AD$3,$AB7,$C$5,$C$6,$C$8,$C$7,$C$9)</f>
        <v>-0.50256827759219869</v>
      </c>
      <c r="AE7" s="13">
        <f>_xll.acq_options_black_greeks(AE$3,$AB7,$C$5,$C$6,$C$8,$C$7,$C$9)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5">
        <f>AD6-AD9</f>
        <v>3.1002755918052571E-11</v>
      </c>
      <c r="AE10" s="35">
        <f>AE6-AE9</f>
        <v>1.186034878804948E-6</v>
      </c>
      <c r="AF10" s="35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 s="47">
        <v>90</v>
      </c>
      <c r="G12" s="47">
        <f>_xll.acq_options_black_price($C$4,F12,$C$6,$C$8,$C$7,TRUE)</f>
        <v>9.9783611447713145</v>
      </c>
      <c r="H12" s="47">
        <f>_xll.acq_options_black_price($C$4,F12,$C$6,$C$8,$C$7,FALSE)</f>
        <v>9.9783611447713145</v>
      </c>
      <c r="I12" s="47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 s="13">
        <f>_xll.acq_options_black_greeks(AC$14,$C$4,$C$5,$C$6,$C$8,$AB16)</f>
        <v>15.514052686458282</v>
      </c>
      <c r="AD16" s="13">
        <f>_xll.acq_options_black_greeks(AD$14,$C$4,$C$5,$C$6,$C$8,$AB16)</f>
        <v>49.335777146424881</v>
      </c>
      <c r="AE16" s="13">
        <f>_xll.acq_options_black_greeks(AE$14,$C$4,$C$5,$C$6,$C$8,AC16)</f>
        <v>-1.1070078009949605E-30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56" t="s">
        <v>108</v>
      </c>
      <c r="T17" s="56"/>
      <c r="U17" s="56"/>
      <c r="V17" s="56"/>
      <c r="W17" s="56"/>
      <c r="X17" s="56"/>
      <c r="Y17" s="56"/>
      <c r="Z17" s="56"/>
      <c r="AB17" s="16">
        <f>C7</f>
        <v>0.2</v>
      </c>
      <c r="AC17" s="13">
        <f>_xll.acq_options_black_greeks(AC$14,$C$4,$C$5,$C$6,$C$8,$AB17)</f>
        <v>15.518986370404006</v>
      </c>
      <c r="AD17" s="13">
        <f>_xll.acq_options_black_greeks(AD$14,$C$4,$C$5,$C$6,$C$8,$AB17)</f>
        <v>49.3379010466398</v>
      </c>
      <c r="AE17" s="13">
        <f>_xll.acq_options_black_greeks(AE$14,$C$4,$C$5,$C$6,$C$8,$AB17)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 s="13">
        <f>_xll.acq_options_black_greeks(AC$14,$C$4,$C$5,$C$6,$C$8,$AB18)</f>
        <v>15.523920266523435</v>
      </c>
      <c r="AD18" s="13">
        <f>_xll.acq_options_black_greeks(AD$14,$C$4,$C$5,$C$6,$C$8,$AB18)</f>
        <v>49.340020622044484</v>
      </c>
      <c r="AE18" s="13">
        <f>_xll.acq_options_black_greeks(AE$14,$C$4,$C$5,$C$6,$C$8,$AB18)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5">
        <f>AD17-AD20</f>
        <v>7.2086890412492721E-7</v>
      </c>
      <c r="AE21" s="35">
        <f>AE17-AE20</f>
        <v>-5.0896470042971487E-6</v>
      </c>
      <c r="AF21" s="35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 s="13">
        <f>_xll.acq_options_black_greeks(AC$25,$C$4,$C$5,$C$6,$AB27,$C$7,$C$9)</f>
        <v>15.522866602005347</v>
      </c>
      <c r="AD27" s="13">
        <f>_xll.acq_options_black_greeks(AD$25,$C$4,$C$5,$C$6,$AB27,$C$7,$C$9)</f>
        <v>-38.80716650501337</v>
      </c>
      <c r="AE27" s="13"/>
      <c r="AF27" s="15">
        <f>AF28-AG31</f>
        <v>2.4998999999999998</v>
      </c>
      <c r="AG27" s="13">
        <f>_xll.acq_options_black_greeks(AG$25,$C$4,$C$5,$AF27,$C$8,$C$7,$C$9)</f>
        <v>15.518866611135088</v>
      </c>
      <c r="AH27" s="13">
        <f>_xll.acq_options_black_greeks(AH$25,$C$4,$C$5,$AF27,$C$8,$C$7,$C$9)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3">
        <f>_xll.acq_options_black_greeks(AC$25,$C$4,$C$5,$C$6,$AB28,$C$7,$C$9)</f>
        <v>15.518986370404006</v>
      </c>
      <c r="AD28" s="13">
        <f>_xll.acq_options_black_greeks(AD$25,$C$4,$C$5,$C$6,$AB28,$C$7,$C$9)</f>
        <v>-38.797465926010013</v>
      </c>
      <c r="AE28" s="13"/>
      <c r="AF28" s="16">
        <f>C6</f>
        <v>2.5</v>
      </c>
      <c r="AG28" s="13">
        <f>_xll.acq_options_black_greeks(AG$25,$C$4,$C$5,$AF28,$C$8,$C$7,$C$9)</f>
        <v>15.518986370404006</v>
      </c>
      <c r="AH28" s="13">
        <f>_xll.acq_options_black_greeks(AH$25,$C$4,$C$5,$AF28,$C$8,$C$7,$C$9)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 s="13">
        <f>_xll.acq_options_black_greeks(AC$25,$C$4,$C$5,$C$6,$AB29,$C$7,$C$9)</f>
        <v>15.515107108739317</v>
      </c>
      <c r="AD29" s="13">
        <f>_xll.acq_options_black_greeks(AD$25,$C$4,$C$5,$C$6,$AB29,$C$7,$C$9)</f>
        <v>-38.787767771848287</v>
      </c>
      <c r="AE29" s="13"/>
      <c r="AF29" s="15">
        <f>AF28+AG31</f>
        <v>2.5001000000000002</v>
      </c>
      <c r="AG29" s="13">
        <f>_xll.acq_options_black_greeks(AG$25,$C$4,$C$5,$AF29,$C$8,$C$7,$C$9)</f>
        <v>15.519106124479837</v>
      </c>
      <c r="AH29" s="13">
        <f>_xll.acq_options_black_greeks(AH$25,$C$4,$C$5,$AF29,$C$8,$C$7,$C$9)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5">
        <f>AD28-AD31</f>
        <v>4.0414267488131372E-7</v>
      </c>
      <c r="AE32" s="11"/>
      <c r="AF32" t="s">
        <v>111</v>
      </c>
      <c r="AH32" s="35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8" t="s">
        <v>120</v>
      </c>
      <c r="AC37" s="29">
        <f>AD37-AC42</f>
        <v>0.19990000000000002</v>
      </c>
      <c r="AD37" s="30">
        <f>C7</f>
        <v>0.2</v>
      </c>
      <c r="AE37" s="31">
        <f>AD37+AC42</f>
        <v>0.2001</v>
      </c>
    </row>
    <row r="38" spans="18:43" x14ac:dyDescent="0.25">
      <c r="T38" s="12"/>
      <c r="AB38" s="25">
        <f>AB39-AC42</f>
        <v>89.999899999999997</v>
      </c>
      <c r="AC38" s="19">
        <f>_xll.acq_options_black_price($AB38,$C$5,$C$6,$C$8,AC$37,$C$9)</f>
        <v>15.514102951988354</v>
      </c>
      <c r="AD38" s="20">
        <f>_xll.acq_options_black_price($AB38,$C$5,$C$6,$C$8,AD$37,$C$9)</f>
        <v>15.519036627414497</v>
      </c>
      <c r="AE38" s="32">
        <f>_xll.acq_options_black_price($AB38,$C$5,$C$6,$C$8,AE$37,$C$9)</f>
        <v>15.523970515019768</v>
      </c>
      <c r="AG38">
        <f>_xll.acq_options_black_greeks($AG$36,$AB38,$C$5,$C$6,$C$8,AC$37,$C$9)</f>
        <v>-0.50265591011290189</v>
      </c>
      <c r="AH38">
        <f>_xll.acq_options_black_greeks($AG$36,$AB38,$C$5,$C$6,$C$8,AD$37,$C$9)</f>
        <v>-0.50257071403175657</v>
      </c>
      <c r="AI38">
        <f>_xll.acq_options_black_greeks($AG$36,$AB38,$C$5,$C$6,$C$8,AE$37,$C$9)</f>
        <v>-0.50248557204699029</v>
      </c>
      <c r="AK38">
        <f>_xll.acq_options_black_greeks($AK$36,$AB38,$C$5,$C$6,$C$8,AC$37)</f>
        <v>49.335691923549369</v>
      </c>
      <c r="AL38">
        <f>_xll.acq_options_black_greeks($AK$36,$AB38,$C$5,$C$6,$C$8,AD$37)</f>
        <v>49.337815877897569</v>
      </c>
      <c r="AM38">
        <f>_xll.acq_options_black_greeks($AK$36,$AB38,$C$5,$C$6,$C$8,AE$37)</f>
        <v>49.339935507361311</v>
      </c>
      <c r="AO38">
        <f>_xll.acq_options_black_greeks($AO$36,$AB38,$C$5,$C$6,$C$8,AC$37)</f>
        <v>0.8522315408095249</v>
      </c>
      <c r="AP38">
        <f>_xll.acq_options_black_greeks($AO$36,$AB38,$C$5,$C$6,$C$8,AD$37)</f>
        <v>0.8516902058832212</v>
      </c>
      <c r="AQ38">
        <f>_xll.acq_options_black_greeks($AO$36,$AB38,$C$5,$C$6,$C$8,AE$37)</f>
        <v>0.85114961300657732</v>
      </c>
    </row>
    <row r="39" spans="18:43" x14ac:dyDescent="0.25">
      <c r="T39" s="12"/>
      <c r="AB39" s="26">
        <f>C4</f>
        <v>90</v>
      </c>
      <c r="AC39" s="33">
        <f>_xll.acq_options_black_price($AB39,$C$5,$C$6,$C$8,AC$37,$C$9)</f>
        <v>15.514052686458282</v>
      </c>
      <c r="AD39" s="21">
        <f>_xll.acq_options_black_price($AB39,$C$5,$C$6,$C$8,AD$37,$C$9)</f>
        <v>15.518986370404006</v>
      </c>
      <c r="AE39" s="22">
        <f>_xll.acq_options_black_price($AB39,$C$5,$C$6,$C$8,AE$37,$C$9)</f>
        <v>15.523920266523435</v>
      </c>
      <c r="AG39">
        <f>_xll.acq_options_black_greeks($AG$36,$AB39,$C$5,$C$6,$C$8,AC$37,$C$9)</f>
        <v>-0.50265469133587493</v>
      </c>
      <c r="AH39">
        <f>_xll.acq_options_black_greeks($AG$36,$AB39,$C$5,$C$6,$C$8,AD$37,$C$9)</f>
        <v>-0.50256949581167554</v>
      </c>
      <c r="AI39">
        <f>_xll.acq_options_black_greeks($AG$36,$AB39,$C$5,$C$6,$C$8,AE$37,$C$9)</f>
        <v>-0.50248435438340511</v>
      </c>
      <c r="AK39">
        <f>_xll.acq_options_black_greeks($AK$36,$AB39,$C$5,$C$6,$C$8,AC$37)</f>
        <v>49.335777146424881</v>
      </c>
      <c r="AL39">
        <f>_xll.acq_options_black_greeks($AK$36,$AB39,$C$5,$C$6,$C$8,AD$37)</f>
        <v>49.3379010466398</v>
      </c>
      <c r="AM39">
        <f>_xll.acq_options_black_greeks($AK$36,$AB39,$C$5,$C$6,$C$8,AE$37)</f>
        <v>49.340020622044484</v>
      </c>
      <c r="AO39">
        <f>_xll.acq_options_black_greeks($AO$36,$AB39,$C$5,$C$6,$C$8,AC$37)</f>
        <v>0.85222596910017023</v>
      </c>
      <c r="AP39">
        <f>_xll.acq_options_black_greeks($AO$36,$AB39,$C$5,$C$6,$C$8,AD$37)</f>
        <v>0.85168463867564059</v>
      </c>
      <c r="AQ39">
        <f>_xll.acq_options_black_greeks($AO$36,$AB39,$C$5,$C$6,$C$8,AE$37)</f>
        <v>0.85114405029591067</v>
      </c>
    </row>
    <row r="40" spans="18:43" x14ac:dyDescent="0.25">
      <c r="T40" s="12"/>
      <c r="AB40" s="27">
        <f>AB39+AC42</f>
        <v>90.000100000000003</v>
      </c>
      <c r="AC40" s="34">
        <f>_xll.acq_options_black_price($AB40,$C$5,$C$6,$C$8,AC$37,$C$9)</f>
        <v>15.514002421050082</v>
      </c>
      <c r="AD40" s="23">
        <f>_xll.acq_options_black_price($AB40,$C$5,$C$6,$C$8,AD$37,$C$9)</f>
        <v>15.518936113515325</v>
      </c>
      <c r="AE40" s="24">
        <f>_xll.acq_options_black_price($AB40,$C$5,$C$6,$C$8,AE$37,$C$9)</f>
        <v>15.523870018148884</v>
      </c>
      <c r="AG40">
        <f>_xll.acq_options_black_greeks($AG$36,$AB40,$C$5,$C$6,$C$8,AC$37,$C$9)</f>
        <v>-0.50265347255945125</v>
      </c>
      <c r="AH40">
        <f>_xll.acq_options_black_greeks($AG$36,$AB40,$C$5,$C$6,$C$8,AD$37,$C$9)</f>
        <v>-0.50256827759219869</v>
      </c>
      <c r="AI40">
        <f>_xll.acq_options_black_greeks($AG$36,$AB40,$C$5,$C$6,$C$8,AE$37,$C$9)</f>
        <v>-0.50248313672042533</v>
      </c>
      <c r="AK40">
        <f>_xll.acq_options_black_greeks($AK$36,$AB40,$C$5,$C$6,$C$8,AC$37)</f>
        <v>49.3358623687432</v>
      </c>
      <c r="AL40">
        <f>_xll.acq_options_black_greeks($AK$36,$AB40,$C$5,$C$6,$C$8,AD$37)</f>
        <v>49.337986214825321</v>
      </c>
      <c r="AM40">
        <f>_xll.acq_options_black_greeks($AK$36,$AB40,$C$5,$C$6,$C$8,AE$37)</f>
        <v>49.340105736171374</v>
      </c>
      <c r="AO40">
        <f>_xll.acq_options_black_greeks($AO$36,$AB40,$C$5,$C$6,$C$8,AC$37)</f>
        <v>0.85222039737928323</v>
      </c>
      <c r="AP40">
        <f>_xll.acq_options_black_greeks($AO$36,$AB40,$C$5,$C$6,$C$8,AD$37)</f>
        <v>0.85167907145655986</v>
      </c>
      <c r="AQ40">
        <f>_xll.acq_options_black_greeks($AO$36,$AB40,$C$5,$C$6,$C$8,AE$37)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5">
        <f>AP39-AD42</f>
        <v>-1.2367354518261209E-7</v>
      </c>
      <c r="AE43" s="35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topLeftCell="P16" workbookViewId="0">
      <selection activeCell="AJ34" sqref="AJ3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7" t="s">
        <v>128</v>
      </c>
      <c r="B1" s="57"/>
      <c r="C1" s="57"/>
      <c r="D1" s="57"/>
    </row>
    <row r="2" spans="1:43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5">
        <f>AD6-AD9</f>
        <v>-7.0438099797343057E-13</v>
      </c>
      <c r="AE10" s="35">
        <f>AE6-AE9</f>
        <v>2.2344919848454881E-8</v>
      </c>
      <c r="AF10" s="35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56" t="s">
        <v>108</v>
      </c>
      <c r="T17" s="56"/>
      <c r="U17" s="56"/>
      <c r="V17" s="56"/>
      <c r="W17" s="56"/>
      <c r="X17" s="56"/>
      <c r="Y17" s="56"/>
      <c r="Z17" s="56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5">
        <f>AD17-AD20</f>
        <v>8.6886053907164751E-13</v>
      </c>
      <c r="AE21" s="35">
        <f>AE17-AE20</f>
        <v>1.8322181984152877E-7</v>
      </c>
      <c r="AF21" s="35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56" t="s">
        <v>131</v>
      </c>
      <c r="M32" s="56"/>
      <c r="N32" s="56"/>
      <c r="O32" s="56"/>
      <c r="P32" s="56"/>
      <c r="Q32" s="56"/>
      <c r="AB32" t="s">
        <v>111</v>
      </c>
      <c r="AD32" s="35">
        <f>AD28-AD31</f>
        <v>4.7191761609610694E-10</v>
      </c>
      <c r="AE32" s="11"/>
      <c r="AF32" t="s">
        <v>111</v>
      </c>
      <c r="AH32" s="35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8" t="s">
        <v>120</v>
      </c>
      <c r="AC37" s="29">
        <f>AD37-AC42</f>
        <v>19.9999</v>
      </c>
      <c r="AD37" s="30">
        <f>C7</f>
        <v>20</v>
      </c>
      <c r="AE37" s="31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5">
        <f>AB39-AC42</f>
        <v>79.999899999999997</v>
      </c>
      <c r="AC38" s="19">
        <f>_xll.acq_options_bachelier_price($AB38,$C$5,$C$6,$C$8,AC$37,$C$9)</f>
        <v>7.2727838073410682</v>
      </c>
      <c r="AD38" s="20">
        <f>_xll.acq_options_bachelier_price($AB38,$C$5,$C$6,$C$8,AD$37,$C$9)</f>
        <v>7.2728367588076281</v>
      </c>
      <c r="AE38" s="32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8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6">
        <f>C4</f>
        <v>80</v>
      </c>
      <c r="AC39" s="33">
        <f>_xll.acq_options_bachelier_price($AB39,$C$5,$C$6,$C$8,AC$37,$C$9)</f>
        <v>7.2728169816013324</v>
      </c>
      <c r="AD39" s="21">
        <f>_xll.acq_options_bachelier_price($AB39,$C$5,$C$6,$C$8,AD$37,$C$9)</f>
        <v>7.2728699331208437</v>
      </c>
      <c r="AE39" s="22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8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8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7">
        <f>AB39+AC42</f>
        <v>80.000100000000003</v>
      </c>
      <c r="AC40" s="34">
        <f>_xll.acq_options_bachelier_price($AB40,$C$5,$C$6,$C$8,AC$37,$C$9)</f>
        <v>7.2728501559674976</v>
      </c>
      <c r="AD40" s="23">
        <f>_xll.acq_options_bachelier_price($AB40,$C$5,$C$6,$C$8,AD$37,$C$9)</f>
        <v>7.2729031075399622</v>
      </c>
      <c r="AE40" s="24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8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5">
        <f>AP39-AD42</f>
        <v>9.7506204499442362E-14</v>
      </c>
      <c r="AE43" s="35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activeCell="I4" sqref="I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57" t="s">
        <v>130</v>
      </c>
      <c r="B1" s="57"/>
      <c r="C1" s="57"/>
      <c r="D1" s="57"/>
    </row>
    <row r="2" spans="1:45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A2" s="37"/>
      <c r="AB2" s="37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125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_xll.acq_options_blackscholes_greeks(AE$3,$AD5,$C$5,$C$6,$C$8,$C$9,$C$7,$C$10)</f>
        <v>4.1927240301498756</v>
      </c>
      <c r="AF5" s="13">
        <f>_xll.acq_options_blackscholes_greeks(AF$3,$AD5,$C$5,$C$6,$C$8,$C$9,$C$7,$C$10)</f>
        <v>0.26820378510747978</v>
      </c>
      <c r="AG5" s="13">
        <f>_xll.acq_options_blackscholes_greeks(AG$3,$AD5,$C$5,$C$6,$C$8,$C$9,$C$7,$C$10)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_xll.acq_options_blackscholes_greeks(AE$3,$AD6,$C$5,$C$6,$C$8,$C$9,$C$7,$C$10)</f>
        <v>4.1927508505818558</v>
      </c>
      <c r="AF6" s="13">
        <f>_xll.acq_options_blackscholes_greeks(AF$3,$AD6,$C$5,$C$6,$C$8,$C$9,$C$7,$C$10)</f>
        <v>0.2682048544347938</v>
      </c>
      <c r="AG6" s="13">
        <f>_xll.acq_options_blackscholes_greeks(AG$3,$AD6,$C$5,$C$6,$C$8,$C$9,$C$7,$C$10)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_xll.acq_options_blackscholes_greeks(AE$3,$AD7,$C$5,$C$6,$C$8,$C$9,$C$7,$C$10)</f>
        <v>4.1927776711207656</v>
      </c>
      <c r="AF7" s="13">
        <f>_xll.acq_options_blackscholes_greeks(AF$3,$AD7,$C$5,$C$6,$C$8,$C$9,$C$7,$C$10)</f>
        <v>0.26820592376276564</v>
      </c>
      <c r="AG7" s="13">
        <f>_xll.acq_options_blackscholes_greeks(AG$3,$AD7,$C$5,$C$6,$C$8,$C$9,$C$7,$C$10)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6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5">
        <f>AF6-AF9</f>
        <v>-6.3076210921053644E-12</v>
      </c>
      <c r="AG10" s="35">
        <f>AG6-AG9</f>
        <v>3.1879922541069861E-7</v>
      </c>
      <c r="AH10" s="35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 s="13">
        <f>_xll.acq_options_blackscholes_greeks(AE$14,$C$4,$C$5,$C$6,$C$8,$C$9,$AD16,$C$10)</f>
        <v>4.1884205033693505</v>
      </c>
      <c r="AF16" s="13">
        <f>_xll.acq_options_blackscholes_greeks(AF$14,$C$4,$C$5,$C$6,$C$8,$C$9,$AD16,$C$10)</f>
        <v>43.299172667915535</v>
      </c>
      <c r="AG16" s="13">
        <f>_xll.acq_options_blackscholes_greeks(AG$14,$C$4,$C$5,$C$6,$C$8,$C$9,$AD16,$C$10)</f>
        <v>86.030074254044706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56" t="s">
        <v>108</v>
      </c>
      <c r="T17" s="56"/>
      <c r="U17" s="56"/>
      <c r="V17" s="56"/>
      <c r="W17" s="56"/>
      <c r="X17" s="56"/>
      <c r="Y17" s="56"/>
      <c r="Z17" s="56"/>
      <c r="AA17" s="37"/>
      <c r="AB17" s="37"/>
      <c r="AD17" s="16">
        <f>C7</f>
        <v>0.2</v>
      </c>
      <c r="AE17" s="13">
        <f>_xll.acq_options_blackscholes_greeks(AE$14,$C$4,$C$5,$C$6,$C$8,$C$9,$AD17,$C$10)</f>
        <v>4.1927508505818558</v>
      </c>
      <c r="AF17" s="13">
        <f>_xll.acq_options_blackscholes_greeks(AF$14,$C$4,$C$5,$C$6,$C$8,$C$9,$AD17,$C$10)</f>
        <v>43.307769536514776</v>
      </c>
      <c r="AG17" s="13">
        <f>_xll.acq_options_blackscholes_greeks(AG$14,$C$4,$C$5,$C$6,$C$8,$C$9,$AD17,$C$10)</f>
        <v>85.907330130391927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 s="13">
        <f>_xll.acq_options_blackscholes_greeks(AE$14,$C$4,$C$5,$C$6,$C$8,$C$9,$AD18,$C$10)</f>
        <v>4.1970820568678278</v>
      </c>
      <c r="AF18" s="13">
        <f>_xll.acq_options_blackscholes_greeks(AF$14,$C$4,$C$5,$C$6,$C$8,$C$9,$AD18,$C$10)</f>
        <v>43.316354140415449</v>
      </c>
      <c r="AG18" s="13">
        <f>_xll.acq_options_blackscholes_greeks(AG$14,$C$4,$C$5,$C$6,$C$8,$C$9,$AD18,$C$10)</f>
        <v>85.784780222062437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43.307767492391285</v>
      </c>
      <c r="AG20" s="17">
        <f>_xll.acq_diff2_c3pt(AD16:AD18,AE16:AE18)</f>
        <v>85.907346658596367</v>
      </c>
      <c r="AH20" s="17">
        <f>_xll.acq_diff1_c3pt(AD16:AD18,AF16:AF18)</f>
        <v>85.907362499578227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5">
        <f>AF17-AF20</f>
        <v>2.0441234909185368E-6</v>
      </c>
      <c r="AG21" s="35">
        <f>AG17-AG20</f>
        <v>-1.6528204440646732E-5</v>
      </c>
      <c r="AH21" s="35">
        <f>AG17-AH20</f>
        <v>-3.2369186300229558E-5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_xll.acq_options_blackscholes_greeks(AE$25,$C$4,$C$5,$C$6,$AD27,$C$9,$C$7,$C$10)</f>
        <v>4.1877665123257053</v>
      </c>
      <c r="AF27">
        <f>_xll.acq_options_blackscholes_greeks(AF$25,$C$4,$C$5,$C$6,$AD27,$C$9,$C$7,$C$10)</f>
        <v>49.822551772366097</v>
      </c>
      <c r="AG27" s="13"/>
      <c r="AH27" s="15">
        <f>AH28-AI31</f>
        <v>2.4998999999999998</v>
      </c>
      <c r="AI27">
        <f>_xll.acq_options_blackscholes_greeks(AI$25,$C$4,$C$5,$AH27,$C$8,$C$9,$C$7,$C$10)</f>
        <v>4.1926825566795181</v>
      </c>
      <c r="AJ27">
        <f>_xll.acq_options_blackscholes_greeks(AJ$25,$C$4,$C$5,$AH27,$C$8,$C$9,$C$7,$C$10)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_xll.acq_options_blackscholes_greeks(AE$25,$C$4,$C$5,$C$6,$AD28,$C$9,$C$7,$C$10)</f>
        <v>4.1927508505818558</v>
      </c>
      <c r="AF28">
        <f>_xll.acq_options_blackscholes_greeks(AF$25,$C$4,$C$5,$C$6,$AD28,$C$9,$C$7,$C$10)</f>
        <v>49.864215121373967</v>
      </c>
      <c r="AG28" s="13"/>
      <c r="AH28" s="16">
        <f>C6</f>
        <v>2.5</v>
      </c>
      <c r="AI28">
        <f>_xll.acq_options_blackscholes_greeks(AI$25,$C$4,$C$5,$AH28,$C$8,$C$9,$C$7,$C$10)</f>
        <v>4.1927508505818558</v>
      </c>
      <c r="AJ28">
        <f>_xll.acq_options_blackscholes_greeks(AJ$25,$C$4,$C$5,$AH28,$C$8,$C$9,$C$7,$C$10)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_xll.acq_options_blackscholes_greeks(AE$25,$C$4,$C$5,$C$6,$AD29,$C$9,$C$7,$C$10)</f>
        <v>4.1977393557035931</v>
      </c>
      <c r="AF29">
        <f>_xll.acq_options_blackscholes_greeks(AF$25,$C$4,$C$5,$C$6,$AD29,$C$9,$C$7,$C$10)</f>
        <v>49.905889079206759</v>
      </c>
      <c r="AG29" s="13"/>
      <c r="AH29" s="15">
        <f>AH28+AI31</f>
        <v>2.5001000000000002</v>
      </c>
      <c r="AI29">
        <f>_xll.acq_options_blackscholes_greeks(AI$25,$C$4,$C$5,$AH29,$C$8,$C$9,$C$7,$C$10)</f>
        <v>4.1928191403372992</v>
      </c>
      <c r="AJ29">
        <f>_xll.acq_options_blackscholes_greeks(AJ$25,$C$4,$C$5,$AH29,$C$8,$C$9,$C$7,$C$10)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5">
        <f>AF28-AF31</f>
        <v>-1.7680655375329479E-6</v>
      </c>
      <c r="AG32" s="11"/>
      <c r="AH32" t="s">
        <v>111</v>
      </c>
      <c r="AJ32" s="35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8" t="s">
        <v>120</v>
      </c>
      <c r="AE37" s="41">
        <f>AF37-AE42</f>
        <v>0.19990000000000002</v>
      </c>
      <c r="AF37" s="20">
        <f>C7</f>
        <v>0.2</v>
      </c>
      <c r="AG37" s="42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8">
        <f>AD39-AE42</f>
        <v>89.999899999999997</v>
      </c>
      <c r="AE38" s="19">
        <f>_xll.acq_options_blackscholes_price($AD38,$C$5,$C$6,$C$8,$C$9,AE$37,$C$10)</f>
        <v>4.1883936952289851</v>
      </c>
      <c r="AF38" s="20">
        <f>_xll.acq_options_blackscholes_price($AD38,$C$5,$C$6,$C$8,$C$9,AF$37,$C$10)</f>
        <v>4.1927240301498756</v>
      </c>
      <c r="AG38" s="32">
        <f>_xll.acq_options_blackscholes_price($AD38,$C$5,$C$6,$C$8,$C$9,AG$37,$C$10)</f>
        <v>4.1970552241516685</v>
      </c>
      <c r="AI38">
        <f>_xll.acq_options_blackscholes_greeks($AI$36,$AD38,$C$5,$C$6,$C$8,$C$9,AE$37,$C$10)</f>
        <v>0.26808086872425324</v>
      </c>
      <c r="AJ38">
        <f>_xll.acq_options_blackscholes_greeks($AI$36,$AD38,$C$5,$C$6,$C$8,$C$9,AF$37,$C$10)</f>
        <v>0.26820378510747978</v>
      </c>
      <c r="AK38">
        <f>_xll.acq_options_blackscholes_greeks($AI$36,$AD38,$C$5,$C$6,$C$8,$C$9,AG$37,$C$10)</f>
        <v>0.26832662704654892</v>
      </c>
      <c r="AM38">
        <f>_xll.acq_options_blackscholes_greeks($AM$36,$AD38,$C$5,$C$6,$C$8,$C$9,AE$37,$C$10)</f>
        <v>43.299049714446767</v>
      </c>
      <c r="AN38">
        <f>_xll.acq_options_blackscholes_greeks($AM$36,$AD38,$C$5,$C$6,$C$8,$C$9,AF$37,$C$10)</f>
        <v>43.307646657527272</v>
      </c>
      <c r="AO38">
        <f>_xll.acq_options_blackscholes_greeks($AM$36,$AD38,$C$5,$C$6,$C$8,$C$9,AG$37,$C$10)</f>
        <v>43.316231335834985</v>
      </c>
      <c r="AQ38">
        <f>_xll.acq_options_blackscholes_greeks($AQ$36,$AD38,$C$5,$C$6,$C$8,$C$9,AE$37,$C$10)</f>
        <v>1.2295363005253457</v>
      </c>
      <c r="AR38">
        <f>_xll.acq_options_blackscholes_greeks($AQ$36,$AD38,$C$5,$C$6,$C$8,$C$9,AF$37,$C$10)</f>
        <v>1.2287914877713453</v>
      </c>
      <c r="AS38">
        <f>_xll.acq_options_blackscholes_greeks($AQ$36,$AD38,$C$5,$C$6,$C$8,$C$9,AG$37,$C$10)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39">
        <f>C4</f>
        <v>90</v>
      </c>
      <c r="AE39" s="33">
        <f>_xll.acq_options_blackscholes_price($AD39,$C$5,$C$6,$C$8,$C$9,AE$37,$C$10)</f>
        <v>4.1884205033693505</v>
      </c>
      <c r="AF39" s="21">
        <f>_xll.acq_options_blackscholes_price($AD39,$C$5,$C$6,$C$8,$C$9,AF$37,$C$10)</f>
        <v>4.1927508505818558</v>
      </c>
      <c r="AG39" s="22">
        <f>_xll.acq_options_blackscholes_price($AD39,$C$5,$C$6,$C$8,$C$9,AG$37,$C$10)</f>
        <v>4.1970820568678278</v>
      </c>
      <c r="AI39">
        <f>_xll.acq_options_blackscholes_greeks($AI$36,$AD39,$C$5,$C$6,$C$8,$C$9,AE$37,$C$10)</f>
        <v>0.2680819383741227</v>
      </c>
      <c r="AJ39">
        <f>_xll.acq_options_blackscholes_greeks($AI$36,$AD39,$C$5,$C$6,$C$8,$C$9,AF$37,$C$10)</f>
        <v>0.2682048544347938</v>
      </c>
      <c r="AK39">
        <f>_xll.acq_options_blackscholes_greeks($AI$36,$AD39,$C$5,$C$6,$C$8,$C$9,AG$37,$C$10)</f>
        <v>0.26832769605132722</v>
      </c>
      <c r="AM39">
        <f>_xll.acq_options_blackscholes_greeks($AM$36,$AD39,$C$5,$C$6,$C$8,$C$9,AE$37,$C$10)</f>
        <v>43.299172667915535</v>
      </c>
      <c r="AN39">
        <f>_xll.acq_options_blackscholes_greeks($AM$36,$AD39,$C$5,$C$6,$C$8,$C$9,AF$37,$C$10)</f>
        <v>43.307769536514776</v>
      </c>
      <c r="AO39">
        <f>_xll.acq_options_blackscholes_greeks($AM$36,$AD39,$C$5,$C$6,$C$8,$C$9,AG$37,$C$10)</f>
        <v>43.316354140415449</v>
      </c>
      <c r="AQ39">
        <f>_xll.acq_options_blackscholes_greeks($AQ$36,$AD39,$C$5,$C$6,$C$8,$C$9,AE$37,$C$10)</f>
        <v>1.2295330748740971</v>
      </c>
      <c r="AR39">
        <f>_xll.acq_options_blackscholes_greeks($AQ$36,$AD39,$C$5,$C$6,$C$8,$C$9,AF$37,$C$10)</f>
        <v>1.2287882623149675</v>
      </c>
      <c r="AS39">
        <f>_xll.acq_options_blackscholes_greeks($AQ$36,$AD39,$C$5,$C$6,$C$8,$C$9,AG$37,$C$10)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0">
        <f>AD39+AE42</f>
        <v>90.000100000000003</v>
      </c>
      <c r="AE40" s="34">
        <f>_xll.acq_options_blackscholes_price($AD40,$C$5,$C$6,$C$8,$C$9,AE$37,$C$10)</f>
        <v>4.1884473116166703</v>
      </c>
      <c r="AF40" s="23">
        <f>_xll.acq_options_blackscholes_price($AD40,$C$5,$C$6,$C$8,$C$9,AF$37,$C$10)</f>
        <v>4.1927776711207656</v>
      </c>
      <c r="AG40" s="24">
        <f>_xll.acq_options_blackscholes_price($AD40,$C$5,$C$6,$C$8,$C$9,AG$37,$C$10)</f>
        <v>4.197108889690881</v>
      </c>
      <c r="AI40">
        <f>_xll.acq_options_blackscholes_greeks($AI$36,$AD40,$C$5,$C$6,$C$8,$C$9,AE$37,$C$10)</f>
        <v>0.26808300802465251</v>
      </c>
      <c r="AJ40">
        <f>_xll.acq_options_blackscholes_greeks($AI$36,$AD40,$C$5,$C$6,$C$8,$C$9,AF$37,$C$10)</f>
        <v>0.26820592376276564</v>
      </c>
      <c r="AK40">
        <f>_xll.acq_options_blackscholes_greeks($AI$36,$AD40,$C$5,$C$6,$C$8,$C$9,AG$37,$C$10)</f>
        <v>0.26832876505676068</v>
      </c>
      <c r="AM40">
        <f>_xll.acq_options_blackscholes_greeks($AM$36,$AD40,$C$5,$C$6,$C$8,$C$9,AE$37,$C$10)</f>
        <v>43.299295621061738</v>
      </c>
      <c r="AN40">
        <f>_xll.acq_options_blackscholes_greeks($AM$36,$AD40,$C$5,$C$6,$C$8,$C$9,AF$37,$C$10)</f>
        <v>43.307892415179737</v>
      </c>
      <c r="AO40">
        <f>_xll.acq_options_blackscholes_greeks($AM$36,$AD40,$C$5,$C$6,$C$8,$C$9,AG$37,$C$10)</f>
        <v>43.31647694467339</v>
      </c>
      <c r="AQ40">
        <f>_xll.acq_options_blackscholes_greeks($AQ$36,$AD40,$C$5,$C$6,$C$8,$C$9,AE$37,$C$10)</f>
        <v>1.2295298491964135</v>
      </c>
      <c r="AR40">
        <f>_xll.acq_options_blackscholes_greeks($AQ$36,$AD40,$C$5,$C$6,$C$8,$C$9,AF$37,$C$10)</f>
        <v>1.2287850368322066</v>
      </c>
      <c r="AS40">
        <f>_xll.acq_options_blackscholes_greeks($AQ$36,$AD40,$C$5,$C$6,$C$8,$C$9,AG$37,$C$10)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5">
        <f>AR39-AF42</f>
        <v>-1.2370780688719663E-7</v>
      </c>
      <c r="AG43" s="35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B57"/>
  <sheetViews>
    <sheetView workbookViewId="0">
      <selection activeCell="C10" sqref="C10"/>
    </sheetView>
  </sheetViews>
  <sheetFormatPr defaultRowHeight="15" x14ac:dyDescent="0.25"/>
  <cols>
    <col min="2" max="2" width="14.28515625" customWidth="1"/>
    <col min="7" max="8" width="12" bestFit="1" customWidth="1"/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7" t="s">
        <v>135</v>
      </c>
      <c r="B1" s="57"/>
      <c r="C1" s="57"/>
      <c r="D1" s="57"/>
      <c r="E1" s="57"/>
      <c r="F1" s="57"/>
      <c r="G1" s="57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6" t="s">
        <v>139</v>
      </c>
      <c r="G3" s="56"/>
      <c r="H3" s="56"/>
      <c r="I3" s="56" t="s">
        <v>137</v>
      </c>
      <c r="J3" s="56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71.392920250250825</v>
      </c>
      <c r="H5">
        <f>_xll.acq_options_bjerksund_price($C$4,F5,$C$6,$C$8,$C$9,$C$7,FALSE)</f>
        <v>1.45451366506677E-8</v>
      </c>
      <c r="I5">
        <f>_xll.acq_options_blackscholes_price($C$4,F5,$C$6,$C$8,$C$9,$C$7,TRUE)</f>
        <v>71.392920250250825</v>
      </c>
      <c r="J5">
        <f>_xll.acq_options_blackscholes_price($C$4,F5,$C$6,$C$8,$C$9,$C$7,FALSE)</f>
        <v>1.4501407193372407E-8</v>
      </c>
      <c r="L5" s="45">
        <v>0.05</v>
      </c>
      <c r="M5">
        <f>_xll.acq_options_bjerksund_price(M$4,$C$5,$L5,$C$8,$C$9,$C$7,TRUE)</f>
        <v>7.0269787531536919E-5</v>
      </c>
      <c r="N5">
        <f>_xll.acq_options_bjerksund_price(N$4,$C$5,$L5,$C$8,$C$9,$C$7,TRUE)</f>
        <v>1.5318877920687868E-2</v>
      </c>
      <c r="O5">
        <f>_xll.acq_options_bjerksund_price(O$4,$C$5,$L5,$C$8,$C$9,$C$7,TRUE)</f>
        <v>0.47211228016601936</v>
      </c>
      <c r="P5">
        <f>_xll.acq_options_bjerksund_price(P$4,$C$5,$L5,$C$8,$C$9,$C$7,TRUE)</f>
        <v>3.5692572350085925</v>
      </c>
      <c r="Q5">
        <f>_xll.acq_options_bjerksund_price(Q$4,$C$5,$L5,$C$8,$C$9,$C$7,TRUE)</f>
        <v>10.92626360688061</v>
      </c>
      <c r="R5">
        <f>_xll.acq_options_bjerksund_price(R$4,$C$5,$L5,$C$8,$C$9,$C$7,TRUE)</f>
        <v>20.482661489883014</v>
      </c>
      <c r="S5">
        <f>_xll.acq_options_bjerksund_price(S$4,$C$5,$L5,$C$8,$C$9,$C$7,TRUE)</f>
        <v>30.450427267664622</v>
      </c>
      <c r="U5" s="45">
        <v>0.05</v>
      </c>
      <c r="V5">
        <f>_xll.acq_options_bjerksund_price(V$4,$C$5,$U5,$C$8,$C$9,$C$7,FALSE)</f>
        <v>30</v>
      </c>
      <c r="W5">
        <f>_xll.acq_options_bjerksund_price(W$4,$C$5,$U5,$C$8,$C$9,$C$7,FALSE)</f>
        <v>20</v>
      </c>
      <c r="X5">
        <f>_xll.acq_options_bjerksund_price(X$4,$C$5,$U5,$C$8,$C$9,$C$7,FALSE)</f>
        <v>10.18504362777812</v>
      </c>
      <c r="Y5">
        <f>_xll.acq_options_bjerksund_price(Y$4,$C$5,$U5,$C$8,$C$9,$C$7,FALSE)</f>
        <v>3.1384221077732235</v>
      </c>
      <c r="Z5">
        <f>_xll.acq_options_bjerksund_price(Z$4,$C$5,$U5,$C$8,$C$9,$C$7,FALSE)</f>
        <v>0.47775635971180463</v>
      </c>
      <c r="AA5">
        <f>_xll.acq_options_bjerksund_price(AA$4,$C$5,$U5,$C$8,$C$9,$C$7,FALSE)</f>
        <v>3.3349932689986872E-2</v>
      </c>
      <c r="AB5">
        <f>_xll.acq_options_bjerksund_price(AB$4,$C$5,$U5,$C$8,$C$9,$C$7,FALSE)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62.786009733671456</v>
      </c>
      <c r="H6">
        <f>_xll.acq_options_bjerksund_price($C$4,F6,$C$6,$C$8,$C$9,$C$7,FALSE)</f>
        <v>1.7144366461252503E-4</v>
      </c>
      <c r="I6">
        <f>_xll.acq_options_blackscholes_price($C$4,F6,$C$6,$C$8,$C$9,$C$7,TRUE)</f>
        <v>62.786009733671456</v>
      </c>
      <c r="J6">
        <f>_xll.acq_options_blackscholes_price($C$4,F6,$C$6,$C$8,$C$9,$C$7,FALSE)</f>
        <v>1.6926217260669423E-4</v>
      </c>
      <c r="L6" s="45">
        <v>0.1</v>
      </c>
      <c r="M6">
        <f>_xll.acq_options_bjerksund_price(M$4,$C$5,$L6,$C$8,$C$9,$C$7,TRUE)</f>
        <v>9.608024599748799E-3</v>
      </c>
      <c r="N6">
        <f>_xll.acq_options_bjerksund_price(N$4,$C$5,$L6,$C$8,$C$9,$C$7,TRUE)</f>
        <v>0.18499420634012598</v>
      </c>
      <c r="O6">
        <f>_xll.acq_options_bjerksund_price(O$4,$C$5,$L6,$C$8,$C$9,$C$7,TRUE)</f>
        <v>1.3801373932978436</v>
      </c>
      <c r="P6">
        <f>_xll.acq_options_bjerksund_price(P$4,$C$5,$L6,$C$8,$C$9,$C$7,TRUE)</f>
        <v>5.1777150139388084</v>
      </c>
      <c r="Q6">
        <f>_xll.acq_options_bjerksund_price(Q$4,$C$5,$L6,$C$8,$C$9,$C$7,TRUE)</f>
        <v>12.140569109259332</v>
      </c>
      <c r="R6">
        <f>_xll.acq_options_bjerksund_price(R$4,$C$5,$L6,$C$8,$C$9,$C$7,TRUE)</f>
        <v>21.15129483063177</v>
      </c>
      <c r="S6">
        <f>_xll.acq_options_bjerksund_price(S$4,$C$5,$L6,$C$8,$C$9,$C$7,TRUE)</f>
        <v>30.934462813115289</v>
      </c>
      <c r="U6" s="45">
        <v>0.1</v>
      </c>
      <c r="V6">
        <f>_xll.acq_options_bjerksund_price(V$4,$C$5,$U6,$C$8,$C$9,$C$7,FALSE)</f>
        <v>30</v>
      </c>
      <c r="W6">
        <f>_xll.acq_options_bjerksund_price(W$4,$C$5,$U6,$C$8,$C$9,$C$7,FALSE)</f>
        <v>20</v>
      </c>
      <c r="X6">
        <f>_xll.acq_options_bjerksund_price(X$4,$C$5,$U6,$C$8,$C$9,$C$7,FALSE)</f>
        <v>10.70274525100454</v>
      </c>
      <c r="Y6">
        <f>_xll.acq_options_bjerksund_price(Y$4,$C$5,$U6,$C$8,$C$9,$C$7,FALSE)</f>
        <v>4.323515151201903</v>
      </c>
      <c r="Z6">
        <f>_xll.acq_options_bjerksund_price(Z$4,$C$5,$U6,$C$8,$C$9,$C$7,FALSE)</f>
        <v>1.2488238283683302</v>
      </c>
      <c r="AA6">
        <f>_xll.acq_options_bjerksund_price(AA$4,$C$5,$U6,$C$8,$C$9,$C$7,FALSE)</f>
        <v>0.25445924170767853</v>
      </c>
      <c r="AB6">
        <f>_xll.acq_options_bjerksund_price(AB$4,$C$5,$U6,$C$8,$C$9,$C$7,FALSE)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54.189706931084629</v>
      </c>
      <c r="H7">
        <f>_xll.acq_options_bjerksund_price($C$4,F7,$C$6,$C$8,$C$9,$C$7,FALSE)</f>
        <v>1.1270787915449887E-2</v>
      </c>
      <c r="I7">
        <f>_xll.acq_options_blackscholes_price($C$4,F7,$C$6,$C$8,$C$9,$C$7,TRUE)</f>
        <v>54.189706931084629</v>
      </c>
      <c r="J7">
        <f>_xll.acq_options_blackscholes_price($C$4,F7,$C$6,$C$8,$C$9,$C$7,FALSE)</f>
        <v>1.0946223836368757E-2</v>
      </c>
      <c r="L7" s="45">
        <v>0.15</v>
      </c>
      <c r="M7">
        <f>_xll.acq_options_bjerksund_price(M$4,$C$5,$L7,$C$8,$C$9,$C$7,TRUE)</f>
        <v>6.1074811444477239E-2</v>
      </c>
      <c r="N7">
        <f>_xll.acq_options_bjerksund_price(N$4,$C$5,$L7,$C$8,$C$9,$C$7,TRUE)</f>
        <v>0.50968290092174939</v>
      </c>
      <c r="O7">
        <f>_xll.acq_options_bjerksund_price(O$4,$C$5,$L7,$C$8,$C$9,$C$7,TRUE)</f>
        <v>2.280395869736779</v>
      </c>
      <c r="P7">
        <f>_xll.acq_options_bjerksund_price(P$4,$C$5,$L7,$C$8,$C$9,$C$7,TRUE)</f>
        <v>6.4627468363879643</v>
      </c>
      <c r="Q7">
        <f>_xll.acq_options_bjerksund_price(Q$4,$C$5,$L7,$C$8,$C$9,$C$7,TRUE)</f>
        <v>13.269348157491947</v>
      </c>
      <c r="R7">
        <f>_xll.acq_options_bjerksund_price(R$4,$C$5,$L7,$C$8,$C$9,$C$7,TRUE)</f>
        <v>21.925966686726525</v>
      </c>
      <c r="S7">
        <f>_xll.acq_options_bjerksund_price(S$4,$C$5,$L7,$C$8,$C$9,$C$7,TRUE)</f>
        <v>31.487204442476525</v>
      </c>
      <c r="U7" s="45">
        <v>0.15</v>
      </c>
      <c r="V7">
        <f>_xll.acq_options_bjerksund_price(V$4,$C$5,$U7,$C$8,$C$9,$C$7,FALSE)</f>
        <v>30</v>
      </c>
      <c r="W7">
        <f>_xll.acq_options_bjerksund_price(W$4,$C$5,$U7,$C$8,$C$9,$C$7,FALSE)</f>
        <v>20.001920467055228</v>
      </c>
      <c r="X7">
        <f>_xll.acq_options_bjerksund_price(X$4,$C$5,$U7,$C$8,$C$9,$C$7,FALSE)</f>
        <v>11.215430755407048</v>
      </c>
      <c r="Y7">
        <f>_xll.acq_options_bjerksund_price(Y$4,$C$5,$U7,$C$8,$C$9,$C$7,FALSE)</f>
        <v>5.190490800613432</v>
      </c>
      <c r="Z7">
        <f>_xll.acq_options_bjerksund_price(Z$4,$C$5,$U7,$C$8,$C$9,$C$7,FALSE)</f>
        <v>1.9396936783394665</v>
      </c>
      <c r="AA7">
        <f>_xll.acq_options_bjerksund_price(AA$4,$C$5,$U7,$C$8,$C$9,$C$7,FALSE)</f>
        <v>0.58423039563368206</v>
      </c>
      <c r="AB7">
        <f>_xll.acq_options_bjerksund_price(AB$4,$C$5,$U7,$C$8,$C$9,$C$7,FALSE)</f>
        <v>0.14353303380678994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45.69222006469807</v>
      </c>
      <c r="H8">
        <f>_xll.acq_options_bjerksund_price($C$4,F8,$C$6,$C$8,$C$9,$C$7,FALSE)</f>
        <v>0.12687762656902635</v>
      </c>
      <c r="I8">
        <f>_xll.acq_options_blackscholes_price($C$4,F8,$C$6,$C$8,$C$9,$C$7,TRUE)</f>
        <v>45.69222006469807</v>
      </c>
      <c r="J8">
        <f>_xll.acq_options_blackscholes_price($C$4,F8,$C$6,$C$8,$C$9,$C$7,FALSE)</f>
        <v>0.12053912170037973</v>
      </c>
      <c r="L8" s="45">
        <v>0.2</v>
      </c>
      <c r="M8">
        <f>_xll.acq_options_bjerksund_price(M$4,$C$5,$L8,$C$8,$C$9,$C$7,TRUE)</f>
        <v>0.16959615165945596</v>
      </c>
      <c r="N8">
        <f>_xll.acq_options_bjerksund_price(N$4,$C$5,$L8,$C$8,$C$9,$C$7,TRUE)</f>
        <v>0.91976906847502349</v>
      </c>
      <c r="O8">
        <f>_xll.acq_options_bjerksund_price(O$4,$C$5,$L8,$C$8,$C$9,$C$7,TRUE)</f>
        <v>3.134761007022405</v>
      </c>
      <c r="P8">
        <f>_xll.acq_options_bjerksund_price(P$4,$C$5,$L8,$C$8,$C$9,$C$7,TRUE)</f>
        <v>7.5799320464732318</v>
      </c>
      <c r="Q8">
        <f>_xll.acq_options_bjerksund_price(Q$4,$C$5,$L8,$C$8,$C$9,$C$7,TRUE)</f>
        <v>14.311843176175486</v>
      </c>
      <c r="R8">
        <f>_xll.acq_options_bjerksund_price(R$4,$C$5,$L8,$C$8,$C$9,$C$7,TRUE)</f>
        <v>22.730330038198844</v>
      </c>
      <c r="S8">
        <f>_xll.acq_options_bjerksund_price(S$4,$C$5,$L8,$C$8,$C$9,$C$7,TRUE)</f>
        <v>32.093082123905162</v>
      </c>
      <c r="U8" s="45">
        <v>0.2</v>
      </c>
      <c r="V8">
        <f>_xll.acq_options_bjerksund_price(V$4,$C$5,$U8,$C$8,$C$9,$C$7,FALSE)</f>
        <v>30</v>
      </c>
      <c r="W8">
        <f>_xll.acq_options_bjerksund_price(W$4,$C$5,$U8,$C$8,$C$9,$C$7,FALSE)</f>
        <v>20.059879979875106</v>
      </c>
      <c r="X8">
        <f>_xll.acq_options_bjerksund_price(X$4,$C$5,$U8,$C$8,$C$9,$C$7,FALSE)</f>
        <v>11.685170289085562</v>
      </c>
      <c r="Y8">
        <f>_xll.acq_options_bjerksund_price(Y$4,$C$5,$U8,$C$8,$C$9,$C$7,FALSE)</f>
        <v>5.8941074536139695</v>
      </c>
      <c r="Z8">
        <f>_xll.acq_options_bjerksund_price(Z$4,$C$5,$U8,$C$8,$C$9,$C$7,FALSE)</f>
        <v>2.5490123498013304</v>
      </c>
      <c r="AA8">
        <f>_xll.acq_options_bjerksund_price(AA$4,$C$5,$U8,$C$8,$C$9,$C$7,FALSE)</f>
        <v>0.94675254931996733</v>
      </c>
      <c r="AB8">
        <f>_xll.acq_options_bjerksund_price(AB$4,$C$5,$U8,$C$8,$C$9,$C$7,FALSE)</f>
        <v>0.30487700103364546</v>
      </c>
    </row>
    <row r="9" spans="1:28" x14ac:dyDescent="0.25">
      <c r="B9" t="s">
        <v>123</v>
      </c>
      <c r="C9" s="52">
        <v>0</v>
      </c>
      <c r="F9">
        <v>50</v>
      </c>
      <c r="G9">
        <f>_xll.acq_options_bjerksund_price($C$4,F9,$C$6,$C$8,$C$9,$C$7,TRUE)</f>
        <v>37.536754461969039</v>
      </c>
      <c r="H9">
        <f>_xll.acq_options_bjerksund_price($C$4,F9,$C$6,$C$8,$C$9,$C$7,FALSE)</f>
        <v>0.61844884365571318</v>
      </c>
      <c r="I9">
        <f>_xll.acq_options_blackscholes_price($C$4,F9,$C$6,$C$8,$C$9,$C$7,TRUE)</f>
        <v>37.536754461969039</v>
      </c>
      <c r="J9">
        <f>_xll.acq_options_blackscholes_price($C$4,F9,$C$6,$C$8,$C$9,$C$7,FALSE)</f>
        <v>0.57215328322193582</v>
      </c>
      <c r="L9" s="45">
        <v>0.25</v>
      </c>
      <c r="M9">
        <f>_xll.acq_options_bjerksund_price(M$4,$C$5,$L9,$C$8,$C$9,$C$7,TRUE)</f>
        <v>0.33074415141765279</v>
      </c>
      <c r="N9">
        <f>_xll.acq_options_bjerksund_price(N$4,$C$5,$L9,$C$8,$C$9,$C$7,TRUE)</f>
        <v>1.3748042773679217</v>
      </c>
      <c r="O9">
        <f>_xll.acq_options_bjerksund_price(O$4,$C$5,$L9,$C$8,$C$9,$C$7,TRUE)</f>
        <v>3.9447312069836613</v>
      </c>
      <c r="P9">
        <f>_xll.acq_options_bjerksund_price(P$4,$C$5,$L9,$C$8,$C$9,$C$7,TRUE)</f>
        <v>8.5895456835264525</v>
      </c>
      <c r="Q9">
        <f>_xll.acq_options_bjerksund_price(Q$4,$C$5,$L9,$C$8,$C$9,$C$7,TRUE)</f>
        <v>15.284669592463871</v>
      </c>
      <c r="R9">
        <f>_xll.acq_options_bjerksund_price(R$4,$C$5,$L9,$C$8,$C$9,$C$7,TRUE)</f>
        <v>23.534713852979422</v>
      </c>
      <c r="S9">
        <f>_xll.acq_options_bjerksund_price(S$4,$C$5,$L9,$C$8,$C$9,$C$7,TRUE)</f>
        <v>32.730771232986228</v>
      </c>
      <c r="U9" s="45">
        <v>0.25</v>
      </c>
      <c r="V9">
        <f>_xll.acq_options_bjerksund_price(V$4,$C$5,$U9,$C$8,$C$9,$C$7,FALSE)</f>
        <v>30</v>
      </c>
      <c r="W9">
        <f>_xll.acq_options_bjerksund_price(W$4,$C$5,$U9,$C$8,$C$9,$C$7,FALSE)</f>
        <v>20.161734159445849</v>
      </c>
      <c r="X9">
        <f>_xll.acq_options_bjerksund_price(X$4,$C$5,$U9,$C$8,$C$9,$C$7,FALSE)</f>
        <v>12.113197097513428</v>
      </c>
      <c r="Y9">
        <f>_xll.acq_options_bjerksund_price(Y$4,$C$5,$U9,$C$8,$C$9,$C$7,FALSE)</f>
        <v>6.4941271274534387</v>
      </c>
      <c r="Z9">
        <f>_xll.acq_options_bjerksund_price(Z$4,$C$5,$U9,$C$8,$C$9,$C$7,FALSE)</f>
        <v>3.0929303826990946</v>
      </c>
      <c r="AA9">
        <f>_xll.acq_options_bjerksund_price(AA$4,$C$5,$U9,$C$8,$C$9,$C$7,FALSE)</f>
        <v>1.3124840209453339</v>
      </c>
      <c r="AB9">
        <f>_xll.acq_options_bjerksund_price(AB$4,$C$5,$U9,$C$8,$C$9,$C$7,FALSE)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30.054211883791304</v>
      </c>
      <c r="H10">
        <f>_xll.acq_options_bjerksund_price($C$4,F10,$C$6,$C$8,$C$9,$C$7,FALSE)</f>
        <v>1.8903923326725192</v>
      </c>
      <c r="I10">
        <f>_xll.acq_options_blackscholes_price($C$4,F10,$C$6,$C$8,$C$9,$C$7,TRUE)</f>
        <v>30.054211883791304</v>
      </c>
      <c r="J10">
        <f>_xll.acq_options_blackscholes_price($C$4,F10,$C$6,$C$8,$C$9,$C$7,FALSE)</f>
        <v>1.6966904692947784</v>
      </c>
      <c r="L10" s="45">
        <v>0.3</v>
      </c>
      <c r="M10">
        <f>_xll.acq_options_bjerksund_price(M$4,$C$5,$L10,$C$8,$C$9,$C$7,TRUE)</f>
        <v>0.53491546275643209</v>
      </c>
      <c r="N10">
        <f>_xll.acq_options_bjerksund_price(N$4,$C$5,$L10,$C$8,$C$9,$C$7,TRUE)</f>
        <v>1.8534951561197488</v>
      </c>
      <c r="O10">
        <f>_xll.acq_options_bjerksund_price(O$4,$C$5,$L10,$C$8,$C$9,$C$7,TRUE)</f>
        <v>4.7162546711505584</v>
      </c>
      <c r="P10">
        <f>_xll.acq_options_bjerksund_price(P$4,$C$5,$L10,$C$8,$C$9,$C$7,TRUE)</f>
        <v>9.5225068685665661</v>
      </c>
      <c r="Q10">
        <f>_xll.acq_options_bjerksund_price(Q$4,$C$5,$L10,$C$8,$C$9,$C$7,TRUE)</f>
        <v>16.20143818398995</v>
      </c>
      <c r="R10">
        <f>_xll.acq_options_bjerksund_price(R$4,$C$5,$L10,$C$8,$C$9,$C$7,TRUE)</f>
        <v>24.327671273265764</v>
      </c>
      <c r="S10">
        <f>_xll.acq_options_bjerksund_price(S$4,$C$5,$L10,$C$8,$C$9,$C$7,TRUE)</f>
        <v>33.385371305507988</v>
      </c>
      <c r="U10" s="45">
        <v>0.3</v>
      </c>
      <c r="V10">
        <f>_xll.acq_options_bjerksund_price(V$4,$C$5,$U10,$C$8,$C$9,$C$7,FALSE)</f>
        <v>30</v>
      </c>
      <c r="W10">
        <f>_xll.acq_options_bjerksund_price(W$4,$C$5,$U10,$C$8,$C$9,$C$7,FALSE)</f>
        <v>20.28856722306762</v>
      </c>
      <c r="X10">
        <f>_xll.acq_options_bjerksund_price(X$4,$C$5,$U10,$C$8,$C$9,$C$7,FALSE)</f>
        <v>12.50527118864953</v>
      </c>
      <c r="Y10">
        <f>_xll.acq_options_bjerksund_price(Y$4,$C$5,$U10,$C$8,$C$9,$C$7,FALSE)</f>
        <v>7.0210995775381946</v>
      </c>
      <c r="Z10">
        <f>_xll.acq_options_bjerksund_price(Z$4,$C$5,$U10,$C$8,$C$9,$C$7,FALSE)</f>
        <v>3.5847032433122621</v>
      </c>
      <c r="AA10">
        <f>_xll.acq_options_bjerksund_price(AA$4,$C$5,$U10,$C$8,$C$9,$C$7,FALSE)</f>
        <v>1.6699745140907396</v>
      </c>
      <c r="AB10">
        <f>_xll.acq_options_bjerksund_price(AB$4,$C$5,$U10,$C$8,$C$9,$C$7,FALSE)</f>
        <v>0.7146162868865531</v>
      </c>
    </row>
    <row r="11" spans="1:28" x14ac:dyDescent="0.25">
      <c r="B11" t="s">
        <v>161</v>
      </c>
      <c r="C11" s="50">
        <f>C8-C9</f>
        <v>0.06</v>
      </c>
      <c r="F11">
        <v>70</v>
      </c>
      <c r="G11">
        <f>_xll.acq_options_bjerksund_price($C$4,F11,$C$6,$C$8,$C$9,$C$7,TRUE)</f>
        <v>23.515911805401906</v>
      </c>
      <c r="H11">
        <f>_xll.acq_options_bjerksund_price($C$4,F11,$C$6,$C$8,$C$9,$C$7,FALSE)</f>
        <v>4.3382949849802444</v>
      </c>
      <c r="I11">
        <f>_xll.acq_options_blackscholes_price($C$4,F11,$C$6,$C$8,$C$9,$C$7,TRUE)</f>
        <v>23.515911805401906</v>
      </c>
      <c r="J11">
        <f>_xll.acq_options_blackscholes_price($C$4,F11,$C$6,$C$8,$C$9,$C$7,FALSE)</f>
        <v>3.7654701551559562</v>
      </c>
      <c r="L11" s="45">
        <v>0.35</v>
      </c>
      <c r="M11">
        <f>_xll.acq_options_bjerksund_price(M$4,$C$5,$L11,$C$8,$C$9,$C$7,TRUE)</f>
        <v>0.77291817651611616</v>
      </c>
      <c r="N11">
        <f>_xll.acq_options_bjerksund_price(N$4,$C$5,$L11,$C$8,$C$9,$C$7,TRUE)</f>
        <v>2.3442139265024586</v>
      </c>
      <c r="O11">
        <f>_xll.acq_options_bjerksund_price(O$4,$C$5,$L11,$C$8,$C$9,$C$7,TRUE)</f>
        <v>5.4549467173737654</v>
      </c>
      <c r="P11">
        <f>_xll.acq_options_bjerksund_price(P$4,$C$5,$L11,$C$8,$C$9,$C$7,TRUE)</f>
        <v>10.397186859138571</v>
      </c>
      <c r="Q11">
        <f>_xll.acq_options_bjerksund_price(Q$4,$C$5,$L11,$C$8,$C$9,$C$7,TRUE)</f>
        <v>17.072233275187926</v>
      </c>
      <c r="R11">
        <f>_xll.acq_options_bjerksund_price(R$4,$C$5,$L11,$C$8,$C$9,$C$7,TRUE)</f>
        <v>25.104898510980362</v>
      </c>
      <c r="S11">
        <f>_xll.acq_options_bjerksund_price(S$4,$C$5,$L11,$C$8,$C$9,$C$7,TRUE)</f>
        <v>34.047485356226503</v>
      </c>
      <c r="U11" s="45">
        <v>0.35</v>
      </c>
      <c r="V11">
        <f>_xll.acq_options_bjerksund_price(V$4,$C$5,$U11,$C$8,$C$9,$C$7,FALSE)</f>
        <v>30</v>
      </c>
      <c r="W11">
        <f>_xll.acq_options_bjerksund_price(W$4,$C$5,$U11,$C$8,$C$9,$C$7,FALSE)</f>
        <v>20.429110201976329</v>
      </c>
      <c r="X11">
        <f>_xll.acq_options_bjerksund_price(X$4,$C$5,$U11,$C$8,$C$9,$C$7,FALSE)</f>
        <v>12.866860834687323</v>
      </c>
      <c r="Y11">
        <f>_xll.acq_options_bjerksund_price(Y$4,$C$5,$U11,$C$8,$C$9,$C$7,FALSE)</f>
        <v>7.4931101832985831</v>
      </c>
      <c r="Z11">
        <f>_xll.acq_options_bjerksund_price(Z$4,$C$5,$U11,$C$8,$C$9,$C$7,FALSE)</f>
        <v>4.0341331984300837</v>
      </c>
      <c r="AA11">
        <f>_xll.acq_options_bjerksund_price(AA$4,$C$5,$U11,$C$8,$C$9,$C$7,FALSE)</f>
        <v>2.0148616348597272</v>
      </c>
      <c r="AB11">
        <f>_xll.acq_options_bjerksund_price(AB$4,$C$5,$U11,$C$8,$C$9,$C$7,FALSE)</f>
        <v>0.93898654017260696</v>
      </c>
    </row>
    <row r="12" spans="1:28" x14ac:dyDescent="0.25">
      <c r="F12">
        <v>80</v>
      </c>
      <c r="G12">
        <f>_xll.acq_options_bjerksund_price($C$4,F12,$C$6,$C$8,$C$9,$C$7,TRUE)</f>
        <v>18.049751405860384</v>
      </c>
      <c r="H12">
        <f>_xll.acq_options_bjerksund_price($C$4,F12,$C$6,$C$8,$C$9,$C$7,FALSE)</f>
        <v>8.2510544914383672</v>
      </c>
      <c r="I12">
        <f>_xll.acq_options_blackscholes_price($C$4,F12,$C$6,$C$8,$C$9,$C$7,TRUE)</f>
        <v>18.049751405860384</v>
      </c>
      <c r="J12">
        <f>_xll.acq_options_blackscholes_price($C$4,F12,$C$6,$C$8,$C$9,$C$7,FALSE)</f>
        <v>6.9063895198650052</v>
      </c>
      <c r="L12" s="45">
        <v>0.4</v>
      </c>
      <c r="M12">
        <f>_xll.acq_options_bjerksund_price(M$4,$C$5,$L12,$C$8,$C$9,$C$7,TRUE)</f>
        <v>1.0372358425528798</v>
      </c>
      <c r="N12">
        <f>_xll.acq_options_bjerksund_price(N$4,$C$5,$L12,$C$8,$C$9,$C$7,TRUE)</f>
        <v>2.8403201325280598</v>
      </c>
      <c r="O12">
        <f>_xll.acq_options_bjerksund_price(O$4,$C$5,$L12,$C$8,$C$9,$C$7,TRUE)</f>
        <v>6.1654456883714559</v>
      </c>
      <c r="P12">
        <f>_xll.acq_options_bjerksund_price(P$4,$C$5,$L12,$C$8,$C$9,$C$7,TRUE)</f>
        <v>11.225558159391866</v>
      </c>
      <c r="Q12">
        <f>_xll.acq_options_bjerksund_price(Q$4,$C$5,$L12,$C$8,$C$9,$C$7,TRUE)</f>
        <v>17.90455420307805</v>
      </c>
      <c r="R12">
        <f>_xll.acq_options_bjerksund_price(R$4,$C$5,$L12,$C$8,$C$9,$C$7,TRUE)</f>
        <v>25.865087536391698</v>
      </c>
      <c r="S12">
        <f>_xll.acq_options_bjerksund_price(S$4,$C$5,$L12,$C$8,$C$9,$C$7,TRUE)</f>
        <v>34.711282282152041</v>
      </c>
      <c r="U12" s="45">
        <v>0.4</v>
      </c>
      <c r="V12">
        <f>_xll.acq_options_bjerksund_price(V$4,$C$5,$U12,$C$8,$C$9,$C$7,FALSE)</f>
        <v>30</v>
      </c>
      <c r="W12">
        <f>_xll.acq_options_bjerksund_price(W$4,$C$5,$U12,$C$8,$C$9,$C$7,FALSE)</f>
        <v>20.576702408336132</v>
      </c>
      <c r="X12">
        <f>_xll.acq_options_bjerksund_price(X$4,$C$5,$U12,$C$8,$C$9,$C$7,FALSE)</f>
        <v>13.202481650454104</v>
      </c>
      <c r="Y12">
        <f>_xll.acq_options_bjerksund_price(Y$4,$C$5,$U12,$C$8,$C$9,$C$7,FALSE)</f>
        <v>7.9219003176608709</v>
      </c>
      <c r="Z12">
        <f>_xll.acq_options_bjerksund_price(Z$4,$C$5,$U12,$C$8,$C$9,$C$7,FALSE)</f>
        <v>4.448487889031</v>
      </c>
      <c r="AA12">
        <f>_xll.acq_options_bjerksund_price(AA$4,$C$5,$U12,$C$8,$C$9,$C$7,FALSE)</f>
        <v>2.3457563802716948</v>
      </c>
      <c r="AB12">
        <f>_xll.acq_options_bjerksund_price(AB$4,$C$5,$U12,$C$8,$C$9,$C$7,FALSE)</f>
        <v>1.1674803035433001</v>
      </c>
    </row>
    <row r="13" spans="1:28" x14ac:dyDescent="0.25">
      <c r="F13">
        <v>90</v>
      </c>
      <c r="G13">
        <f>_xll.acq_options_bjerksund_price($C$4,F13,$C$6,$C$8,$C$9,$C$7,TRUE)</f>
        <v>13.64387625522145</v>
      </c>
      <c r="H13">
        <f>_xll.acq_options_bjerksund_price($C$4,F13,$C$6,$C$8,$C$9,$C$7,FALSE)</f>
        <v>13.793321561722518</v>
      </c>
      <c r="I13">
        <f>_xll.acq_options_blackscholes_price($C$4,F13,$C$6,$C$8,$C$9,$C$7,TRUE)</f>
        <v>13.64387625522145</v>
      </c>
      <c r="J13">
        <f>_xll.acq_options_blackscholes_price($C$4,F13,$C$6,$C$8,$C$9,$C$7,FALSE)</f>
        <v>11.107594133476663</v>
      </c>
      <c r="L13" s="45">
        <v>0.45</v>
      </c>
      <c r="M13">
        <f>_xll.acq_options_bjerksund_price(M$4,$C$5,$L13,$C$8,$C$9,$C$7,TRUE)</f>
        <v>1.3220076263873874</v>
      </c>
      <c r="N13">
        <f>_xll.acq_options_bjerksund_price(N$4,$C$5,$L13,$C$8,$C$9,$C$7,TRUE)</f>
        <v>3.3378814660780236</v>
      </c>
      <c r="O13">
        <f>_xll.acq_options_bjerksund_price(O$4,$C$5,$L13,$C$8,$C$9,$C$7,TRUE)</f>
        <v>6.8514884557864519</v>
      </c>
      <c r="P13">
        <f>_xll.acq_options_bjerksund_price(P$4,$C$5,$L13,$C$8,$C$9,$C$7,TRUE)</f>
        <v>12.015938789816275</v>
      </c>
      <c r="Q13">
        <f>_xll.acq_options_bjerksund_price(Q$4,$C$5,$L13,$C$8,$C$9,$C$7,TRUE)</f>
        <v>18.704094599156875</v>
      </c>
      <c r="R13">
        <f>_xll.acq_options_bjerksund_price(R$4,$C$5,$L13,$C$8,$C$9,$C$7,TRUE)</f>
        <v>26.608241237567285</v>
      </c>
      <c r="S13">
        <f>_xll.acq_options_bjerksund_price(S$4,$C$5,$L13,$C$8,$C$9,$C$7,TRUE)</f>
        <v>35.373138265944448</v>
      </c>
      <c r="U13" s="45">
        <v>0.45</v>
      </c>
      <c r="V13">
        <f>_xll.acq_options_bjerksund_price(V$4,$C$5,$U13,$C$8,$C$9,$C$7,FALSE)</f>
        <v>30</v>
      </c>
      <c r="W13">
        <f>_xll.acq_options_bjerksund_price(W$4,$C$5,$U13,$C$8,$C$9,$C$7,FALSE)</f>
        <v>20.727323879111289</v>
      </c>
      <c r="X13">
        <f>_xll.acq_options_bjerksund_price(X$4,$C$5,$U13,$C$8,$C$9,$C$7,FALSE)</f>
        <v>13.51576476330748</v>
      </c>
      <c r="Y13">
        <f>_xll.acq_options_bjerksund_price(Y$4,$C$5,$U13,$C$8,$C$9,$C$7,FALSE)</f>
        <v>8.3155956253103511</v>
      </c>
      <c r="Z13">
        <f>_xll.acq_options_bjerksund_price(Z$4,$C$5,$U13,$C$8,$C$9,$C$7,FALSE)</f>
        <v>4.8332655650513772</v>
      </c>
      <c r="AA13">
        <f>_xll.acq_options_bjerksund_price(AA$4,$C$5,$U13,$C$8,$C$9,$C$7,FALSE)</f>
        <v>2.662572789779432</v>
      </c>
      <c r="AB13">
        <f>_xll.acq_options_bjerksund_price(AB$4,$C$5,$U13,$C$8,$C$9,$C$7,FALSE)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_xll.acq_options_bjerksund_price($C$4,F14,$C$6,$C$8,$C$9,$C$7,TRUE)</f>
        <v>10.193272005183939</v>
      </c>
      <c r="H14">
        <f>_xll.acq_options_bjerksund_price($C$4,F14,$C$6,$C$8,$C$9,$C$7,FALSE)</f>
        <v>21.034358320176022</v>
      </c>
      <c r="I14">
        <f>_xll.acq_options_blackscholes_price($C$4,F14,$C$6,$C$8,$C$9,$C$7,TRUE)</f>
        <v>10.193272005183939</v>
      </c>
      <c r="J14">
        <f>_xll.acq_options_blackscholes_price($C$4,F14,$C$6,$C$8,$C$9,$C$7,FALSE)</f>
        <v>16.26406964768973</v>
      </c>
      <c r="L14" s="45">
        <v>0.5</v>
      </c>
      <c r="M14">
        <f>_xll.acq_options_bjerksund_price(M$4,$C$5,$L14,$C$8,$C$9,$C$7,TRUE)</f>
        <v>1.6227218735392519</v>
      </c>
      <c r="N14">
        <f>_xll.acq_options_bjerksund_price(N$4,$C$5,$L14,$C$8,$C$9,$C$7,TRUE)</f>
        <v>3.8345092401585674</v>
      </c>
      <c r="O14">
        <f>_xll.acq_options_bjerksund_price(O$4,$C$5,$L14,$C$8,$C$9,$C$7,TRUE)</f>
        <v>7.5160898111802226</v>
      </c>
      <c r="P14">
        <f>_xll.acq_options_bjerksund_price(P$4,$C$5,$L14,$C$8,$C$9,$C$7,TRUE)</f>
        <v>12.774386491242922</v>
      </c>
      <c r="Q14">
        <f>_xll.acq_options_bjerksund_price(Q$4,$C$5,$L14,$C$8,$C$9,$C$7,TRUE)</f>
        <v>19.475275165999435</v>
      </c>
      <c r="R14">
        <f>_xll.acq_options_bjerksund_price(R$4,$C$5,$L14,$C$8,$C$9,$C$7,TRUE)</f>
        <v>27.33493684806686</v>
      </c>
      <c r="S14">
        <f>_xll.acq_options_bjerksund_price(S$4,$C$5,$L14,$C$8,$C$9,$C$7,TRUE)</f>
        <v>36.030798991139974</v>
      </c>
      <c r="U14" s="45">
        <v>0.5</v>
      </c>
      <c r="V14">
        <f>_xll.acq_options_bjerksund_price(V$4,$C$5,$U14,$C$8,$C$9,$C$7,FALSE)</f>
        <v>30</v>
      </c>
      <c r="W14">
        <f>_xll.acq_options_bjerksund_price(W$4,$C$5,$U14,$C$8,$C$9,$C$7,FALSE)</f>
        <v>20.878498091942536</v>
      </c>
      <c r="X14">
        <f>_xll.acq_options_bjerksund_price(X$4,$C$5,$U14,$C$8,$C$9,$C$7,FALSE)</f>
        <v>13.809632330257585</v>
      </c>
      <c r="Y14">
        <f>_xll.acq_options_bjerksund_price(Y$4,$C$5,$U14,$C$8,$C$9,$C$7,FALSE)</f>
        <v>8.6800903822513931</v>
      </c>
      <c r="Z14">
        <f>_xll.acq_options_bjerksund_price(Z$4,$C$5,$U14,$C$8,$C$9,$C$7,FALSE)</f>
        <v>5.1927188835421703</v>
      </c>
      <c r="AA14">
        <f>_xll.acq_options_bjerksund_price(AA$4,$C$5,$U14,$C$8,$C$9,$C$7,FALSE)</f>
        <v>2.9657980624896823</v>
      </c>
      <c r="AB14">
        <f>_xll.acq_options_bjerksund_price(AB$4,$C$5,$U14,$C$8,$C$9,$C$7,FALSE)</f>
        <v>1.6237713217188059</v>
      </c>
    </row>
    <row r="15" spans="1:28" x14ac:dyDescent="0.25">
      <c r="B15" s="44" t="s">
        <v>142</v>
      </c>
      <c r="F15">
        <v>110</v>
      </c>
      <c r="G15">
        <f>_xll.acq_options_bjerksund_price($C$4,F15,$C$6,$C$8,$C$9,$C$7,TRUE)</f>
        <v>7.5495839691497224</v>
      </c>
      <c r="H15">
        <f>_xll.acq_options_bjerksund_price($C$4,F15,$C$6,$C$8,$C$9,$C$7,FALSE)</f>
        <v>30</v>
      </c>
      <c r="I15">
        <f>_xll.acq_options_blackscholes_price($C$4,F15,$C$6,$C$8,$C$9,$C$7,TRUE)</f>
        <v>7.5495839691497224</v>
      </c>
      <c r="J15">
        <f>_xll.acq_options_blackscholes_price($C$4,F15,$C$6,$C$8,$C$9,$C$7,FALSE)</f>
        <v>22.227461375906074</v>
      </c>
      <c r="L15" s="45">
        <v>0.55000000000000004</v>
      </c>
      <c r="M15">
        <f>_xll.acq_options_bjerksund_price(M$4,$C$5,$L15,$C$8,$C$9,$C$7,TRUE)</f>
        <v>1.9359037949518303</v>
      </c>
      <c r="N15">
        <f>_xll.acq_options_bjerksund_price(N$4,$C$5,$L15,$C$8,$C$9,$C$7,TRUE)</f>
        <v>4.3287315102680708</v>
      </c>
      <c r="O15">
        <f>_xll.acq_options_bjerksund_price(O$4,$C$5,$L15,$C$8,$C$9,$C$7,TRUE)</f>
        <v>8.1617044786651789</v>
      </c>
      <c r="P15">
        <f>_xll.acq_options_bjerksund_price(P$4,$C$5,$L15,$C$8,$C$9,$C$7,TRUE)</f>
        <v>13.505475510640622</v>
      </c>
      <c r="Q15">
        <f>_xll.acq_options_bjerksund_price(Q$4,$C$5,$L15,$C$8,$C$9,$C$7,TRUE)</f>
        <v>20.221599997811651</v>
      </c>
      <c r="R15">
        <f>_xll.acq_options_bjerksund_price(R$4,$C$5,$L15,$C$8,$C$9,$C$7,TRUE)</f>
        <v>28.045986426643253</v>
      </c>
      <c r="S15">
        <f>_xll.acq_options_bjerksund_price(S$4,$C$5,$L15,$C$8,$C$9,$C$7,TRUE)</f>
        <v>36.68287223338848</v>
      </c>
      <c r="U15" s="45">
        <v>0.55000000000000004</v>
      </c>
      <c r="V15">
        <f>_xll.acq_options_bjerksund_price(V$4,$C$5,$U15,$C$8,$C$9,$C$7,FALSE)</f>
        <v>30</v>
      </c>
      <c r="W15">
        <f>_xll.acq_options_bjerksund_price(W$4,$C$5,$U15,$C$8,$C$9,$C$7,FALSE)</f>
        <v>21.028678254900704</v>
      </c>
      <c r="X15">
        <f>_xll.acq_options_bjerksund_price(X$4,$C$5,$U15,$C$8,$C$9,$C$7,FALSE)</f>
        <v>14.086457106078548</v>
      </c>
      <c r="Y15">
        <f>_xll.acq_options_bjerksund_price(Y$4,$C$5,$U15,$C$8,$C$9,$C$7,FALSE)</f>
        <v>9.0198177682868135</v>
      </c>
      <c r="Z15">
        <f>_xll.acq_options_bjerksund_price(Z$4,$C$5,$U15,$C$8,$C$9,$C$7,FALSE)</f>
        <v>5.5302052099230963</v>
      </c>
      <c r="AA15">
        <f>_xll.acq_options_bjerksund_price(AA$4,$C$5,$U15,$C$8,$C$9,$C$7,FALSE)</f>
        <v>3.2561561952630882</v>
      </c>
      <c r="AB15">
        <f>_xll.acq_options_bjerksund_price(AB$4,$C$5,$U15,$C$8,$C$9,$C$7,FALSE)</f>
        <v>1.8479046798663319</v>
      </c>
    </row>
    <row r="16" spans="1:28" x14ac:dyDescent="0.25">
      <c r="F16">
        <v>120</v>
      </c>
      <c r="G16">
        <f>_xll.acq_options_bjerksund_price($C$4,F16,$C$6,$C$8,$C$9,$C$7,TRUE)</f>
        <v>5.5572058532914603</v>
      </c>
      <c r="H16">
        <f>_xll.acq_options_bjerksund_price($C$4,F16,$C$6,$C$8,$C$9,$C$7,FALSE)</f>
        <v>40</v>
      </c>
      <c r="I16">
        <f>_xll.acq_options_blackscholes_price($C$4,F16,$C$6,$C$8,$C$9,$C$7,TRUE)</f>
        <v>5.5572058532914603</v>
      </c>
      <c r="J16">
        <f>_xll.acq_options_blackscholes_price($C$4,F16,$C$6,$C$8,$C$9,$C$7,FALSE)</f>
        <v>28.842163024298387</v>
      </c>
      <c r="L16" s="45">
        <v>0.6</v>
      </c>
      <c r="M16">
        <f>_xll.acq_options_bjerksund_price(M$4,$C$5,$L16,$C$8,$C$9,$C$7,TRUE)</f>
        <v>2.258861243040176</v>
      </c>
      <c r="N16">
        <f>_xll.acq_options_bjerksund_price(N$4,$C$5,$L16,$C$8,$C$9,$C$7,TRUE)</f>
        <v>4.8196393772779302</v>
      </c>
      <c r="O16">
        <f>_xll.acq_options_bjerksund_price(O$4,$C$5,$L16,$C$8,$C$9,$C$7,TRUE)</f>
        <v>8.7903539078867752</v>
      </c>
      <c r="P16">
        <f>_xll.acq_options_bjerksund_price(P$4,$C$5,$L16,$C$8,$C$9,$C$7,TRUE)</f>
        <v>14.212760516317701</v>
      </c>
      <c r="Q16">
        <f>_xll.acq_options_bjerksund_price(Q$4,$C$5,$L16,$C$8,$C$9,$C$7,TRUE)</f>
        <v>20.945897916596991</v>
      </c>
      <c r="R16">
        <f>_xll.acq_options_bjerksund_price(R$4,$C$5,$L16,$C$8,$C$9,$C$7,TRUE)</f>
        <v>28.742275367622042</v>
      </c>
      <c r="S16">
        <f>_xll.acq_options_bjerksund_price(S$4,$C$5,$L16,$C$8,$C$9,$C$7,TRUE)</f>
        <v>37.328517349387681</v>
      </c>
      <c r="U16" s="45">
        <v>0.6</v>
      </c>
      <c r="V16">
        <f>_xll.acq_options_bjerksund_price(V$4,$C$5,$U16,$C$8,$C$9,$C$7,FALSE)</f>
        <v>30.005345917754727</v>
      </c>
      <c r="W16">
        <f>_xll.acq_options_bjerksund_price(W$4,$C$5,$U16,$C$8,$C$9,$C$7,FALSE)</f>
        <v>21.176894025870496</v>
      </c>
      <c r="X16">
        <f>_xll.acq_options_bjerksund_price(X$4,$C$5,$U16,$C$8,$C$9,$C$7,FALSE)</f>
        <v>14.348187494698188</v>
      </c>
      <c r="Y16">
        <f>_xll.acq_options_bjerksund_price(Y$4,$C$5,$U16,$C$8,$C$9,$C$7,FALSE)</f>
        <v>9.3382092346537036</v>
      </c>
      <c r="Z16">
        <f>_xll.acq_options_bjerksund_price(Z$4,$C$5,$U16,$C$8,$C$9,$C$7,FALSE)</f>
        <v>5.8484237377127499</v>
      </c>
      <c r="AA16">
        <f>_xll.acq_options_bjerksund_price(AA$4,$C$5,$U16,$C$8,$C$9,$C$7,FALSE)</f>
        <v>3.5344479649784546</v>
      </c>
      <c r="AB16">
        <f>_xll.acq_options_bjerksund_price(AB$4,$C$5,$U16,$C$8,$C$9,$C$7,FALSE)</f>
        <v>2.068028069267541</v>
      </c>
    </row>
    <row r="17" spans="6:28" x14ac:dyDescent="0.25">
      <c r="F17">
        <v>130</v>
      </c>
      <c r="G17">
        <f>_xll.acq_options_bjerksund_price($C$4,F17,$C$6,$C$8,$C$9,$C$7,TRUE)</f>
        <v>4.0737494988621421</v>
      </c>
      <c r="H17">
        <f>_xll.acq_options_bjerksund_price($C$4,F17,$C$6,$C$8,$C$9,$C$7,FALSE)</f>
        <v>50</v>
      </c>
      <c r="I17">
        <f>_xll.acq_options_blackscholes_price($C$4,F17,$C$6,$C$8,$C$9,$C$7,TRUE)</f>
        <v>4.0737494988621421</v>
      </c>
      <c r="J17">
        <f>_xll.acq_options_blackscholes_price($C$4,F17,$C$6,$C$8,$C$9,$C$7,FALSE)</f>
        <v>35.965786434119664</v>
      </c>
      <c r="L17" s="45">
        <v>0.65</v>
      </c>
      <c r="M17">
        <f>_xll.acq_options_bjerksund_price(M$4,$C$5,$L17,$C$8,$C$9,$C$7,TRUE)</f>
        <v>2.5894915623839694</v>
      </c>
      <c r="N17">
        <f>_xll.acq_options_bjerksund_price(N$4,$C$5,$L17,$C$8,$C$9,$C$7,TRUE)</f>
        <v>5.3066791898033259</v>
      </c>
      <c r="O17">
        <f>_xll.acq_options_bjerksund_price(O$4,$C$5,$L17,$C$8,$C$9,$C$7,TRUE)</f>
        <v>9.4037218920352075</v>
      </c>
      <c r="P17">
        <f>_xll.acq_options_bjerksund_price(P$4,$C$5,$L17,$C$8,$C$9,$C$7,TRUE)</f>
        <v>14.899069131369856</v>
      </c>
      <c r="Q17">
        <f>_xll.acq_options_bjerksund_price(Q$4,$C$5,$L17,$C$8,$C$9,$C$7,TRUE)</f>
        <v>21.650489437910764</v>
      </c>
      <c r="R17">
        <f>_xll.acq_options_bjerksund_price(R$4,$C$5,$L17,$C$8,$C$9,$C$7,TRUE)</f>
        <v>29.424685054017914</v>
      </c>
      <c r="S17">
        <f>_xll.acq_options_bjerksund_price(S$4,$C$5,$L17,$C$8,$C$9,$C$7,TRUE)</f>
        <v>37.96725174397325</v>
      </c>
      <c r="U17" s="45">
        <v>0.65</v>
      </c>
      <c r="V17">
        <f>_xll.acq_options_bjerksund_price(V$4,$C$5,$U17,$C$8,$C$9,$C$7,FALSE)</f>
        <v>30.019387489338804</v>
      </c>
      <c r="W17">
        <f>_xll.acq_options_bjerksund_price(W$4,$C$5,$U17,$C$8,$C$9,$C$7,FALSE)</f>
        <v>21.322541467052218</v>
      </c>
      <c r="X17">
        <f>_xll.acq_options_bjerksund_price(X$4,$C$5,$U17,$C$8,$C$9,$C$7,FALSE)</f>
        <v>14.596441833137632</v>
      </c>
      <c r="Y17">
        <f>_xll.acq_options_bjerksund_price(Y$4,$C$5,$U17,$C$8,$C$9,$C$7,FALSE)</f>
        <v>9.637983728017673</v>
      </c>
      <c r="Z17">
        <f>_xll.acq_options_bjerksund_price(Z$4,$C$5,$U17,$C$8,$C$9,$C$7,FALSE)</f>
        <v>6.1495793862091972</v>
      </c>
      <c r="AA17">
        <f>_xll.acq_options_bjerksund_price(AA$4,$C$5,$U17,$C$8,$C$9,$C$7,FALSE)</f>
        <v>3.8014742129426224</v>
      </c>
      <c r="AB17">
        <f>_xll.acq_options_bjerksund_price(AB$4,$C$5,$U17,$C$8,$C$9,$C$7,FALSE)</f>
        <v>2.283627586778664</v>
      </c>
    </row>
    <row r="18" spans="6:28" x14ac:dyDescent="0.25">
      <c r="F18">
        <v>140</v>
      </c>
      <c r="G18">
        <f>_xll.acq_options_bjerksund_price($C$4,F18,$C$6,$C$8,$C$9,$C$7,TRUE)</f>
        <v>2.9787847831490559</v>
      </c>
      <c r="H18">
        <f>_xll.acq_options_bjerksund_price($C$4,F18,$C$6,$C$8,$C$9,$C$7,FALSE)</f>
        <v>60</v>
      </c>
      <c r="I18">
        <f>_xll.acq_options_blackscholes_price($C$4,F18,$C$6,$C$8,$C$9,$C$7,TRUE)</f>
        <v>2.9787847831490559</v>
      </c>
      <c r="J18">
        <f>_xll.acq_options_blackscholes_price($C$4,F18,$C$6,$C$8,$C$9,$C$7,FALSE)</f>
        <v>43.477901482657145</v>
      </c>
      <c r="L18" s="45">
        <v>0.7</v>
      </c>
      <c r="M18">
        <f>_xll.acq_options_bjerksund_price(M$4,$C$5,$L18,$C$8,$C$9,$C$7,TRUE)</f>
        <v>2.9261382049111546</v>
      </c>
      <c r="N18">
        <f>_xll.acq_options_bjerksund_price(N$4,$C$5,$L18,$C$8,$C$9,$C$7,TRUE)</f>
        <v>5.7895261989538227</v>
      </c>
      <c r="O18">
        <f>_xll.acq_options_bjerksund_price(O$4,$C$5,$L18,$C$8,$C$9,$C$7,TRUE)</f>
        <v>10.003226240717751</v>
      </c>
      <c r="P18">
        <f>_xll.acq_options_bjerksund_price(P$4,$C$5,$L18,$C$8,$C$9,$C$7,TRUE)</f>
        <v>15.566694650132135</v>
      </c>
      <c r="Q18">
        <f>_xll.acq_options_bjerksund_price(Q$4,$C$5,$L18,$C$8,$C$9,$C$7,TRUE)</f>
        <v>22.337304917691952</v>
      </c>
      <c r="R18">
        <f>_xll.acq_options_bjerksund_price(R$4,$C$5,$L18,$C$8,$C$9,$C$7,TRUE)</f>
        <v>30.094056827394681</v>
      </c>
      <c r="S18">
        <f>_xll.acq_options_bjerksund_price(S$4,$C$5,$L18,$C$8,$C$9,$C$7,TRUE)</f>
        <v>38.598827848734857</v>
      </c>
      <c r="U18" s="45">
        <v>0.7</v>
      </c>
      <c r="V18">
        <f>_xll.acq_options_bjerksund_price(V$4,$C$5,$U18,$C$8,$C$9,$C$7,FALSE)</f>
        <v>30.040155624016606</v>
      </c>
      <c r="W18">
        <f>_xll.acq_options_bjerksund_price(W$4,$C$5,$U18,$C$8,$C$9,$C$7,FALSE)</f>
        <v>21.465254318063465</v>
      </c>
      <c r="X18">
        <f>_xll.acq_options_bjerksund_price(X$4,$C$5,$U18,$C$8,$C$9,$C$7,FALSE)</f>
        <v>14.832578998839985</v>
      </c>
      <c r="Y18">
        <f>_xll.acq_options_bjerksund_price(Y$4,$C$5,$U18,$C$8,$C$9,$C$7,FALSE)</f>
        <v>9.9213379184106572</v>
      </c>
      <c r="Z18">
        <f>_xll.acq_options_bjerksund_price(Z$4,$C$5,$U18,$C$8,$C$9,$C$7,FALSE)</f>
        <v>6.435498641492515</v>
      </c>
      <c r="AA18">
        <f>_xll.acq_options_bjerksund_price(AA$4,$C$5,$U18,$C$8,$C$9,$C$7,FALSE)</f>
        <v>4.0580000145426993</v>
      </c>
      <c r="AB18">
        <f>_xll.acq_options_bjerksund_price(AB$4,$C$5,$U18,$C$8,$C$9,$C$7,FALSE)</f>
        <v>2.4944205008523568</v>
      </c>
    </row>
    <row r="19" spans="6:28" x14ac:dyDescent="0.25">
      <c r="F19">
        <v>150</v>
      </c>
      <c r="G19">
        <f>_xll.acq_options_bjerksund_price($C$4,F19,$C$6,$C$8,$C$9,$C$7,TRUE)</f>
        <v>2.1754439786033046</v>
      </c>
      <c r="H19">
        <f>_xll.acq_options_bjerksund_price($C$4,F19,$C$6,$C$8,$C$9,$C$7,FALSE)</f>
        <v>70</v>
      </c>
      <c r="I19">
        <f>_xll.acq_options_blackscholes_price($C$4,F19,$C$6,$C$8,$C$9,$C$7,TRUE)</f>
        <v>2.1754439786033046</v>
      </c>
      <c r="J19">
        <f>_xll.acq_options_blackscholes_price($C$4,F19,$C$6,$C$8,$C$9,$C$7,FALSE)</f>
        <v>51.281640442361976</v>
      </c>
      <c r="L19" s="45">
        <v>0.75</v>
      </c>
      <c r="M19">
        <f>_xll.acq_options_bjerksund_price(M$4,$C$5,$L19,$C$8,$C$9,$C$7,TRUE)</f>
        <v>3.2674848321699592</v>
      </c>
      <c r="N19">
        <f>_xll.acq_options_bjerksund_price(N$4,$C$5,$L19,$C$8,$C$9,$C$7,TRUE)</f>
        <v>6.2680054749935081</v>
      </c>
      <c r="O19">
        <f>_xll.acq_options_bjerksund_price(O$4,$C$5,$L19,$C$8,$C$9,$C$7,TRUE)</f>
        <v>10.590072787991147</v>
      </c>
      <c r="P19">
        <f>_xll.acq_options_bjerksund_price(P$4,$C$5,$L19,$C$8,$C$9,$C$7,TRUE)</f>
        <v>16.217527656802034</v>
      </c>
      <c r="Q19">
        <f>_xll.acq_options_bjerksund_price(Q$4,$C$5,$L19,$C$8,$C$9,$C$7,TRUE)</f>
        <v>23.007969973594484</v>
      </c>
      <c r="R19">
        <f>_xll.acq_options_bjerksund_price(R$4,$C$5,$L19,$C$8,$C$9,$C$7,TRUE)</f>
        <v>30.751176742698817</v>
      </c>
      <c r="S19">
        <f>_xll.acq_options_bjerksund_price(S$4,$C$5,$L19,$C$8,$C$9,$C$7,TRUE)</f>
        <v>39.223153452007978</v>
      </c>
      <c r="U19" s="45">
        <v>0.75</v>
      </c>
      <c r="V19">
        <f>_xll.acq_options_bjerksund_price(V$4,$C$5,$U19,$C$8,$C$9,$C$7,FALSE)</f>
        <v>30.066381381137603</v>
      </c>
      <c r="W19">
        <f>_xll.acq_options_bjerksund_price(W$4,$C$5,$U19,$C$8,$C$9,$C$7,FALSE)</f>
        <v>21.604822951440077</v>
      </c>
      <c r="X19">
        <f>_xll.acq_options_bjerksund_price(X$4,$C$5,$U19,$C$8,$C$9,$C$7,FALSE)</f>
        <v>15.057751545192005</v>
      </c>
      <c r="Y19">
        <f>_xll.acq_options_bjerksund_price(Y$4,$C$5,$U19,$C$8,$C$9,$C$7,FALSE)</f>
        <v>10.190075896726043</v>
      </c>
      <c r="Z19">
        <f>_xll.acq_options_bjerksund_price(Z$4,$C$5,$U19,$C$8,$C$9,$C$7,FALSE)</f>
        <v>6.7077131968609081</v>
      </c>
      <c r="AA19">
        <f>_xll.acq_options_bjerksund_price(AA$4,$C$5,$U19,$C$8,$C$9,$C$7,FALSE)</f>
        <v>4.3047394093293008</v>
      </c>
      <c r="AB19">
        <f>_xll.acq_options_bjerksund_price(AB$4,$C$5,$U19,$C$8,$C$9,$C$7,FALSE)</f>
        <v>2.7002771269771699</v>
      </c>
    </row>
    <row r="20" spans="6:28" x14ac:dyDescent="0.25">
      <c r="F20">
        <v>160</v>
      </c>
      <c r="G20">
        <f>_xll.acq_options_bjerksund_price($C$4,F20,$C$6,$C$8,$C$9,$C$7,TRUE)</f>
        <v>1.5884016046392393</v>
      </c>
      <c r="H20">
        <f>_xll.acq_options_bjerksund_price($C$4,F20,$C$6,$C$8,$C$9,$C$7,FALSE)</f>
        <v>80</v>
      </c>
      <c r="I20">
        <f>_xll.acq_options_blackscholes_price($C$4,F20,$C$6,$C$8,$C$9,$C$7,TRUE)</f>
        <v>1.5884016046392393</v>
      </c>
      <c r="J20">
        <f>_xll.acq_options_blackscholes_price($C$4,F20,$C$6,$C$8,$C$9,$C$7,FALSE)</f>
        <v>59.301677832648494</v>
      </c>
      <c r="L20" s="45">
        <v>0.8</v>
      </c>
      <c r="M20">
        <f>_xll.acq_options_bjerksund_price(M$4,$C$5,$L20,$C$8,$C$9,$C$7,TRUE)</f>
        <v>3.6124768739890207</v>
      </c>
      <c r="N20">
        <f>_xll.acq_options_bjerksund_price(N$4,$C$5,$L20,$C$8,$C$9,$C$7,TRUE)</f>
        <v>6.7420411793595392</v>
      </c>
      <c r="O20">
        <f>_xll.acq_options_bjerksund_price(O$4,$C$5,$L20,$C$8,$C$9,$C$7,TRUE)</f>
        <v>11.165296483907433</v>
      </c>
      <c r="P20">
        <f>_xll.acq_options_bjerksund_price(P$4,$C$5,$L20,$C$8,$C$9,$C$7,TRUE)</f>
        <v>16.853148675567766</v>
      </c>
      <c r="Q20">
        <f>_xll.acq_options_bjerksund_price(Q$4,$C$5,$L20,$C$8,$C$9,$C$7,TRUE)</f>
        <v>23.663868481596595</v>
      </c>
      <c r="R20">
        <f>_xll.acq_options_bjerksund_price(R$4,$C$5,$L20,$C$8,$C$9,$C$7,TRUE)</f>
        <v>31.396770872801753</v>
      </c>
      <c r="S20">
        <f>_xll.acq_options_bjerksund_price(S$4,$C$5,$L20,$C$8,$C$9,$C$7,TRUE)</f>
        <v>39.84023923718388</v>
      </c>
      <c r="U20" s="45">
        <v>0.8</v>
      </c>
      <c r="V20">
        <f>_xll.acq_options_bjerksund_price(V$4,$C$5,$U20,$C$8,$C$9,$C$7,FALSE)</f>
        <v>30.097033642388915</v>
      </c>
      <c r="W20">
        <f>_xll.acq_options_bjerksund_price(W$4,$C$5,$U20,$C$8,$C$9,$C$7,FALSE)</f>
        <v>21.741142139247827</v>
      </c>
      <c r="X20">
        <f>_xll.acq_options_bjerksund_price(X$4,$C$5,$U20,$C$8,$C$9,$C$7,FALSE)</f>
        <v>15.2729460671897</v>
      </c>
      <c r="Y20">
        <f>_xll.acq_options_bjerksund_price(Y$4,$C$5,$U20,$C$8,$C$9,$C$7,FALSE)</f>
        <v>10.445700309453485</v>
      </c>
      <c r="Z20">
        <f>_xll.acq_options_bjerksund_price(Z$4,$C$5,$U20,$C$8,$C$9,$C$7,FALSE)</f>
        <v>6.9675215419987353</v>
      </c>
      <c r="AA20">
        <f>_xll.acq_options_bjerksund_price(AA$4,$C$5,$U20,$C$8,$C$9,$C$7,FALSE)</f>
        <v>4.5423505649096114</v>
      </c>
      <c r="AB20">
        <f>_xll.acq_options_bjerksund_price(AB$4,$C$5,$U20,$C$8,$C$9,$C$7,FALSE)</f>
        <v>2.901169441243951</v>
      </c>
    </row>
    <row r="21" spans="6:28" x14ac:dyDescent="0.25">
      <c r="F21">
        <v>170</v>
      </c>
      <c r="G21">
        <f>_xll.acq_options_bjerksund_price($C$4,F21,$C$6,$C$8,$C$9,$C$7,TRUE)</f>
        <v>1.1604388542201924</v>
      </c>
      <c r="H21">
        <f>_xll.acq_options_bjerksund_price($C$4,F21,$C$6,$C$8,$C$9,$C$7,FALSE)</f>
        <v>90</v>
      </c>
      <c r="I21">
        <f>_xll.acq_options_blackscholes_price($C$4,F21,$C$6,$C$8,$C$9,$C$7,TRUE)</f>
        <v>1.1604388542201924</v>
      </c>
      <c r="J21">
        <f>_xll.acq_options_blackscholes_price($C$4,F21,$C$6,$C$8,$C$9,$C$7,FALSE)</f>
        <v>67.480794846480023</v>
      </c>
      <c r="L21" s="45">
        <v>0.85</v>
      </c>
      <c r="M21">
        <f>_xll.acq_options_bjerksund_price(M$4,$C$5,$L21,$C$8,$C$9,$C$7,TRUE)</f>
        <v>3.9602630344811658</v>
      </c>
      <c r="N21">
        <f>_xll.acq_options_bjerksund_price(N$4,$C$5,$L21,$C$8,$C$9,$C$7,TRUE)</f>
        <v>7.2116233487736707</v>
      </c>
      <c r="O21">
        <f>_xll.acq_options_bjerksund_price(O$4,$C$5,$L21,$C$8,$C$9,$C$7,TRUE)</f>
        <v>11.729793010426683</v>
      </c>
      <c r="P21">
        <f>_xll.acq_options_bjerksund_price(P$4,$C$5,$L21,$C$8,$C$9,$C$7,TRUE)</f>
        <v>17.474895089987953</v>
      </c>
      <c r="Q21">
        <f>_xll.acq_options_bjerksund_price(Q$4,$C$5,$L21,$C$8,$C$9,$C$7,TRUE)</f>
        <v>24.30618987808279</v>
      </c>
      <c r="R21">
        <f>_xll.acq_options_bjerksund_price(R$4,$C$5,$L21,$C$8,$C$9,$C$7,TRUE)</f>
        <v>32.031505908628986</v>
      </c>
      <c r="S21">
        <f>_xll.acq_options_bjerksund_price(S$4,$C$5,$L21,$C$8,$C$9,$C$7,TRUE)</f>
        <v>40.450163738127458</v>
      </c>
      <c r="U21" s="45">
        <v>0.85</v>
      </c>
      <c r="V21">
        <f>_xll.acq_options_bjerksund_price(V$4,$C$5,$U21,$C$8,$C$9,$C$7,FALSE)</f>
        <v>30.131271677953357</v>
      </c>
      <c r="W21">
        <f>_xll.acq_options_bjerksund_price(W$4,$C$5,$U21,$C$8,$C$9,$C$7,FALSE)</f>
        <v>21.874176704910447</v>
      </c>
      <c r="X21">
        <f>_xll.acq_options_bjerksund_price(X$4,$C$5,$U21,$C$8,$C$9,$C$7,FALSE)</f>
        <v>15.479014206765569</v>
      </c>
      <c r="Y21">
        <f>_xll.acq_options_bjerksund_price(Y$4,$C$5,$U21,$C$8,$C$9,$C$7,FALSE)</f>
        <v>10.689478061153395</v>
      </c>
      <c r="Z21">
        <f>_xll.acq_options_bjerksund_price(Z$4,$C$5,$U21,$C$8,$C$9,$C$7,FALSE)</f>
        <v>7.2160351309845367</v>
      </c>
      <c r="AA21">
        <f>_xll.acq_options_bjerksund_price(AA$4,$C$5,$U21,$C$8,$C$9,$C$7,FALSE)</f>
        <v>4.7714361792330635</v>
      </c>
      <c r="AB21">
        <f>_xll.acq_options_bjerksund_price(AB$4,$C$5,$U21,$C$8,$C$9,$C$7,FALSE)</f>
        <v>3.0971367888594727</v>
      </c>
    </row>
    <row r="22" spans="6:28" x14ac:dyDescent="0.25">
      <c r="L22" s="45">
        <v>0.9</v>
      </c>
      <c r="M22">
        <f>_xll.acq_options_bjerksund_price(M$4,$C$5,$L22,$C$8,$C$9,$C$7,TRUE)</f>
        <v>4.3101513048814297</v>
      </c>
      <c r="N22">
        <f>_xll.acq_options_bjerksund_price(N$4,$C$5,$L22,$C$8,$C$9,$C$7,TRUE)</f>
        <v>7.6767857701179167</v>
      </c>
      <c r="O22">
        <f>_xll.acq_options_bjerksund_price(O$4,$C$5,$L22,$C$8,$C$9,$C$7,TRUE)</f>
        <v>12.284343387420471</v>
      </c>
      <c r="P22">
        <f>_xll.acq_options_bjerksund_price(P$4,$C$5,$L22,$C$8,$C$9,$C$7,TRUE)</f>
        <v>18.08391056175634</v>
      </c>
      <c r="Q22">
        <f>_xll.acq_options_bjerksund_price(Q$4,$C$5,$L22,$C$8,$C$9,$C$7,TRUE)</f>
        <v>24.935965259353111</v>
      </c>
      <c r="R22">
        <f>_xll.acq_options_bjerksund_price(R$4,$C$5,$L22,$C$8,$C$9,$C$7,TRUE)</f>
        <v>32.655992303727814</v>
      </c>
      <c r="S22">
        <f>_xll.acq_options_bjerksund_price(S$4,$C$5,$L22,$C$8,$C$9,$C$7,TRUE)</f>
        <v>41.053049648774646</v>
      </c>
      <c r="U22" s="45">
        <v>0.9</v>
      </c>
      <c r="V22">
        <f>_xll.acq_options_bjerksund_price(V$4,$C$5,$U22,$C$8,$C$9,$C$7,FALSE)</f>
        <v>30.168407147610274</v>
      </c>
      <c r="W22">
        <f>_xll.acq_options_bjerksund_price(W$4,$C$5,$U22,$C$8,$C$9,$C$7,FALSE)</f>
        <v>22.003938547541125</v>
      </c>
      <c r="X22">
        <f>_xll.acq_options_bjerksund_price(X$4,$C$5,$U22,$C$8,$C$9,$C$7,FALSE)</f>
        <v>15.676696740899636</v>
      </c>
      <c r="Y22">
        <f>_xll.acq_options_bjerksund_price(Y$4,$C$5,$U22,$C$8,$C$9,$C$7,FALSE)</f>
        <v>10.922488741216739</v>
      </c>
      <c r="Z22">
        <f>_xll.acq_options_bjerksund_price(Z$4,$C$5,$U22,$C$8,$C$9,$C$7,FALSE)</f>
        <v>7.4542135528883051</v>
      </c>
      <c r="AA22">
        <f>_xll.acq_options_bjerksund_price(AA$4,$C$5,$U22,$C$8,$C$9,$C$7,FALSE)</f>
        <v>4.992546402492394</v>
      </c>
      <c r="AB22">
        <f>_xll.acq_options_bjerksund_price(AB$4,$C$5,$U22,$C$8,$C$9,$C$7,FALSE)</f>
        <v>3.2882627227475894</v>
      </c>
    </row>
    <row r="23" spans="6:28" x14ac:dyDescent="0.25">
      <c r="L23" s="45">
        <v>0.95</v>
      </c>
      <c r="M23">
        <f>_xll.acq_options_bjerksund_price(M$4,$C$5,$L23,$C$8,$C$9,$C$7,TRUE)</f>
        <v>4.661575584393109</v>
      </c>
      <c r="N23">
        <f>_xll.acq_options_bjerksund_price(N$4,$C$5,$L23,$C$8,$C$9,$C$7,TRUE)</f>
        <v>8.1375910346079934</v>
      </c>
      <c r="O23">
        <f>_xll.acq_options_bjerksund_price(O$4,$C$5,$L23,$C$8,$C$9,$C$7,TRUE)</f>
        <v>12.829633338382564</v>
      </c>
      <c r="P23">
        <f>_xll.acq_options_bjerksund_price(P$4,$C$5,$L23,$C$8,$C$9,$C$7,TRUE)</f>
        <v>18.681182237692596</v>
      </c>
      <c r="Q23">
        <f>_xll.acq_options_bjerksund_price(Q$4,$C$5,$L23,$C$8,$C$9,$C$7,TRUE)</f>
        <v>25.554095338976467</v>
      </c>
      <c r="R23">
        <f>_xll.acq_options_bjerksund_price(R$4,$C$5,$L23,$C$8,$C$9,$C$7,TRUE)</f>
        <v>33.270788508861145</v>
      </c>
      <c r="S23">
        <f>_xll.acq_options_bjerksund_price(S$4,$C$5,$L23,$C$8,$C$9,$C$7,TRUE)</f>
        <v>41.649047657149481</v>
      </c>
      <c r="U23" s="45">
        <v>0.95</v>
      </c>
      <c r="V23">
        <f>_xll.acq_options_bjerksund_price(V$4,$C$5,$U23,$C$8,$C$9,$C$7,FALSE)</f>
        <v>30.207874016497883</v>
      </c>
      <c r="W23">
        <f>_xll.acq_options_bjerksund_price(W$4,$C$5,$U23,$C$8,$C$9,$C$7,FALSE)</f>
        <v>22.130471052706028</v>
      </c>
      <c r="X23">
        <f>_xll.acq_options_bjerksund_price(X$4,$C$5,$U23,$C$8,$C$9,$C$7,FALSE)</f>
        <v>15.866642505105219</v>
      </c>
      <c r="Y23">
        <f>_xll.acq_options_bjerksund_price(Y$4,$C$5,$U23,$C$8,$C$9,$C$7,FALSE)</f>
        <v>11.14566101178896</v>
      </c>
      <c r="Z23">
        <f>_xll.acq_options_bjerksund_price(Z$4,$C$5,$U23,$C$8,$C$9,$C$7,FALSE)</f>
        <v>7.6828917175824216</v>
      </c>
      <c r="AA23">
        <f>_xll.acq_options_bjerksund_price(AA$4,$C$5,$U23,$C$8,$C$9,$C$7,FALSE)</f>
        <v>5.2061828422575331</v>
      </c>
      <c r="AB23">
        <f>_xll.acq_options_bjerksund_price(AB$4,$C$5,$U23,$C$8,$C$9,$C$7,FALSE)</f>
        <v>3.4746592085344616</v>
      </c>
    </row>
    <row r="24" spans="6:28" x14ac:dyDescent="0.25">
      <c r="L24" s="45">
        <v>1</v>
      </c>
      <c r="M24">
        <f>_xll.acq_options_bjerksund_price(M$4,$C$5,$L24,$C$8,$C$9,$C$7,TRUE)</f>
        <v>5.0140701174890125</v>
      </c>
      <c r="N24">
        <f>_xll.acq_options_bjerksund_price(N$4,$C$5,$L24,$C$8,$C$9,$C$7,TRUE)</f>
        <v>8.5941203285764018</v>
      </c>
      <c r="O24">
        <f>_xll.acq_options_bjerksund_price(O$4,$C$5,$L24,$C$8,$C$9,$C$7,TRUE)</f>
        <v>13.366268694943344</v>
      </c>
      <c r="P24">
        <f>_xll.acq_options_bjerksund_price(P$4,$C$5,$L24,$C$8,$C$9,$C$7,TRUE)</f>
        <v>19.267569242584131</v>
      </c>
      <c r="Q24">
        <f>_xll.acq_options_bjerksund_price(Q$4,$C$5,$L24,$C$8,$C$9,$C$7,TRUE)</f>
        <v>26.161372388767646</v>
      </c>
      <c r="R24">
        <f>_xll.acq_options_bjerksund_price(R$4,$C$5,$L24,$C$8,$C$9,$C$7,TRUE)</f>
        <v>33.876405530139706</v>
      </c>
      <c r="S24">
        <f>_xll.acq_options_bjerksund_price(S$4,$C$5,$L24,$C$8,$C$9,$C$7,TRUE)</f>
        <v>42.238325339292729</v>
      </c>
      <c r="U24" s="45">
        <v>1</v>
      </c>
      <c r="V24">
        <f>_xll.acq_options_bjerksund_price(V$4,$C$5,$U24,$C$8,$C$9,$C$7,FALSE)</f>
        <v>30.249204819926547</v>
      </c>
      <c r="W24">
        <f>_xll.acq_options_bjerksund_price(W$4,$C$5,$U24,$C$8,$C$9,$C$7,FALSE)</f>
        <v>22.253838391226381</v>
      </c>
      <c r="X24">
        <f>_xll.acq_options_bjerksund_price(X$4,$C$5,$U24,$C$8,$C$9,$C$7,FALSE)</f>
        <v>16.049423418172978</v>
      </c>
      <c r="Y24">
        <f>_xll.acq_options_bjerksund_price(Y$4,$C$5,$U24,$C$8,$C$9,$C$7,FALSE)</f>
        <v>11.359800416866619</v>
      </c>
      <c r="Z24">
        <f>_xll.acq_options_bjerksund_price(Z$4,$C$5,$U24,$C$8,$C$9,$C$7,FALSE)</f>
        <v>7.902801148209889</v>
      </c>
      <c r="AA24">
        <f>_xll.acq_options_bjerksund_price(AA$4,$C$5,$U24,$C$8,$C$9,$C$7,FALSE)</f>
        <v>5.412802895372181</v>
      </c>
      <c r="AB24">
        <f>_xll.acq_options_bjerksund_price(AB$4,$C$5,$U24,$C$8,$C$9,$C$7,FALSE)</f>
        <v>3.6564557766512564</v>
      </c>
    </row>
    <row r="26" spans="6:28" x14ac:dyDescent="0.25">
      <c r="V26" s="46"/>
      <c r="W26" s="46"/>
      <c r="X26" s="46"/>
      <c r="Y26" s="46"/>
    </row>
    <row r="27" spans="6:28" x14ac:dyDescent="0.25"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6" t="s">
        <v>145</v>
      </c>
      <c r="H30" s="56"/>
      <c r="I30" s="56"/>
      <c r="J30" s="56"/>
      <c r="K30" s="56"/>
      <c r="L30" s="56"/>
      <c r="M30" s="56"/>
      <c r="N30" s="56"/>
      <c r="S30" s="56" t="s">
        <v>146</v>
      </c>
      <c r="T30" s="56"/>
      <c r="U30" s="56"/>
      <c r="V30" s="56"/>
      <c r="W30" s="56"/>
      <c r="X30" s="56"/>
      <c r="Y30" s="56"/>
      <c r="Z30" s="56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_xll.acq_options_bjerksund_greeks(G$31,$F32,$C$5,$C$6,$C$8,$C$9,$C$7,TRUE)</f>
        <v>6.9465073166143299</v>
      </c>
      <c r="H32">
        <f>_xll.acq_options_bjerksund_greeks(H$31,$F32,$C$5,$C$6,$C$8,$C$9,$C$7,TRUE)</f>
        <v>0.3268460935125006</v>
      </c>
      <c r="I32">
        <f>_xll.acq_options_bjerksund_greeks(I$31,$F32,$C$5,$C$6,$C$8,$C$9,$C$7,TRUE)</f>
        <v>9.1262654301260664E-3</v>
      </c>
      <c r="J32">
        <f>_xll.acq_options_bjerksund_greeks(J$31,$F32,$C$5,$C$6,$C$8,$C$9,$C$7,TRUE)</f>
        <v>57.039015191614645</v>
      </c>
      <c r="K32">
        <f>_xll.acq_options_bjerksund_greeks(K$31,$F32,$C$5,$C$6,$C$8,$C$9,$C$7,TRUE)</f>
        <v>86.385122070709031</v>
      </c>
      <c r="L32">
        <f>_xll.acq_options_bjerksund_greeks(L$31,$F32,$C$5,$C$6,$C$8,$C$9,$C$7,TRUE)</f>
        <v>1.2177808335067652</v>
      </c>
      <c r="M32">
        <f>_xll.acq_options_bjerksund_greeks(M$31,$F32,$C$5,$C$6,$C$8,$C$9,$C$7,TRUE)</f>
        <v>64.345349058148926</v>
      </c>
      <c r="N32">
        <f>_xll.acq_options_bjerksund_greeks(N$31,$F32,$C$5,$C$6,$C$8,$C$9,$C$7,TRUE)</f>
        <v>-4.3961104729248746</v>
      </c>
      <c r="R32" s="13">
        <v>100</v>
      </c>
      <c r="S32">
        <f>_xll.acq_options_blackscholes_greeks(S$31,$F32,$C$5,$C$6,$C$8,$C$9,$C$7,FALSE)</f>
        <v>36.052703780372994</v>
      </c>
      <c r="T32">
        <f>_xll.acq_options_blackscholes_greeks(T$31,$F32,$C$5,$C$6,$C$8,$C$9,$C$7,TRUE)</f>
        <v>0.32684607298191365</v>
      </c>
      <c r="U32">
        <f>_xll.acq_options_blackscholes_greeks(U$31,$F32,$C$5,$C$6,$C$8,$C$9,$C$7,TRUE)</f>
        <v>9.1262703877350686E-3</v>
      </c>
      <c r="V32">
        <f>_xll.acq_options_blackscholes_greeks(V$31,$F32,$C$5,$C$6,$C$8,$C$9,$C$7,TRUE)</f>
        <v>57.039189923344175</v>
      </c>
      <c r="W32">
        <f>_xll.acq_options_blackscholes_greeks(W$31,$F32,$C$5,$C$6,$C$8,$C$9,$C$7,TRUE)</f>
        <v>86.384027279888585</v>
      </c>
      <c r="X32">
        <f>_xll.acq_options_blackscholes_greeks(X$31,$F32,$C$5,$C$6,$C$8,$C$9,$C$7,TRUE)</f>
        <v>1.2177734101075526</v>
      </c>
      <c r="Y32">
        <f>_xll.acq_options_blackscholes_greeks(Y$31,$F32,$C$5,$C$6,$C$8,$C$9,$C$7,TRUE)</f>
        <v>64.345249953942599</v>
      </c>
      <c r="Z32">
        <f>_xll.acq_options_blackscholes_greeks(Z$31,$F32,$C$5,$C$6,$C$8,$C$9,$C$7,TRUE)</f>
        <v>-4.396245495061831</v>
      </c>
    </row>
    <row r="33" spans="6:28" x14ac:dyDescent="0.25">
      <c r="F33" s="13">
        <v>110</v>
      </c>
      <c r="G33">
        <f>_xll.acq_options_bjerksund_greeks(G$31,$F33,$C$5,$C$6,$C$8,$C$9,$C$7,TRUE)</f>
        <v>10.670991424465527</v>
      </c>
      <c r="H33">
        <f>_xll.acq_options_bjerksund_greeks(H$31,$F33,$C$5,$C$6,$C$8,$C$9,$C$7,TRUE)</f>
        <v>0.41780136890236269</v>
      </c>
      <c r="I33">
        <f>_xll.acq_options_bjerksund_greeks(I$31,$F33,$C$5,$C$6,$C$8,$C$9,$C$7,TRUE)</f>
        <v>8.9795735371161998E-3</v>
      </c>
      <c r="J33">
        <f>_xll.acq_options_bjerksund_greeks(J$31,$F33,$C$5,$C$6,$C$8,$C$9,$C$7,TRUE)</f>
        <v>67.90796371146962</v>
      </c>
      <c r="K33">
        <f>_xll.acq_options_bjerksund_greeks(K$31,$F33,$C$5,$C$6,$C$8,$C$9,$C$7,TRUE)</f>
        <v>33.980461068949808</v>
      </c>
      <c r="L33">
        <f>_xll.acq_options_bjerksund_greeks(L$31,$F33,$C$5,$C$6,$C$8,$C$9,$C$7,TRUE)</f>
        <v>0.94145537055112527</v>
      </c>
      <c r="M33">
        <f>_xll.acq_options_bjerksund_greeks(M$31,$F33,$C$5,$C$6,$C$8,$C$9,$C$7,TRUE)</f>
        <v>88.217876881071078</v>
      </c>
      <c r="N33">
        <f>_xll.acq_options_bjerksund_greeks(N$31,$F33,$C$5,$C$6,$C$8,$C$9,$C$7,TRUE)</f>
        <v>-5.5126909344025421</v>
      </c>
      <c r="R33" s="13">
        <v>110</v>
      </c>
      <c r="S33">
        <f>_xll.acq_options_blackscholes_greeks(S$31,$F33,$C$5,$C$6,$C$8,$C$9,$C$7,TRUE)</f>
        <v>10.670991424465527</v>
      </c>
      <c r="T33">
        <f>_xll.acq_options_blackscholes_greeks(T$31,$F33,$C$5,$C$6,$C$8,$C$9,$C$7,TRUE)</f>
        <v>0.41780144710065253</v>
      </c>
      <c r="U33">
        <f>_xll.acq_options_blackscholes_greeks(U$31,$F33,$C$5,$C$6,$C$8,$C$9,$C$7,TRUE)</f>
        <v>8.9795778027757234E-3</v>
      </c>
      <c r="V33">
        <f>_xll.acq_options_blackscholes_greeks(V$31,$F33,$C$5,$C$6,$C$8,$C$9,$C$7,TRUE)</f>
        <v>67.908057133491425</v>
      </c>
      <c r="W33">
        <f>_xll.acq_options_blackscholes_greeks(W$31,$F33,$C$5,$C$6,$C$8,$C$9,$C$7,TRUE)</f>
        <v>33.979819173289677</v>
      </c>
      <c r="X33">
        <f>_xll.acq_options_blackscholes_greeks(X$31,$F33,$C$5,$C$6,$C$8,$C$9,$C$7,TRUE)</f>
        <v>0.94144738821942553</v>
      </c>
      <c r="Y33">
        <f>_xll.acq_options_blackscholes_greeks(Y$31,$F33,$C$5,$C$6,$C$8,$C$9,$C$7,TRUE)</f>
        <v>88.217919391515636</v>
      </c>
      <c r="Z33">
        <f>_xll.acq_options_blackscholes_greeks(Z$31,$F33,$C$5,$C$6,$C$8,$C$9,$C$7,TRUE)</f>
        <v>-5.5126329220709458</v>
      </c>
    </row>
    <row r="34" spans="6:28" x14ac:dyDescent="0.25">
      <c r="F34" s="13">
        <v>120</v>
      </c>
      <c r="G34">
        <f>_xll.acq_options_bjerksund_greeks(G$31,$F34,$C$5,$C$6,$C$8,$C$9,$C$7,TRUE)</f>
        <v>15.289908007775914</v>
      </c>
      <c r="H34">
        <f>_xll.acq_options_bjerksund_greeks(H$31,$F34,$C$5,$C$6,$C$8,$C$9,$C$7,TRUE)</f>
        <v>0.5050272354453138</v>
      </c>
      <c r="I34">
        <f>_xll.acq_options_bjerksund_greeks(I$31,$F34,$C$5,$C$6,$C$8,$C$9,$C$7,TRUE)</f>
        <v>8.4097708994177213E-3</v>
      </c>
      <c r="J34">
        <f>_xll.acq_options_bjerksund_greeks(J$31,$F34,$C$5,$C$6,$C$8,$C$9,$C$7,TRUE)</f>
        <v>75.687936620806013</v>
      </c>
      <c r="K34">
        <f>_xll.acq_options_bjerksund_greeks(K$31,$F34,$C$5,$C$6,$C$8,$C$9,$C$7,TRUE)</f>
        <v>-1.4598946549426728</v>
      </c>
      <c r="L34">
        <f>_xll.acq_options_bjerksund_greeks(L$31,$F34,$C$5,$C$6,$C$8,$C$9,$C$7,TRUE)</f>
        <v>0.61062898559782752</v>
      </c>
      <c r="M34">
        <f>_xll.acq_options_bjerksund_greeks(M$31,$F34,$C$5,$C$6,$C$8,$C$9,$C$7,TRUE)</f>
        <v>113.28324526480316</v>
      </c>
      <c r="N34">
        <f>_xll.acq_options_bjerksund_greeks(N$31,$F34,$C$5,$C$6,$C$8,$C$9,$C$7,TRUE)</f>
        <v>-6.5034522182330079</v>
      </c>
      <c r="R34" s="13">
        <v>120</v>
      </c>
      <c r="S34">
        <f>_xll.acq_options_blackscholes_greeks(S$31,$F34,$C$5,$C$6,$C$8,$C$9,$C$7,TRUE)</f>
        <v>15.289908007775914</v>
      </c>
      <c r="T34">
        <f>_xll.acq_options_blackscholes_greeks(T$31,$F34,$C$5,$C$6,$C$8,$C$9,$C$7,TRUE)</f>
        <v>0.50502740900274612</v>
      </c>
      <c r="U34">
        <f>_xll.acq_options_blackscholes_greeks(U$31,$F34,$C$5,$C$6,$C$8,$C$9,$C$7,TRUE)</f>
        <v>8.4097739147731311E-3</v>
      </c>
      <c r="V34">
        <f>_xll.acq_options_blackscholes_greeks(V$31,$F34,$C$5,$C$6,$C$8,$C$9,$C$7,TRUE)</f>
        <v>75.687965232958177</v>
      </c>
      <c r="W34">
        <f>_xll.acq_options_blackscholes_greeks(W$31,$F34,$C$5,$C$6,$C$8,$C$9,$C$7,TRUE)</f>
        <v>-1.4600613476523561</v>
      </c>
      <c r="X34">
        <f>_xll.acq_options_blackscholes_greeks(X$31,$F34,$C$5,$C$6,$C$8,$C$9,$C$7,TRUE)</f>
        <v>0.61062447214452564</v>
      </c>
      <c r="Y34">
        <f>_xll.acq_options_blackscholes_greeks(Y$31,$F34,$C$5,$C$6,$C$8,$C$9,$C$7,TRUE)</f>
        <v>113.28345268138406</v>
      </c>
      <c r="Z34">
        <f>_xll.acq_options_blackscholes_greeks(Z$31,$F34,$C$5,$C$6,$C$8,$C$9,$C$7,TRUE)</f>
        <v>-6.5032011260011258</v>
      </c>
    </row>
    <row r="35" spans="6:28" x14ac:dyDescent="0.25">
      <c r="F35" s="13">
        <v>130</v>
      </c>
      <c r="G35">
        <f>_xll.acq_options_bjerksund_greeks(G$31,$F35,$C$5,$C$6,$C$8,$C$9,$C$7,TRUE)</f>
        <v>20.747698559422354</v>
      </c>
      <c r="H35">
        <f>_xll.acq_options_bjerksund_greeks(H$31,$F35,$C$5,$C$6,$C$8,$C$9,$C$7,TRUE)</f>
        <v>0.58515350692318269</v>
      </c>
      <c r="I35">
        <f>_xll.acq_options_bjerksund_greeks(I$31,$F35,$C$5,$C$6,$C$8,$C$9,$C$7,TRUE)</f>
        <v>7.5859506784061075E-3</v>
      </c>
      <c r="J35">
        <f>_xll.acq_options_bjerksund_greeks(J$31,$F35,$C$5,$C$6,$C$8,$C$9,$C$7,TRUE)</f>
        <v>80.126612325319186</v>
      </c>
      <c r="K35">
        <f>_xll.acq_options_bjerksund_greeks(K$31,$F35,$C$5,$C$6,$C$8,$C$9,$C$7,TRUE)</f>
        <v>-12.422145211132829</v>
      </c>
      <c r="L35">
        <f>_xll.acq_options_bjerksund_greeks(L$31,$F35,$C$5,$C$6,$C$8,$C$9,$C$7,TRUE)</f>
        <v>0.28096376603059525</v>
      </c>
      <c r="M35">
        <f>_xll.acq_options_bjerksund_greeks(M$31,$F35,$C$5,$C$6,$C$8,$C$9,$C$7,TRUE)</f>
        <v>138.30535437384484</v>
      </c>
      <c r="N35">
        <f>_xll.acq_options_bjerksund_greeks(N$31,$F35,$C$5,$C$6,$C$8,$C$9,$C$7,TRUE)</f>
        <v>-7.3260842762152834</v>
      </c>
      <c r="R35" s="13">
        <v>130</v>
      </c>
      <c r="S35">
        <f>_xll.acq_options_blackscholes_greeks(S$31,$F35,$C$5,$C$6,$C$8,$C$9,$C$7,TRUE)</f>
        <v>20.747698559422354</v>
      </c>
      <c r="T35">
        <f>_xll.acq_options_blackscholes_greeks(T$31,$F35,$C$5,$C$6,$C$8,$C$9,$C$7,TRUE)</f>
        <v>0.58515376072374226</v>
      </c>
      <c r="U35">
        <f>_xll.acq_options_blackscholes_greeks(U$31,$F35,$C$5,$C$6,$C$8,$C$9,$C$7,TRUE)</f>
        <v>7.5859522410552452E-3</v>
      </c>
      <c r="V35">
        <f>_xll.acq_options_blackscholes_greeks(V$31,$F35,$C$5,$C$6,$C$8,$C$9,$C$7,TRUE)</f>
        <v>80.126620546146029</v>
      </c>
      <c r="W35">
        <f>_xll.acq_options_blackscholes_greeks(W$31,$F35,$C$5,$C$6,$C$8,$C$9,$C$7,TRUE)</f>
        <v>-12.422148732776144</v>
      </c>
      <c r="X35">
        <f>_xll.acq_options_blackscholes_greeks(X$31,$F35,$C$5,$C$6,$C$8,$C$9,$C$7,TRUE)</f>
        <v>0.28096424105724838</v>
      </c>
      <c r="Y35">
        <f>_xll.acq_options_blackscholes_greeks(Y$31,$F35,$C$5,$C$6,$C$8,$C$9,$C$7,TRUE)</f>
        <v>138.30572583666037</v>
      </c>
      <c r="Z35">
        <f>_xll.acq_options_blackscholes_greeks(Z$31,$F35,$C$5,$C$6,$C$8,$C$9,$C$7,TRUE)</f>
        <v>-7.3256684473871498</v>
      </c>
    </row>
    <row r="36" spans="6:28" x14ac:dyDescent="0.25">
      <c r="F36" s="13">
        <v>140</v>
      </c>
      <c r="G36">
        <f>_xll.acq_options_bjerksund_greeks(G$31,$F36,$C$5,$C$6,$C$8,$C$9,$C$7,TRUE)</f>
        <v>26.963148585682376</v>
      </c>
      <c r="H36">
        <f>_xll.acq_options_bjerksund_greeks(H$31,$F36,$C$5,$C$6,$C$8,$C$9,$C$7,TRUE)</f>
        <v>0.65636959541244255</v>
      </c>
      <c r="I36">
        <f>_xll.acq_options_bjerksund_greeks(I$31,$F36,$C$5,$C$6,$C$8,$C$9,$C$7,TRUE)</f>
        <v>6.6478239983142392E-3</v>
      </c>
      <c r="J36">
        <f>_xll.acq_options_bjerksund_greeks(J$31,$F36,$C$5,$C$6,$C$8,$C$9,$C$7,TRUE)</f>
        <v>81.435810228910483</v>
      </c>
      <c r="K36">
        <f>_xll.acq_options_bjerksund_greeks(K$31,$F36,$C$5,$C$6,$C$8,$C$9,$C$7,TRUE)</f>
        <v>0.95636991659375781</v>
      </c>
      <c r="L36">
        <f>_xll.acq_options_bjerksund_greeks(L$31,$F36,$C$5,$C$6,$C$8,$C$9,$C$7,TRUE)</f>
        <v>-1.0734343192098095E-2</v>
      </c>
      <c r="M36">
        <f>_xll.acq_options_bjerksund_greeks(M$31,$F36,$C$5,$C$6,$C$8,$C$9,$C$7,TRUE)</f>
        <v>162.32108070906293</v>
      </c>
      <c r="N36">
        <f>_xll.acq_options_bjerksund_greeks(N$31,$F36,$C$5,$C$6,$C$8,$C$9,$C$7,TRUE)</f>
        <v>-7.9680478346091377</v>
      </c>
      <c r="R36" s="13">
        <v>140</v>
      </c>
      <c r="S36">
        <f>_xll.acq_options_blackscholes_greeks(S$31,$F36,$C$5,$C$6,$C$8,$C$9,$C$7,TRUE)</f>
        <v>26.963148585682376</v>
      </c>
      <c r="T36">
        <f>_xll.acq_options_blackscholes_greeks(T$31,$F36,$C$5,$C$6,$C$8,$C$9,$C$7,TRUE)</f>
        <v>0.65636990850526189</v>
      </c>
      <c r="U36">
        <f>_xll.acq_options_blackscholes_greeks(U$31,$F36,$C$5,$C$6,$C$8,$C$9,$C$7,TRUE)</f>
        <v>6.6478241690909289E-3</v>
      </c>
      <c r="V36">
        <f>_xll.acq_options_blackscholes_greeks(V$31,$F36,$C$5,$C$6,$C$8,$C$9,$C$7,TRUE)</f>
        <v>81.435846071363898</v>
      </c>
      <c r="W36">
        <f>_xll.acq_options_blackscholes_greeks(W$31,$F36,$C$5,$C$6,$C$8,$C$9,$C$7,TRUE)</f>
        <v>0.9561516787806924</v>
      </c>
      <c r="X36">
        <f>_xll.acq_options_blackscholes_greeks(X$31,$F36,$C$5,$C$6,$C$8,$C$9,$C$7,TRUE)</f>
        <v>-1.0729534808983428E-2</v>
      </c>
      <c r="Y36">
        <f>_xll.acq_options_blackscholes_greeks(Y$31,$F36,$C$5,$C$6,$C$8,$C$9,$C$7,TRUE)</f>
        <v>162.32159651263572</v>
      </c>
      <c r="Z36">
        <f>_xll.acq_options_blackscholes_greeks(Z$31,$F36,$C$5,$C$6,$C$8,$C$9,$C$7,TRUE)</f>
        <v>-7.9675106198714509</v>
      </c>
    </row>
    <row r="37" spans="6:28" x14ac:dyDescent="0.25">
      <c r="F37" s="13">
        <v>150</v>
      </c>
      <c r="G37">
        <f>_xll.acq_options_bjerksund_greeks(G$31,$F37,$C$5,$C$6,$C$8,$C$9,$C$7,TRUE)</f>
        <v>33.843283885988228</v>
      </c>
      <c r="H37">
        <f>_xll.acq_options_bjerksund_greeks(H$31,$F37,$C$5,$C$6,$C$8,$C$9,$C$7,TRUE)</f>
        <v>0.71806899097599819</v>
      </c>
      <c r="I37">
        <f>_xll.acq_options_bjerksund_greeks(I$31,$F37,$C$5,$C$6,$C$8,$C$9,$C$7,TRUE)</f>
        <v>5.6962004950694084E-3</v>
      </c>
      <c r="J37">
        <f>_xll.acq_options_bjerksund_greeks(J$31,$F37,$C$5,$C$6,$C$8,$C$9,$C$7,TRUE)</f>
        <v>80.10270710024507</v>
      </c>
      <c r="K37">
        <f>_xll.acq_options_bjerksund_greeks(K$31,$F37,$C$5,$C$6,$C$8,$C$9,$C$7,TRUE)</f>
        <v>33.623827917494964</v>
      </c>
      <c r="L37">
        <f>_xll.acq_options_bjerksund_greeks(L$31,$F37,$C$5,$C$6,$C$8,$C$9,$C$7,TRUE)</f>
        <v>-0.24565594003433944</v>
      </c>
      <c r="M37">
        <f>_xll.acq_options_bjerksund_greeks(M$31,$F37,$C$5,$C$6,$C$8,$C$9,$C$7,TRUE)</f>
        <v>184.66716458091526</v>
      </c>
      <c r="N37">
        <f>_xll.acq_options_bjerksund_greeks(N$31,$F37,$C$5,$C$6,$C$8,$C$9,$C$7,TRUE)</f>
        <v>-8.4377790046801238</v>
      </c>
      <c r="R37" s="13">
        <v>150</v>
      </c>
      <c r="S37">
        <f>_xll.acq_options_blackscholes_greeks(S$31,$F37,$C$5,$C$6,$C$8,$C$9,$C$7,TRUE)</f>
        <v>33.843283885988228</v>
      </c>
      <c r="T37">
        <f>_xll.acq_options_blackscholes_greeks(T$31,$F37,$C$5,$C$6,$C$8,$C$9,$C$7,TRUE)</f>
        <v>0.71806934129200195</v>
      </c>
      <c r="U37">
        <f>_xll.acq_options_blackscholes_greeks(U$31,$F37,$C$5,$C$6,$C$8,$C$9,$C$7,TRUE)</f>
        <v>5.6961994931021389E-3</v>
      </c>
      <c r="V37">
        <f>_xll.acq_options_blackscholes_greeks(V$31,$F37,$C$5,$C$6,$C$8,$C$9,$C$7,TRUE)</f>
        <v>80.102805371748843</v>
      </c>
      <c r="W37">
        <f>_xll.acq_options_blackscholes_greeks(W$31,$F37,$C$5,$C$6,$C$8,$C$9,$C$7,TRUE)</f>
        <v>33.623152554791588</v>
      </c>
      <c r="X37">
        <f>_xll.acq_options_blackscholes_greeks(X$31,$F37,$C$5,$C$6,$C$8,$C$9,$C$7,TRUE)</f>
        <v>-0.24564860314002981</v>
      </c>
      <c r="Y37">
        <f>_xll.acq_options_blackscholes_greeks(Y$31,$F37,$C$5,$C$6,$C$8,$C$9,$C$7,TRUE)</f>
        <v>184.66779326953019</v>
      </c>
      <c r="Z37">
        <f>_xll.acq_options_blackscholes_greeks(Z$31,$F37,$C$5,$C$6,$C$8,$C$9,$C$7,TRUE)</f>
        <v>-8.4371673070561659</v>
      </c>
    </row>
    <row r="38" spans="6:28" x14ac:dyDescent="0.25">
      <c r="F38" s="13">
        <v>160</v>
      </c>
      <c r="G38">
        <f>_xll.acq_options_bjerksund_greeks(G$31,$F38,$C$5,$C$6,$C$8,$C$9,$C$7,TRUE)</f>
        <v>41.293476619733852</v>
      </c>
      <c r="H38">
        <f>_xll.acq_options_bjerksund_greeks(H$31,$F38,$C$5,$C$6,$C$8,$C$9,$C$7,TRUE)</f>
        <v>0.77046692467108713</v>
      </c>
      <c r="I38">
        <f>_xll.acq_options_bjerksund_greeks(I$31,$F38,$C$5,$C$6,$C$8,$C$9,$C$7,TRUE)</f>
        <v>4.79563496913471E-3</v>
      </c>
      <c r="J38">
        <f>_xll.acq_options_bjerksund_greeks(J$31,$F38,$C$5,$C$6,$C$8,$C$9,$C$7,TRUE)</f>
        <v>76.72995380617202</v>
      </c>
      <c r="K38">
        <f>_xll.acq_options_bjerksund_greeks(K$31,$F38,$C$5,$C$6,$C$8,$C$9,$C$7,TRUE)</f>
        <v>78.422079397455491</v>
      </c>
      <c r="L38">
        <f>_xll.acq_options_bjerksund_greeks(L$31,$F38,$C$5,$C$6,$C$8,$C$9,$C$7,TRUE)</f>
        <v>-0.41868886668794403</v>
      </c>
      <c r="M38">
        <f>_xll.acq_options_bjerksund_greeks(M$31,$F38,$C$5,$C$6,$C$8,$C$9,$C$7,TRUE)</f>
        <v>204.95252024268495</v>
      </c>
      <c r="N38">
        <f>_xll.acq_options_bjerksund_greeks(N$31,$F38,$C$5,$C$6,$C$8,$C$9,$C$7,TRUE)</f>
        <v>-8.7560273361475538</v>
      </c>
      <c r="R38" s="13">
        <v>160</v>
      </c>
      <c r="S38">
        <f>_xll.acq_options_blackscholes_greeks(S$31,$F38,$C$5,$C$6,$C$8,$C$9,$C$7,TRUE)</f>
        <v>41.293476619733852</v>
      </c>
      <c r="T38">
        <f>_xll.acq_options_blackscholes_greeks(T$31,$F38,$C$5,$C$6,$C$8,$C$9,$C$7,TRUE)</f>
        <v>0.77046729208634823</v>
      </c>
      <c r="U38">
        <f>_xll.acq_options_blackscholes_greeks(U$31,$F38,$C$5,$C$6,$C$8,$C$9,$C$7,TRUE)</f>
        <v>4.7956330789171607E-3</v>
      </c>
      <c r="V38">
        <f>_xll.acq_options_blackscholes_greeks(V$31,$F38,$C$5,$C$6,$C$8,$C$9,$C$7,TRUE)</f>
        <v>76.730129262674581</v>
      </c>
      <c r="W38">
        <f>_xll.acq_options_blackscholes_greeks(W$31,$F38,$C$5,$C$6,$C$8,$C$9,$C$7,TRUE)</f>
        <v>78.420915452756077</v>
      </c>
      <c r="X38">
        <f>_xll.acq_options_blackscholes_greeks(X$31,$F38,$C$5,$C$6,$C$8,$C$9,$C$7,TRUE)</f>
        <v>-0.41868108440249696</v>
      </c>
      <c r="Y38">
        <f>_xll.acq_options_blackscholes_greeks(Y$31,$F38,$C$5,$C$6,$C$8,$C$9,$C$7,TRUE)</f>
        <v>204.95322528520464</v>
      </c>
      <c r="Z38">
        <f>_xll.acq_options_blackscholes_greeks(Z$31,$F38,$C$5,$C$6,$C$8,$C$9,$C$7,TRUE)</f>
        <v>-8.7553838699786404</v>
      </c>
    </row>
    <row r="39" spans="6:28" x14ac:dyDescent="0.25">
      <c r="F39" s="13">
        <v>170</v>
      </c>
      <c r="G39">
        <f>_xll.acq_options_bjerksund_greeks(G$31,$F39,$C$5,$C$6,$C$8,$C$9,$C$7,TRUE)</f>
        <v>49.223965014857257</v>
      </c>
      <c r="H39">
        <f>_xll.acq_options_bjerksund_greeks(H$31,$F39,$C$5,$C$6,$C$8,$C$9,$C$7,TRUE)</f>
        <v>0.81427344747298736</v>
      </c>
      <c r="I39">
        <f>_xll.acq_options_bjerksund_greeks(I$31,$F39,$C$5,$C$6,$C$8,$C$9,$C$7,TRUE)</f>
        <v>3.9819350326845719E-3</v>
      </c>
      <c r="J39">
        <f>_xll.acq_options_bjerksund_greeks(J$31,$F39,$C$5,$C$6,$C$8,$C$9,$C$7,TRUE)</f>
        <v>71.923408359353346</v>
      </c>
      <c r="K39">
        <f>_xll.acq_options_bjerksund_greeks(K$31,$F39,$C$5,$C$6,$C$8,$C$9,$C$7,TRUE)</f>
        <v>128.17288842370544</v>
      </c>
      <c r="L39">
        <f>_xll.acq_options_bjerksund_greeks(L$31,$F39,$C$5,$C$6,$C$8,$C$9,$C$7,TRUE)</f>
        <v>-0.53352951212559674</v>
      </c>
      <c r="M39">
        <f>_xll.acq_options_bjerksund_greeks(M$31,$F39,$C$5,$C$6,$C$8,$C$9,$C$7,TRUE)</f>
        <v>223.00571402836766</v>
      </c>
      <c r="N39">
        <f>_xll.acq_options_bjerksund_greeks(N$31,$F39,$C$5,$C$6,$C$8,$C$9,$C$7,TRUE)</f>
        <v>-8.9489786358427637</v>
      </c>
      <c r="R39" s="13">
        <v>170</v>
      </c>
      <c r="S39">
        <f>_xll.acq_options_blackscholes_greeks(S$31,$F39,$C$5,$C$6,$C$8,$C$9,$C$7,TRUE)</f>
        <v>49.223965014857257</v>
      </c>
      <c r="T39">
        <f>_xll.acq_options_blackscholes_greeks(T$31,$F39,$C$5,$C$6,$C$8,$C$9,$C$7,TRUE)</f>
        <v>0.81427381538855603</v>
      </c>
      <c r="U39">
        <f>_xll.acq_options_blackscholes_greeks(U$31,$F39,$C$5,$C$6,$C$8,$C$9,$C$7,TRUE)</f>
        <v>3.9819325455787945E-3</v>
      </c>
      <c r="V39">
        <f>_xll.acq_options_blackscholes_greeks(V$31,$F39,$C$5,$C$6,$C$8,$C$9,$C$7,TRUE)</f>
        <v>71.923656604516992</v>
      </c>
      <c r="W39">
        <f>_xll.acq_options_blackscholes_greeks(W$31,$F39,$C$5,$C$6,$C$8,$C$9,$C$7,TRUE)</f>
        <v>128.17138928403224</v>
      </c>
      <c r="X39">
        <f>_xll.acq_options_blackscholes_greeks(X$31,$F39,$C$5,$C$6,$C$8,$C$9,$C$7,TRUE)</f>
        <v>-0.53352296402129529</v>
      </c>
      <c r="Y39">
        <f>_xll.acq_options_blackscholes_greeks(Y$31,$F39,$C$5,$C$6,$C$8,$C$9,$C$7,TRUE)</f>
        <v>223.00645900299318</v>
      </c>
      <c r="Z39">
        <f>_xll.acq_options_blackscholes_greeks(Z$31,$F39,$C$5,$C$6,$C$8,$C$9,$C$7,TRUE)</f>
        <v>-8.9483378462976866</v>
      </c>
    </row>
    <row r="40" spans="6:28" x14ac:dyDescent="0.25">
      <c r="F40" s="13">
        <v>180</v>
      </c>
      <c r="G40">
        <f>_xll.acq_options_bjerksund_greeks(G$31,$F40,$C$5,$C$6,$C$8,$C$9,$C$7,TRUE)</f>
        <v>57.553503651408207</v>
      </c>
      <c r="H40">
        <f>_xll.acq_options_bjerksund_greeks(H$31,$F40,$C$5,$C$6,$C$8,$C$9,$C$7,TRUE)</f>
        <v>0.85044765298296143</v>
      </c>
      <c r="I40">
        <f>_xll.acq_options_bjerksund_greeks(I$31,$F40,$C$5,$C$6,$C$8,$C$9,$C$7,TRUE)</f>
        <v>3.2704165161449674E-3</v>
      </c>
      <c r="J40">
        <f>_xll.acq_options_bjerksund_greeks(J$31,$F40,$C$5,$C$6,$C$8,$C$9,$C$7,TRUE)</f>
        <v>66.225574551161458</v>
      </c>
      <c r="K40">
        <f>_xll.acq_options_bjerksund_greeks(K$31,$F40,$C$5,$C$6,$C$8,$C$9,$C$7,TRUE)</f>
        <v>176.88777818136714</v>
      </c>
      <c r="L40">
        <f>_xll.acq_options_bjerksund_greeks(L$31,$F40,$C$5,$C$6,$C$8,$C$9,$C$7,TRUE)</f>
        <v>-0.59856029821503398</v>
      </c>
      <c r="M40">
        <f>_xll.acq_options_bjerksund_greeks(M$31,$F40,$C$5,$C$6,$C$8,$C$9,$C$7,TRUE)</f>
        <v>238.81709281342722</v>
      </c>
      <c r="N40">
        <f>_xll.acq_options_bjerksund_greeks(N$31,$F40,$C$5,$C$6,$C$8,$C$9,$C$7,TRUE)</f>
        <v>-9.0435353515800898</v>
      </c>
      <c r="R40" s="13">
        <v>180</v>
      </c>
      <c r="S40">
        <f>_xll.acq_options_blackscholes_greeks(S$31,$F40,$C$5,$C$6,$C$8,$C$9,$C$7,TRUE)</f>
        <v>57.553503651408207</v>
      </c>
      <c r="T40">
        <f>_xll.acq_options_blackscholes_greeks(T$31,$F40,$C$5,$C$6,$C$8,$C$9,$C$7,TRUE)</f>
        <v>0.85044800882270322</v>
      </c>
      <c r="U40">
        <f>_xll.acq_options_blackscholes_greeks(U$31,$F40,$C$5,$C$6,$C$8,$C$9,$C$7,TRUE)</f>
        <v>3.2704136877450621E-3</v>
      </c>
      <c r="V40">
        <f>_xll.acq_options_blackscholes_greeks(V$31,$F40,$C$5,$C$6,$C$8,$C$9,$C$7,TRUE)</f>
        <v>66.225877176837514</v>
      </c>
      <c r="W40">
        <f>_xll.acq_options_blackscholes_greeks(W$31,$F40,$C$5,$C$6,$C$8,$C$9,$C$7,TRUE)</f>
        <v>176.88620519164158</v>
      </c>
      <c r="X40">
        <f>_xll.acq_options_blackscholes_greeks(X$31,$F40,$C$5,$C$6,$C$8,$C$9,$C$7,TRUE)</f>
        <v>-0.59855608707596197</v>
      </c>
      <c r="Y40">
        <f>_xll.acq_options_blackscholes_greeks(Y$31,$F40,$C$5,$C$6,$C$8,$C$9,$C$7,TRUE)</f>
        <v>238.81784484169597</v>
      </c>
      <c r="Z40">
        <f>_xll.acq_options_blackscholes_greeks(Z$31,$F40,$C$5,$C$6,$C$8,$C$9,$C$7,TRUE)</f>
        <v>-9.0429221350425788</v>
      </c>
    </row>
    <row r="41" spans="6:28" x14ac:dyDescent="0.25">
      <c r="F41" s="13">
        <v>190</v>
      </c>
      <c r="G41">
        <f>_xll.acq_options_bjerksund_greeks(G$31,$F41,$C$5,$C$6,$C$8,$C$9,$C$7,TRUE)</f>
        <v>66.21095473086649</v>
      </c>
      <c r="H41">
        <f>_xll.acq_options_bjerksund_greeks(H$31,$F41,$C$5,$C$6,$C$8,$C$9,$C$7,TRUE)</f>
        <v>0.8800297568994534</v>
      </c>
      <c r="I41">
        <f>_xll.acq_options_bjerksund_greeks(I$31,$F41,$C$5,$C$6,$C$8,$C$9,$C$7,TRUE)</f>
        <v>2.6630418502196673E-3</v>
      </c>
      <c r="J41">
        <f>_xll.acq_options_bjerksund_greeks(J$31,$F41,$C$5,$C$6,$C$8,$C$9,$C$7,TRUE)</f>
        <v>60.084483868145298</v>
      </c>
      <c r="K41">
        <f>_xll.acq_options_bjerksund_greeks(K$31,$F41,$C$5,$C$6,$C$8,$C$9,$C$7,TRUE)</f>
        <v>220.25636792477599</v>
      </c>
      <c r="L41">
        <f>_xll.acq_options_bjerksund_greeks(L$31,$F41,$C$5,$C$6,$C$8,$C$9,$C$7,TRUE)</f>
        <v>-0.62389944588403523</v>
      </c>
      <c r="M41">
        <f>_xll.acq_options_bjerksund_greeks(M$31,$F41,$C$5,$C$6,$C$8,$C$9,$C$7,TRUE)</f>
        <v>252.48617522344574</v>
      </c>
      <c r="N41">
        <f>_xll.acq_options_bjerksund_greeks(N$31,$F41,$C$5,$C$6,$C$8,$C$9,$C$7,TRUE)</f>
        <v>-9.0644962948260854</v>
      </c>
      <c r="R41" s="13">
        <v>190</v>
      </c>
      <c r="S41">
        <f>_xll.acq_options_blackscholes_greeks(S$31,$F41,$C$5,$C$6,$C$8,$C$9,$C$7,TRUE)</f>
        <v>66.21095473086649</v>
      </c>
      <c r="T41">
        <f>_xll.acq_options_blackscholes_greeks(T$31,$F41,$C$5,$C$6,$C$8,$C$9,$C$7,TRUE)</f>
        <v>0.88003009193149673</v>
      </c>
      <c r="U41">
        <f>_xll.acq_options_blackscholes_greeks(U$31,$F41,$C$5,$C$6,$C$8,$C$9,$C$7,TRUE)</f>
        <v>2.6630388852266315E-3</v>
      </c>
      <c r="V41">
        <f>_xll.acq_options_blackscholes_greeks(V$31,$F41,$C$5,$C$6,$C$8,$C$9,$C$7,TRUE)</f>
        <v>60.084814847925891</v>
      </c>
      <c r="W41">
        <f>_xll.acq_options_blackscholes_greeks(W$31,$F41,$C$5,$C$6,$C$8,$C$9,$C$7,TRUE)</f>
        <v>220.2550068361071</v>
      </c>
      <c r="X41">
        <f>_xll.acq_options_blackscholes_greeks(X$31,$F41,$C$5,$C$6,$C$8,$C$9,$C$7,TRUE)</f>
        <v>-0.62389800519785743</v>
      </c>
      <c r="Y41">
        <f>_xll.acq_options_blackscholes_greeks(Y$31,$F41,$C$5,$C$6,$C$8,$C$9,$C$7,TRUE)</f>
        <v>252.48690684029469</v>
      </c>
      <c r="Z41">
        <f>_xll.acq_options_blackscholes_greeks(Z$31,$F41,$C$5,$C$6,$C$8,$C$9,$C$7,TRUE)</f>
        <v>-9.0639265065633676</v>
      </c>
    </row>
    <row r="42" spans="6:28" x14ac:dyDescent="0.25">
      <c r="F42" s="13">
        <v>200</v>
      </c>
      <c r="G42">
        <f>_xll.acq_options_bjerksund_greeks(G$31,$F42,$C$5,$C$6,$C$8,$C$9,$C$7,TRUE)</f>
        <v>75.135529709478263</v>
      </c>
      <c r="H42">
        <f>_xll.acq_options_bjerksund_greeks(H$31,$F42,$C$5,$C$6,$C$8,$C$9,$C$7,TRUE)</f>
        <v>0.90403626538762438</v>
      </c>
      <c r="I42">
        <f>_xll.acq_options_bjerksund_greeks(I$31,$F42,$C$5,$C$6,$C$8,$C$9,$C$7,TRUE)</f>
        <v>2.1538728482539678E-3</v>
      </c>
      <c r="J42">
        <f>_xll.acq_options_bjerksund_greeks(J$31,$F42,$C$5,$C$6,$C$8,$C$9,$C$7,TRUE)</f>
        <v>53.846416141126902</v>
      </c>
      <c r="K42">
        <f>_xll.acq_options_bjerksund_greeks(K$31,$F42,$C$5,$C$6,$C$8,$C$9,$C$7,TRUE)</f>
        <v>255.65606844679678</v>
      </c>
      <c r="L42">
        <f>_xll.acq_options_bjerksund_greeks(L$31,$F42,$C$5,$C$6,$C$8,$C$9,$C$7,TRUE)</f>
        <v>-0.61955002905733636</v>
      </c>
      <c r="M42">
        <f>_xll.acq_options_bjerksund_greeks(M$31,$F42,$C$5,$C$6,$C$8,$C$9,$C$7,TRUE)</f>
        <v>264.17877299539327</v>
      </c>
      <c r="N42">
        <f>_xll.acq_options_bjerksund_greeks(N$31,$F42,$C$5,$C$6,$C$8,$C$9,$C$7,TRUE)</f>
        <v>-9.0331625947186467</v>
      </c>
      <c r="R42" s="13">
        <v>200</v>
      </c>
      <c r="S42">
        <f>_xll.acq_options_blackscholes_greeks(S$31,$F42,$C$5,$C$6,$C$8,$C$9,$C$7,TRUE)</f>
        <v>75.135529709478263</v>
      </c>
      <c r="T42">
        <f>_xll.acq_options_blackscholes_greeks(T$31,$F42,$C$5,$C$6,$C$8,$C$9,$C$7,TRUE)</f>
        <v>0.90403657419288219</v>
      </c>
      <c r="U42">
        <f>_xll.acq_options_blackscholes_greeks(U$31,$F42,$C$5,$C$6,$C$8,$C$9,$C$7,TRUE)</f>
        <v>2.1538699034187587E-3</v>
      </c>
      <c r="V42">
        <f>_xll.acq_options_blackscholes_greeks(V$31,$F42,$C$5,$C$6,$C$8,$C$9,$C$7,TRUE)</f>
        <v>53.846747585468975</v>
      </c>
      <c r="W42">
        <f>_xll.acq_options_blackscholes_greeks(W$31,$F42,$C$5,$C$6,$C$8,$C$9,$C$7,TRUE)</f>
        <v>255.655164365107</v>
      </c>
      <c r="X42">
        <f>_xll.acq_options_blackscholes_greeks(X$31,$F42,$C$5,$C$6,$C$8,$C$9,$C$7,TRUE)</f>
        <v>-0.61955132553219894</v>
      </c>
      <c r="Y42">
        <f>_xll.acq_options_blackscholes_greeks(Y$31,$F42,$C$5,$C$6,$C$8,$C$9,$C$7,TRUE)</f>
        <v>264.17946282274545</v>
      </c>
      <c r="Z42">
        <f>_xll.acq_options_blackscholes_greeks(Z$31,$F42,$C$5,$C$6,$C$8,$C$9,$C$7,TRUE)</f>
        <v>-9.0326444870193399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6" t="s">
        <v>148</v>
      </c>
      <c r="H45" s="56"/>
      <c r="I45" s="56"/>
      <c r="J45" s="56"/>
      <c r="K45" s="56"/>
      <c r="L45" s="56"/>
      <c r="M45" s="56"/>
      <c r="N45" s="56"/>
      <c r="S45" s="56" t="s">
        <v>147</v>
      </c>
      <c r="T45" s="56"/>
      <c r="U45" s="56"/>
      <c r="V45" s="56"/>
      <c r="W45" s="56"/>
      <c r="X45" s="56"/>
      <c r="Y45" s="56"/>
      <c r="Z45" s="56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_xll.acq_options_bjerksund_greeks(G$31,$F47,$C$5,$C$6,$C$8,$C$9,$C$7,FALSE)</f>
        <v>50</v>
      </c>
      <c r="H47">
        <f>_xll.acq_options_bjerksund_greeks(H$31,$F47,$C$5,$C$6,$C$8,$C$9,$C$7,FALSE)</f>
        <v>-0.99999999999994316</v>
      </c>
      <c r="I47">
        <f>_xll.acq_options_bjerksund_greeks(I$31,$F47,$C$5,$C$6,$C$8,$C$9,$C$7,FALSE)</f>
        <v>0</v>
      </c>
      <c r="J47">
        <f>_xll.acq_options_bjerksund_greeks(J$31,$F47,$C$5,$C$6,$C$8,$C$9,$C$7,FALSE)</f>
        <v>0</v>
      </c>
      <c r="K47">
        <f>_xll.acq_options_bjerksund_greeks(K$31,$F47,$C$5,$C$6,$C$8,$C$9,$C$7,FALSE)</f>
        <v>0</v>
      </c>
      <c r="L47">
        <f>_xll.acq_options_bjerksund_greeks(L$31,$F47,$C$5,$C$6,$C$8,$C$9,$C$7,FALSE)</f>
        <v>0</v>
      </c>
      <c r="M47">
        <f>_xll.acq_options_bjerksund_greeks(M$31,$F47,$C$5,$C$6,$C$8,$C$9,$C$7,FALSE)</f>
        <v>0</v>
      </c>
      <c r="N47">
        <f>_xll.acq_options_bjerksund_greeks(N$31,$F47,$C$5,$C$6,$C$8,$C$9,$C$7,FALSE)</f>
        <v>0</v>
      </c>
      <c r="R47" s="13">
        <v>100</v>
      </c>
      <c r="S47">
        <f>_xll.acq_options_blackscholes_greeks(S$31,$F47,$C$5,$C$6,$C$8,$C$9,$C$7,FALSE)</f>
        <v>36.052703780372994</v>
      </c>
      <c r="T47">
        <f>_xll.acq_options_blackscholes_greeks(T$31,$F47,$C$5,$C$6,$C$8,$C$9,$C$7,FALSE)</f>
        <v>-0.67315392701808641</v>
      </c>
      <c r="U47">
        <f>_xll.acq_options_blackscholes_greeks(U$31,$F47,$C$5,$C$6,$C$8,$C$9,$C$7,FALSE)</f>
        <v>9.1262703877350686E-3</v>
      </c>
      <c r="V47">
        <f>_xll.acq_options_blackscholes_greeks(V$31,$F47,$C$5,$C$6,$C$8,$C$9,$C$7,FALSE)</f>
        <v>57.039189923344175</v>
      </c>
      <c r="W47">
        <f>_xll.acq_options_blackscholes_greeks(W$31,$F47,$C$5,$C$6,$C$8,$C$9,$C$7,FALSE)</f>
        <v>86.384027279888585</v>
      </c>
      <c r="X47">
        <f>_xll.acq_options_blackscholes_greeks(X$31,$F47,$C$5,$C$6,$C$8,$C$9,$C$7,FALSE)</f>
        <v>1.2177734101075526</v>
      </c>
      <c r="Y47">
        <f>_xll.acq_options_blackscholes_greeks(Y$31,$F47,$C$5,$C$6,$C$8,$C$9,$C$7,FALSE)</f>
        <v>-258.42024120545409</v>
      </c>
      <c r="Z47">
        <f>_xll.acq_options_blackscholes_greeks(Z$31,$F47,$C$5,$C$6,$C$8,$C$9,$C$7,FALSE)</f>
        <v>3.3501262927636892</v>
      </c>
    </row>
    <row r="48" spans="6:28" x14ac:dyDescent="0.25">
      <c r="F48" s="13">
        <v>110</v>
      </c>
      <c r="G48">
        <f>_xll.acq_options_bjerksund_greeks(G$31,$F48,$C$5,$C$6,$C$8,$C$9,$C$7,FALSE)</f>
        <v>40.017066978067525</v>
      </c>
      <c r="H48">
        <f>_xll.acq_options_bjerksund_greeks(H$31,$F48,$C$5,$C$6,$C$8,$C$9,$C$7,FALSE)</f>
        <v>-0.95246216733655009</v>
      </c>
      <c r="I48">
        <f>_xll.acq_options_bjerksund_greeks(I$31,$F48,$C$5,$C$6,$C$8,$C$9,$C$7,FALSE)</f>
        <v>2.3058284080496545E-2</v>
      </c>
      <c r="J48">
        <f>_xll.acq_options_bjerksund_greeks(J$31,$F48,$C$5,$C$6,$C$8,$C$9,$C$7,FALSE)</f>
        <v>9.1474885001438988</v>
      </c>
      <c r="K48">
        <f>_xll.acq_options_bjerksund_greeks(K$31,$F48,$C$5,$C$6,$C$8,$C$9,$C$7,FALSE)</f>
        <v>913.89568926558695</v>
      </c>
      <c r="L48">
        <f>_xll.acq_options_bjerksund_greeks(L$31,$F48,$C$5,$C$6,$C$8,$C$9,$C$7,FALSE)</f>
        <v>4.6375371098861251</v>
      </c>
      <c r="M48">
        <f>_xll.acq_options_bjerksund_greeks(M$31,$F48,$C$5,$C$6,$C$8,$C$9,$C$7,FALSE)</f>
        <v>-14.261240529549468</v>
      </c>
      <c r="N48">
        <f>_xll.acq_options_bjerksund_greeks(N$31,$F48,$C$5,$C$6,$C$8,$C$9,$C$7,FALSE)</f>
        <v>-0.11525349011520802</v>
      </c>
      <c r="R48" s="13">
        <v>110</v>
      </c>
      <c r="S48">
        <f>_xll.acq_options_blackscholes_greeks(S$31,$F48,$C$5,$C$6,$C$8,$C$9,$C$7,FALSE)</f>
        <v>29.777187888224191</v>
      </c>
      <c r="T48">
        <f>_xll.acq_options_blackscholes_greeks(T$31,$F48,$C$5,$C$6,$C$8,$C$9,$C$7,FALSE)</f>
        <v>-0.58219855289934752</v>
      </c>
      <c r="U48">
        <f>_xll.acq_options_blackscholes_greeks(U$31,$F48,$C$5,$C$6,$C$8,$C$9,$C$7,FALSE)</f>
        <v>8.9795778027757234E-3</v>
      </c>
      <c r="V48">
        <f>_xll.acq_options_blackscholes_greeks(V$31,$F48,$C$5,$C$6,$C$8,$C$9,$C$7,FALSE)</f>
        <v>67.908057133491425</v>
      </c>
      <c r="W48">
        <f>_xll.acq_options_blackscholes_greeks(W$31,$F48,$C$5,$C$6,$C$8,$C$9,$C$7,FALSE)</f>
        <v>33.979819173289677</v>
      </c>
      <c r="X48">
        <f>_xll.acq_options_blackscholes_greeks(X$31,$F48,$C$5,$C$6,$C$8,$C$9,$C$7,FALSE)</f>
        <v>0.94144738821942553</v>
      </c>
      <c r="Y48">
        <f>_xll.acq_options_blackscholes_greeks(Y$31,$F48,$C$5,$C$6,$C$8,$C$9,$C$7,FALSE)</f>
        <v>-234.54757176788104</v>
      </c>
      <c r="Z48">
        <f>_xll.acq_options_blackscholes_greeks(Z$31,$F48,$C$5,$C$6,$C$8,$C$9,$C$7,FALSE)</f>
        <v>2.233738865754574</v>
      </c>
    </row>
    <row r="49" spans="6:26" x14ac:dyDescent="0.25">
      <c r="F49" s="13">
        <v>120</v>
      </c>
      <c r="G49">
        <f>_xll.acq_options_bjerksund_greeks(G$31,$F49,$C$5,$C$6,$C$8,$C$9,$C$7,FALSE)</f>
        <v>31.551537480264027</v>
      </c>
      <c r="H49">
        <f>_xll.acq_options_bjerksund_greeks(H$31,$F49,$C$5,$C$6,$C$8,$C$9,$C$7,FALSE)</f>
        <v>-0.74929285224634157</v>
      </c>
      <c r="I49">
        <f>_xll.acq_options_bjerksund_greeks(I$31,$F49,$C$5,$C$6,$C$8,$C$9,$C$7,FALSE)</f>
        <v>1.7856142876403348E-2</v>
      </c>
      <c r="J49">
        <f>_xll.acq_options_bjerksund_greeks(J$31,$F49,$C$5,$C$6,$C$8,$C$9,$C$7,FALSE)</f>
        <v>45.691085413423551</v>
      </c>
      <c r="K49">
        <f>_xll.acq_options_bjerksund_greeks(K$31,$F49,$C$5,$C$6,$C$8,$C$9,$C$7,FALSE)</f>
        <v>411.8373345320947</v>
      </c>
      <c r="L49">
        <f>_xll.acq_options_bjerksund_greeks(L$31,$F49,$C$5,$C$6,$C$8,$C$9,$C$7,FALSE)</f>
        <v>2.7927849330922072</v>
      </c>
      <c r="M49">
        <f>_xll.acq_options_bjerksund_greeks(M$31,$F49,$C$5,$C$6,$C$8,$C$9,$C$7,FALSE)</f>
        <v>-63.868170326660589</v>
      </c>
      <c r="N49">
        <f>_xll.acq_options_bjerksund_greeks(N$31,$F49,$C$5,$C$6,$C$8,$C$9,$C$7,FALSE)</f>
        <v>-0.75195685286999492</v>
      </c>
      <c r="R49" s="13">
        <v>120</v>
      </c>
      <c r="S49">
        <f>_xll.acq_options_blackscholes_greeks(S$31,$F49,$C$5,$C$6,$C$8,$C$9,$C$7,FALSE)</f>
        <v>24.396104471534578</v>
      </c>
      <c r="T49">
        <f>_xll.acq_options_blackscholes_greeks(T$31,$F49,$C$5,$C$6,$C$8,$C$9,$C$7,FALSE)</f>
        <v>-0.49497259099725383</v>
      </c>
      <c r="U49">
        <f>_xll.acq_options_blackscholes_greeks(U$31,$F49,$C$5,$C$6,$C$8,$C$9,$C$7,FALSE)</f>
        <v>8.4097739147731311E-3</v>
      </c>
      <c r="V49">
        <f>_xll.acq_options_blackscholes_greeks(V$31,$F49,$C$5,$C$6,$C$8,$C$9,$C$7,FALSE)</f>
        <v>75.687965232958177</v>
      </c>
      <c r="W49">
        <f>_xll.acq_options_blackscholes_greeks(W$31,$F49,$C$5,$C$6,$C$8,$C$9,$C$7,FALSE)</f>
        <v>-1.4600613476523561</v>
      </c>
      <c r="X49">
        <f>_xll.acq_options_blackscholes_greeks(X$31,$F49,$C$5,$C$6,$C$8,$C$9,$C$7,FALSE)</f>
        <v>0.61062447214452564</v>
      </c>
      <c r="Y49">
        <f>_xll.acq_options_blackscholes_greeks(Y$31,$F49,$C$5,$C$6,$C$8,$C$9,$C$7,FALSE)</f>
        <v>-209.48203847801261</v>
      </c>
      <c r="Z49">
        <f>_xll.acq_options_blackscholes_greeks(Z$31,$F49,$C$5,$C$6,$C$8,$C$9,$C$7,FALSE)</f>
        <v>1.2431706618243941</v>
      </c>
    </row>
    <row r="50" spans="6:26" x14ac:dyDescent="0.25">
      <c r="F50" s="13">
        <v>130</v>
      </c>
      <c r="G50">
        <f>_xll.acq_options_bjerksund_greeks(G$31,$F50,$C$5,$C$6,$C$8,$C$9,$C$7,FALSE)</f>
        <v>24.882702630293402</v>
      </c>
      <c r="H50">
        <f>_xll.acq_options_bjerksund_greeks(H$31,$F50,$C$5,$C$6,$C$8,$C$9,$C$7,FALSE)</f>
        <v>-0.59088408867811359</v>
      </c>
      <c r="I50">
        <f>_xll.acq_options_bjerksund_greeks(I$31,$F50,$C$5,$C$6,$C$8,$C$9,$C$7,FALSE)</f>
        <v>1.4004171121779867E-2</v>
      </c>
      <c r="J50">
        <f>_xll.acq_options_bjerksund_greeks(J$31,$F50,$C$5,$C$6,$C$8,$C$9,$C$7,FALSE)</f>
        <v>66.966709719586902</v>
      </c>
      <c r="K50">
        <f>_xll.acq_options_bjerksund_greeks(K$31,$F50,$C$5,$C$6,$C$8,$C$9,$C$7,FALSE)</f>
        <v>158.04938189489803</v>
      </c>
      <c r="L50">
        <f>_xll.acq_options_bjerksund_greeks(L$31,$F50,$C$5,$C$6,$C$8,$C$9,$C$7,FALSE)</f>
        <v>1.5419343046829681</v>
      </c>
      <c r="M50">
        <f>_xll.acq_options_bjerksund_greeks(M$31,$F50,$C$5,$C$6,$C$8,$C$9,$C$7,FALSE)</f>
        <v>-86.985094633970306</v>
      </c>
      <c r="N50">
        <f>_xll.acq_options_bjerksund_greeks(N$31,$F50,$C$5,$C$6,$C$8,$C$9,$C$7,FALSE)</f>
        <v>-1.261025860543441</v>
      </c>
      <c r="R50" s="13">
        <v>130</v>
      </c>
      <c r="S50">
        <f>_xll.acq_options_blackscholes_greeks(S$31,$F50,$C$5,$C$6,$C$8,$C$9,$C$7,FALSE)</f>
        <v>19.853895023181011</v>
      </c>
      <c r="T50">
        <f>_xll.acq_options_blackscholes_greeks(T$31,$F50,$C$5,$C$6,$C$8,$C$9,$C$7,FALSE)</f>
        <v>-0.41484623927625774</v>
      </c>
      <c r="U50">
        <f>_xll.acq_options_blackscholes_greeks(U$31,$F50,$C$5,$C$6,$C$8,$C$9,$C$7,FALSE)</f>
        <v>7.5859522410552452E-3</v>
      </c>
      <c r="V50">
        <f>_xll.acq_options_blackscholes_greeks(V$31,$F50,$C$5,$C$6,$C$8,$C$9,$C$7,FALSE)</f>
        <v>80.126620546146029</v>
      </c>
      <c r="W50">
        <f>_xll.acq_options_blackscholes_greeks(W$31,$F50,$C$5,$C$6,$C$8,$C$9,$C$7,FALSE)</f>
        <v>-12.422148732776144</v>
      </c>
      <c r="X50">
        <f>_xll.acq_options_blackscholes_greeks(X$31,$F50,$C$5,$C$6,$C$8,$C$9,$C$7,FALSE)</f>
        <v>0.28096424105724838</v>
      </c>
      <c r="Y50">
        <f>_xll.acq_options_blackscholes_greeks(Y$31,$F50,$C$5,$C$6,$C$8,$C$9,$C$7,FALSE)</f>
        <v>-184.4597653227363</v>
      </c>
      <c r="Z50">
        <f>_xll.acq_options_blackscholes_greeks(Z$31,$F50,$C$5,$C$6,$C$8,$C$9,$C$7,FALSE)</f>
        <v>0.42070334043837043</v>
      </c>
    </row>
    <row r="51" spans="6:26" x14ac:dyDescent="0.25">
      <c r="F51" s="13">
        <v>140</v>
      </c>
      <c r="G51">
        <f>_xll.acq_options_bjerksund_greeks(G$31,$F51,$C$5,$C$6,$C$8,$C$9,$C$7,FALSE)</f>
        <v>19.621669271250902</v>
      </c>
      <c r="H51">
        <f>_xll.acq_options_bjerksund_greeks(H$31,$F51,$C$5,$C$6,$C$8,$C$9,$C$7,FALSE)</f>
        <v>-0.4662449241301404</v>
      </c>
      <c r="I51">
        <f>_xll.acq_options_bjerksund_greeks(I$31,$F51,$C$5,$C$6,$C$8,$C$9,$C$7,FALSE)</f>
        <v>1.1047785857118464E-2</v>
      </c>
      <c r="J51">
        <f>_xll.acq_options_bjerksund_greeks(J$31,$F51,$C$5,$C$6,$C$8,$C$9,$C$7,FALSE)</f>
        <v>77.851583046236001</v>
      </c>
      <c r="K51">
        <f>_xll.acq_options_bjerksund_greeks(K$31,$F51,$C$5,$C$6,$C$8,$C$9,$C$7,FALSE)</f>
        <v>52.172649070314492</v>
      </c>
      <c r="L51">
        <f>_xll.acq_options_bjerksund_greeks(L$31,$F51,$C$5,$C$6,$C$8,$C$9,$C$7,FALSE)</f>
        <v>0.68998680546883406</v>
      </c>
      <c r="M51">
        <f>_xll.acq_options_bjerksund_greeks(M$31,$F51,$C$5,$C$6,$C$8,$C$9,$C$7,FALSE)</f>
        <v>-94.492726041533359</v>
      </c>
      <c r="N51">
        <f>_xll.acq_options_bjerksund_greeks(N$31,$F51,$C$5,$C$6,$C$8,$C$9,$C$7,FALSE)</f>
        <v>-1.6251578974220138</v>
      </c>
      <c r="R51" s="13">
        <v>140</v>
      </c>
      <c r="S51">
        <f>_xll.acq_options_blackscholes_greeks(S$31,$F51,$C$5,$C$6,$C$8,$C$9,$C$7,FALSE)</f>
        <v>16.069345049441033</v>
      </c>
      <c r="T51">
        <f>_xll.acq_options_blackscholes_greeks(T$31,$F51,$C$5,$C$6,$C$8,$C$9,$C$7,FALSE)</f>
        <v>-0.34363009149473817</v>
      </c>
      <c r="U51">
        <f>_xll.acq_options_blackscholes_greeks(U$31,$F51,$C$5,$C$6,$C$8,$C$9,$C$7,FALSE)</f>
        <v>6.6478241690909289E-3</v>
      </c>
      <c r="V51">
        <f>_xll.acq_options_blackscholes_greeks(V$31,$F51,$C$5,$C$6,$C$8,$C$9,$C$7,FALSE)</f>
        <v>81.435846071363898</v>
      </c>
      <c r="W51">
        <f>_xll.acq_options_blackscholes_greeks(W$31,$F51,$C$5,$C$6,$C$8,$C$9,$C$7,FALSE)</f>
        <v>0.9561516787806924</v>
      </c>
      <c r="X51">
        <f>_xll.acq_options_blackscholes_greeks(X$31,$F51,$C$5,$C$6,$C$8,$C$9,$C$7,FALSE)</f>
        <v>-1.0729534808983428E-2</v>
      </c>
      <c r="Y51">
        <f>_xll.acq_options_blackscholes_greeks(Y$31,$F51,$C$5,$C$6,$C$8,$C$9,$C$7,FALSE)</f>
        <v>-160.44389464676095</v>
      </c>
      <c r="Z51">
        <f>_xll.acq_options_blackscholes_greeks(Z$31,$F51,$C$5,$C$6,$C$8,$C$9,$C$7,FALSE)</f>
        <v>-0.2211388320459311</v>
      </c>
    </row>
    <row r="52" spans="6:26" x14ac:dyDescent="0.25">
      <c r="F52" s="13">
        <v>150</v>
      </c>
      <c r="G52">
        <f>_xll.acq_options_bjerksund_greeks(G$31,$F52,$C$5,$C$6,$C$8,$C$9,$C$7,FALSE)</f>
        <v>15.470727171446882</v>
      </c>
      <c r="H52">
        <f>_xll.acq_options_bjerksund_greeks(H$31,$F52,$C$5,$C$6,$C$8,$C$9,$C$7,FALSE)</f>
        <v>-0.36779793299326496</v>
      </c>
      <c r="I52">
        <f>_xll.acq_options_bjerksund_greeks(I$31,$F52,$C$5,$C$6,$C$8,$C$9,$C$7,FALSE)</f>
        <v>8.7335546538724884E-3</v>
      </c>
      <c r="J52">
        <f>_xll.acq_options_bjerksund_greeks(J$31,$F52,$C$5,$C$6,$C$8,$C$9,$C$7,FALSE)</f>
        <v>81.693935413177527</v>
      </c>
      <c r="K52">
        <f>_xll.acq_options_bjerksund_greeks(K$31,$F52,$C$5,$C$6,$C$8,$C$9,$C$7,FALSE)</f>
        <v>32.489372344457479</v>
      </c>
      <c r="L52">
        <f>_xll.acq_options_bjerksund_greeks(L$31,$F52,$C$5,$C$6,$C$8,$C$9,$C$7,FALSE)</f>
        <v>0.11754109507933208</v>
      </c>
      <c r="M52">
        <f>_xll.acq_options_bjerksund_greeks(M$31,$F52,$C$5,$C$6,$C$8,$C$9,$C$7,FALSE)</f>
        <v>-93.058091638951623</v>
      </c>
      <c r="N52">
        <f>_xll.acq_options_bjerksund_greeks(N$31,$F52,$C$5,$C$6,$C$8,$C$9,$C$7,FALSE)</f>
        <v>-1.8517460003693031</v>
      </c>
      <c r="R52" s="13">
        <v>150</v>
      </c>
      <c r="S52">
        <f>_xll.acq_options_blackscholes_greeks(S$31,$F52,$C$5,$C$6,$C$8,$C$9,$C$7,FALSE)</f>
        <v>12.949480349746878</v>
      </c>
      <c r="T52">
        <f>_xll.acq_options_blackscholes_greeks(T$31,$F52,$C$5,$C$6,$C$8,$C$9,$C$7,FALSE)</f>
        <v>-0.28193065870799805</v>
      </c>
      <c r="U52">
        <f>_xll.acq_options_blackscholes_greeks(U$31,$F52,$C$5,$C$6,$C$8,$C$9,$C$7,FALSE)</f>
        <v>5.6961994931021389E-3</v>
      </c>
      <c r="V52">
        <f>_xll.acq_options_blackscholes_greeks(V$31,$F52,$C$5,$C$6,$C$8,$C$9,$C$7,FALSE)</f>
        <v>80.102805371748843</v>
      </c>
      <c r="W52">
        <f>_xll.acq_options_blackscholes_greeks(W$31,$F52,$C$5,$C$6,$C$8,$C$9,$C$7,FALSE)</f>
        <v>33.623152554791588</v>
      </c>
      <c r="X52">
        <f>_xll.acq_options_blackscholes_greeks(X$31,$F52,$C$5,$C$6,$C$8,$C$9,$C$7,FALSE)</f>
        <v>-0.24564860314002981</v>
      </c>
      <c r="Y52">
        <f>_xll.acq_options_blackscholes_greeks(Y$31,$F52,$C$5,$C$6,$C$8,$C$9,$C$7,FALSE)</f>
        <v>-138.09769788986648</v>
      </c>
      <c r="Z52">
        <f>_xll.acq_options_blackscholes_greeks(Z$31,$F52,$C$5,$C$6,$C$8,$C$9,$C$7,FALSE)</f>
        <v>-0.69079551923064564</v>
      </c>
    </row>
    <row r="53" spans="6:26" x14ac:dyDescent="0.25">
      <c r="F53" s="13">
        <v>160</v>
      </c>
      <c r="G53">
        <f>_xll.acq_options_bjerksund_greeks(G$31,$F53,$C$5,$C$6,$C$8,$C$9,$C$7,FALSE)</f>
        <v>12.197163796635536</v>
      </c>
      <c r="H53">
        <f>_xll.acq_options_bjerksund_greeks(H$31,$F53,$C$5,$C$6,$C$8,$C$9,$C$7,FALSE)</f>
        <v>-0.28996158364855695</v>
      </c>
      <c r="I53">
        <f>_xll.acq_options_bjerksund_greeks(I$31,$F53,$C$5,$C$6,$C$8,$C$9,$C$7,FALSE)</f>
        <v>6.9045772072007239E-3</v>
      </c>
      <c r="J53">
        <f>_xll.acq_options_bjerksund_greeks(J$31,$F53,$C$5,$C$6,$C$8,$C$9,$C$7,FALSE)</f>
        <v>80.86597345334205</v>
      </c>
      <c r="K53">
        <f>_xll.acq_options_bjerksund_greeks(K$31,$F53,$C$5,$C$6,$C$8,$C$9,$C$7,FALSE)</f>
        <v>59.70711856662092</v>
      </c>
      <c r="L53">
        <f>_xll.acq_options_bjerksund_greeks(L$31,$F53,$C$5,$C$6,$C$8,$C$9,$C$7,FALSE)</f>
        <v>-0.25509156031944258</v>
      </c>
      <c r="M53">
        <f>_xll.acq_options_bjerksund_greeks(M$31,$F53,$C$5,$C$6,$C$8,$C$9,$C$7,FALSE)</f>
        <v>-86.797170441599292</v>
      </c>
      <c r="N53">
        <f>_xll.acq_options_bjerksund_greeks(N$31,$F53,$C$5,$C$6,$C$8,$C$9,$C$7,FALSE)</f>
        <v>-1.9606171560440089</v>
      </c>
      <c r="R53" s="13">
        <v>160</v>
      </c>
      <c r="S53">
        <f>_xll.acq_options_blackscholes_greeks(S$31,$F53,$C$5,$C$6,$C$8,$C$9,$C$7,FALSE)</f>
        <v>10.399673083492523</v>
      </c>
      <c r="T53">
        <f>_xll.acq_options_blackscholes_greeks(T$31,$F53,$C$5,$C$6,$C$8,$C$9,$C$7,FALSE)</f>
        <v>-0.22953270791365182</v>
      </c>
      <c r="U53">
        <f>_xll.acq_options_blackscholes_greeks(U$31,$F53,$C$5,$C$6,$C$8,$C$9,$C$7,FALSE)</f>
        <v>4.7956330789171607E-3</v>
      </c>
      <c r="V53">
        <f>_xll.acq_options_blackscholes_greeks(V$31,$F53,$C$5,$C$6,$C$8,$C$9,$C$7,FALSE)</f>
        <v>76.730129262674581</v>
      </c>
      <c r="W53">
        <f>_xll.acq_options_blackscholes_greeks(W$31,$F53,$C$5,$C$6,$C$8,$C$9,$C$7,FALSE)</f>
        <v>78.420915452756077</v>
      </c>
      <c r="X53">
        <f>_xll.acq_options_blackscholes_greeks(X$31,$F53,$C$5,$C$6,$C$8,$C$9,$C$7,FALSE)</f>
        <v>-0.41868108440249696</v>
      </c>
      <c r="Y53">
        <f>_xll.acq_options_blackscholes_greeks(Y$31,$F53,$C$5,$C$6,$C$8,$C$9,$C$7,FALSE)</f>
        <v>-117.81226587419204</v>
      </c>
      <c r="Z53">
        <f>_xll.acq_options_blackscholes_greeks(Z$31,$F53,$C$5,$C$6,$C$8,$C$9,$C$7,FALSE)</f>
        <v>-1.0090120821531201</v>
      </c>
    </row>
    <row r="54" spans="6:26" x14ac:dyDescent="0.25">
      <c r="F54" s="13">
        <v>170</v>
      </c>
      <c r="G54">
        <f>_xll.acq_options_bjerksund_greeks(G$31,$F54,$C$5,$C$6,$C$8,$C$9,$C$7,FALSE)</f>
        <v>9.6171978371390026</v>
      </c>
      <c r="H54">
        <f>_xll.acq_options_bjerksund_greeks(H$31,$F54,$C$5,$C$6,$C$8,$C$9,$C$7,FALSE)</f>
        <v>-0.22844870148705018</v>
      </c>
      <c r="I54">
        <f>_xll.acq_options_bjerksund_greeks(I$31,$F54,$C$5,$C$6,$C$8,$C$9,$C$7,FALSE)</f>
        <v>5.4538145107142916E-3</v>
      </c>
      <c r="J54">
        <f>_xll.acq_options_bjerksund_greeks(J$31,$F54,$C$5,$C$6,$C$8,$C$9,$C$7,FALSE)</f>
        <v>77.068142320911122</v>
      </c>
      <c r="K54">
        <f>_xll.acq_options_bjerksund_greeks(K$31,$F54,$C$5,$C$6,$C$8,$C$9,$C$7,FALSE)</f>
        <v>108.64543247635083</v>
      </c>
      <c r="L54">
        <f>_xll.acq_options_bjerksund_greeks(L$31,$F54,$C$5,$C$6,$C$8,$C$9,$C$7,FALSE)</f>
        <v>-0.48442463551623405</v>
      </c>
      <c r="M54">
        <f>_xll.acq_options_bjerksund_greeks(M$31,$F54,$C$5,$C$6,$C$8,$C$9,$C$7,FALSE)</f>
        <v>-78.239233110892314</v>
      </c>
      <c r="N54">
        <f>_xll.acq_options_bjerksund_greeks(N$31,$F54,$C$5,$C$6,$C$8,$C$9,$C$7,FALSE)</f>
        <v>-1.9760964076880327</v>
      </c>
      <c r="R54" s="13">
        <v>170</v>
      </c>
      <c r="S54">
        <f>_xll.acq_options_blackscholes_greeks(S$31,$F54,$C$5,$C$6,$C$8,$C$9,$C$7,FALSE)</f>
        <v>8.3301614786159028</v>
      </c>
      <c r="T54">
        <f>_xll.acq_options_blackscholes_greeks(T$31,$F54,$C$5,$C$6,$C$8,$C$9,$C$7,FALSE)</f>
        <v>-0.18572618461144402</v>
      </c>
      <c r="U54">
        <f>_xll.acq_options_blackscholes_greeks(U$31,$F54,$C$5,$C$6,$C$8,$C$9,$C$7,FALSE)</f>
        <v>3.9819325455787945E-3</v>
      </c>
      <c r="V54">
        <f>_xll.acq_options_blackscholes_greeks(V$31,$F54,$C$5,$C$6,$C$8,$C$9,$C$7,FALSE)</f>
        <v>71.923656604516992</v>
      </c>
      <c r="W54">
        <f>_xll.acq_options_blackscholes_greeks(W$31,$F54,$C$5,$C$6,$C$8,$C$9,$C$7,FALSE)</f>
        <v>128.17138928403224</v>
      </c>
      <c r="X54">
        <f>_xll.acq_options_blackscholes_greeks(X$31,$F54,$C$5,$C$6,$C$8,$C$9,$C$7,FALSE)</f>
        <v>-0.53352296402129529</v>
      </c>
      <c r="Y54">
        <f>_xll.acq_options_blackscholes_greeks(Y$31,$F54,$C$5,$C$6,$C$8,$C$9,$C$7,FALSE)</f>
        <v>-99.759032156403478</v>
      </c>
      <c r="Z54">
        <f>_xll.acq_options_blackscholes_greeks(Z$31,$F54,$C$5,$C$6,$C$8,$C$9,$C$7,FALSE)</f>
        <v>-1.2019660584721654</v>
      </c>
    </row>
    <row r="55" spans="6:26" x14ac:dyDescent="0.25">
      <c r="F55" s="13">
        <v>180</v>
      </c>
      <c r="G55">
        <f>_xll.acq_options_bjerksund_greeks(G$31,$F55,$C$5,$C$6,$C$8,$C$9,$C$7,FALSE)</f>
        <v>7.5851013072030753</v>
      </c>
      <c r="H55">
        <f>_xll.acq_options_bjerksund_greeks(H$31,$F55,$C$5,$C$6,$C$8,$C$9,$C$7,FALSE)</f>
        <v>-0.17988885330863821</v>
      </c>
      <c r="I55">
        <f>_xll.acq_options_bjerksund_greeks(I$31,$F55,$C$5,$C$6,$C$8,$C$9,$C$7,FALSE)</f>
        <v>4.3025650580338949E-3</v>
      </c>
      <c r="J55">
        <f>_xll.acq_options_bjerksund_greeks(J$31,$F55,$C$5,$C$6,$C$8,$C$9,$C$7,FALSE)</f>
        <v>71.515747619798674</v>
      </c>
      <c r="K55">
        <f>_xll.acq_options_bjerksund_greeks(K$31,$F55,$C$5,$C$6,$C$8,$C$9,$C$7,FALSE)</f>
        <v>163.50559144484578</v>
      </c>
      <c r="L55">
        <f>_xll.acq_options_bjerksund_greeks(L$31,$F55,$C$5,$C$6,$C$8,$C$9,$C$7,FALSE)</f>
        <v>-0.61192948663801872</v>
      </c>
      <c r="M55">
        <f>_xll.acq_options_bjerksund_greeks(M$31,$F55,$C$5,$C$6,$C$8,$C$9,$C$7,FALSE)</f>
        <v>-68.911088311693902</v>
      </c>
      <c r="N55">
        <f>_xll.acq_options_bjerksund_greeks(N$31,$F55,$C$5,$C$6,$C$8,$C$9,$C$7,FALSE)</f>
        <v>-1.9223128705050385</v>
      </c>
      <c r="R55" s="13">
        <v>180</v>
      </c>
      <c r="S55">
        <f>_xll.acq_options_blackscholes_greeks(S$31,$F55,$C$5,$C$6,$C$8,$C$9,$C$7,FALSE)</f>
        <v>6.6597001151668493</v>
      </c>
      <c r="T55">
        <f>_xll.acq_options_blackscholes_greeks(T$31,$F55,$C$5,$C$6,$C$8,$C$9,$C$7,FALSE)</f>
        <v>-0.14955199117729678</v>
      </c>
      <c r="U55">
        <f>_xll.acq_options_blackscholes_greeks(U$31,$F55,$C$5,$C$6,$C$8,$C$9,$C$7,FALSE)</f>
        <v>3.2704136877450621E-3</v>
      </c>
      <c r="V55">
        <f>_xll.acq_options_blackscholes_greeks(V$31,$F55,$C$5,$C$6,$C$8,$C$9,$C$7,FALSE)</f>
        <v>66.225877176837514</v>
      </c>
      <c r="W55">
        <f>_xll.acq_options_blackscholes_greeks(W$31,$F55,$C$5,$C$6,$C$8,$C$9,$C$7,FALSE)</f>
        <v>176.88620519164158</v>
      </c>
      <c r="X55">
        <f>_xll.acq_options_blackscholes_greeks(X$31,$F55,$C$5,$C$6,$C$8,$C$9,$C$7,FALSE)</f>
        <v>-0.59855608707596197</v>
      </c>
      <c r="Y55">
        <f>_xll.acq_options_blackscholes_greeks(Y$31,$F55,$C$5,$C$6,$C$8,$C$9,$C$7,FALSE)</f>
        <v>-83.947646317700688</v>
      </c>
      <c r="Z55">
        <f>_xll.acq_options_blackscholes_greeks(Z$31,$F55,$C$5,$C$6,$C$8,$C$9,$C$7,FALSE)</f>
        <v>-1.2965503472170585</v>
      </c>
    </row>
    <row r="56" spans="6:26" x14ac:dyDescent="0.25">
      <c r="F56" s="13">
        <v>190</v>
      </c>
      <c r="G56">
        <f>_xll.acq_options_bjerksund_greeks(G$31,$F56,$C$5,$C$6,$C$8,$C$9,$C$7,FALSE)</f>
        <v>5.9852452016453697</v>
      </c>
      <c r="H56">
        <f>_xll.acq_options_bjerksund_greeks(H$31,$F56,$C$5,$C$6,$C$8,$C$9,$C$7,FALSE)</f>
        <v>-0.14160288682205646</v>
      </c>
      <c r="I56">
        <f>_xll.acq_options_bjerksund_greeks(I$31,$F56,$C$5,$C$6,$C$8,$C$9,$C$7,FALSE)</f>
        <v>3.3900791888194048E-3</v>
      </c>
      <c r="J56">
        <f>_xll.acq_options_bjerksund_greeks(J$31,$F56,$C$5,$C$6,$C$8,$C$9,$C$7,FALSE)</f>
        <v>65.065301375625438</v>
      </c>
      <c r="K56">
        <f>_xll.acq_options_bjerksund_greeks(K$31,$F56,$C$5,$C$6,$C$8,$C$9,$C$7,FALSE)</f>
        <v>214.88322119012082</v>
      </c>
      <c r="L56">
        <f>_xll.acq_options_bjerksund_greeks(L$31,$F56,$C$5,$C$6,$C$8,$C$9,$C$7,FALSE)</f>
        <v>-0.66844872748106354</v>
      </c>
      <c r="M56">
        <f>_xll.acq_options_bjerksund_greeks(M$31,$F56,$C$5,$C$6,$C$8,$C$9,$C$7,FALSE)</f>
        <v>-59.702735426995446</v>
      </c>
      <c r="N56">
        <f>_xll.acq_options_bjerksund_greeks(N$31,$F56,$C$5,$C$6,$C$8,$C$9,$C$7,FALSE)</f>
        <v>-1.8207394613227734</v>
      </c>
      <c r="R56" s="13">
        <v>190</v>
      </c>
      <c r="S56">
        <f>_xll.acq_options_blackscholes_greeks(S$31,$F56,$C$5,$C$6,$C$8,$C$9,$C$7,FALSE)</f>
        <v>5.3171511946251648</v>
      </c>
      <c r="T56">
        <f>_xll.acq_options_blackscholes_greeks(T$31,$F56,$C$5,$C$6,$C$8,$C$9,$C$7,FALSE)</f>
        <v>-0.11996990806850333</v>
      </c>
      <c r="U56">
        <f>_xll.acq_options_blackscholes_greeks(U$31,$F56,$C$5,$C$6,$C$8,$C$9,$C$7,FALSE)</f>
        <v>2.6630388852266315E-3</v>
      </c>
      <c r="V56">
        <f>_xll.acq_options_blackscholes_greeks(V$31,$F56,$C$5,$C$6,$C$8,$C$9,$C$7,FALSE)</f>
        <v>60.084814847925891</v>
      </c>
      <c r="W56">
        <f>_xll.acq_options_blackscholes_greeks(W$31,$F56,$C$5,$C$6,$C$8,$C$9,$C$7,FALSE)</f>
        <v>220.2550068361071</v>
      </c>
      <c r="X56">
        <f>_xll.acq_options_blackscholes_greeks(X$31,$F56,$C$5,$C$6,$C$8,$C$9,$C$7,FALSE)</f>
        <v>-0.62389800519785743</v>
      </c>
      <c r="Y56">
        <f>_xll.acq_options_blackscholes_greeks(Y$31,$F56,$C$5,$C$6,$C$8,$C$9,$C$7,FALSE)</f>
        <v>-70.278584319101995</v>
      </c>
      <c r="Z56">
        <f>_xll.acq_options_blackscholes_greeks(Z$31,$F56,$C$5,$C$6,$C$8,$C$9,$C$7,FALSE)</f>
        <v>-1.3175547187378465</v>
      </c>
    </row>
    <row r="57" spans="6:26" x14ac:dyDescent="0.25">
      <c r="F57" s="13">
        <v>200</v>
      </c>
      <c r="G57">
        <f>_xll.acq_options_bjerksund_greeks(G$31,$F57,$C$5,$C$6,$C$8,$C$9,$C$7,FALSE)</f>
        <v>4.7259808316812553</v>
      </c>
      <c r="H57">
        <f>_xll.acq_options_bjerksund_greeks(H$31,$F57,$C$5,$C$6,$C$8,$C$9,$C$7,FALSE)</f>
        <v>-0.11145298184182195</v>
      </c>
      <c r="I57">
        <f>_xll.acq_options_bjerksund_greeks(I$31,$F57,$C$5,$C$6,$C$8,$C$9,$C$7,FALSE)</f>
        <v>2.6681893523061713E-3</v>
      </c>
      <c r="J57">
        <f>_xll.acq_options_bjerksund_greeks(J$31,$F57,$C$5,$C$6,$C$8,$C$9,$C$7,FALSE)</f>
        <v>58.30631981810081</v>
      </c>
      <c r="K57">
        <f>_xll.acq_options_bjerksund_greeks(K$31,$F57,$C$5,$C$6,$C$8,$C$9,$C$7,FALSE)</f>
        <v>257.72712953653354</v>
      </c>
      <c r="L57">
        <f>_xll.acq_options_bjerksund_greeks(L$31,$F57,$C$5,$C$6,$C$8,$C$9,$C$7,FALSE)</f>
        <v>-0.67690400840092479</v>
      </c>
      <c r="M57">
        <f>_xll.acq_options_bjerksund_greeks(M$31,$F57,$C$5,$C$6,$C$8,$C$9,$C$7,FALSE)</f>
        <v>-51.101136632198063</v>
      </c>
      <c r="N57">
        <f>_xll.acq_options_bjerksund_greeks(N$31,$F57,$C$5,$C$6,$C$8,$C$9,$C$7,FALSE)</f>
        <v>-1.6891712533890768</v>
      </c>
      <c r="R57" s="13">
        <v>200</v>
      </c>
      <c r="S57">
        <f>_xll.acq_options_blackscholes_greeks(S$31,$F57,$C$5,$C$6,$C$8,$C$9,$C$7,FALSE)</f>
        <v>4.2417261732369411</v>
      </c>
      <c r="T57">
        <f>_xll.acq_options_blackscholes_greeks(T$31,$F57,$C$5,$C$6,$C$8,$C$9,$C$7,FALSE)</f>
        <v>-9.5963425807117753E-2</v>
      </c>
      <c r="U57">
        <f>_xll.acq_options_blackscholes_greeks(U$31,$F57,$C$5,$C$6,$C$8,$C$9,$C$7,FALSE)</f>
        <v>2.1538699034187587E-3</v>
      </c>
      <c r="V57">
        <f>_xll.acq_options_blackscholes_greeks(V$31,$F57,$C$5,$C$6,$C$8,$C$9,$C$7,FALSE)</f>
        <v>53.846747585468975</v>
      </c>
      <c r="W57">
        <f>_xll.acq_options_blackscholes_greeks(W$31,$F57,$C$5,$C$6,$C$8,$C$9,$C$7,FALSE)</f>
        <v>255.655164365107</v>
      </c>
      <c r="X57">
        <f>_xll.acq_options_blackscholes_greeks(X$31,$F57,$C$5,$C$6,$C$8,$C$9,$C$7,FALSE)</f>
        <v>-0.61955132553219894</v>
      </c>
      <c r="Y57">
        <f>_xll.acq_options_blackscholes_greeks(Y$31,$F57,$C$5,$C$6,$C$8,$C$9,$C$7,FALSE)</f>
        <v>-58.586028336651239</v>
      </c>
      <c r="Z57">
        <f>_xll.acq_options_blackscholes_greeks(Z$31,$F57,$C$5,$C$6,$C$8,$C$9,$C$7,FALSE)</f>
        <v>-1.2862726991938187</v>
      </c>
    </row>
  </sheetData>
  <mergeCells count="7">
    <mergeCell ref="G45:N45"/>
    <mergeCell ref="S45:Z45"/>
    <mergeCell ref="S30:Z30"/>
    <mergeCell ref="A1:G1"/>
    <mergeCell ref="I3:J3"/>
    <mergeCell ref="F3:H3"/>
    <mergeCell ref="G30:N30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B6B9-5563-4A5A-994F-A4DB117E644D}">
  <sheetPr codeName="Sheet8"/>
  <dimension ref="A1:AT57"/>
  <sheetViews>
    <sheetView workbookViewId="0">
      <selection activeCell="J22" sqref="J22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46" ht="20.25" thickBot="1" x14ac:dyDescent="0.35">
      <c r="A1" s="57" t="s">
        <v>162</v>
      </c>
      <c r="B1" s="57"/>
      <c r="C1" s="57"/>
      <c r="D1" s="57"/>
      <c r="E1" s="57"/>
      <c r="F1" s="57"/>
      <c r="G1" s="57"/>
    </row>
    <row r="2" spans="1:46" ht="15.75" thickTop="1" x14ac:dyDescent="0.25">
      <c r="L2" t="s">
        <v>140</v>
      </c>
      <c r="U2" t="s">
        <v>141</v>
      </c>
      <c r="AD2" t="s">
        <v>140</v>
      </c>
      <c r="AM2" t="s">
        <v>141</v>
      </c>
    </row>
    <row r="3" spans="1:46" ht="15.75" thickBot="1" x14ac:dyDescent="0.3">
      <c r="B3" s="3" t="s">
        <v>92</v>
      </c>
      <c r="C3" s="3"/>
      <c r="F3" s="56" t="s">
        <v>139</v>
      </c>
      <c r="G3" s="56"/>
      <c r="H3" s="56"/>
      <c r="I3" s="56" t="s">
        <v>163</v>
      </c>
      <c r="J3" s="56"/>
      <c r="M3" t="s">
        <v>144</v>
      </c>
      <c r="V3" t="s">
        <v>144</v>
      </c>
      <c r="AE3" t="s">
        <v>144</v>
      </c>
      <c r="AN3" t="s">
        <v>144</v>
      </c>
    </row>
    <row r="4" spans="1:46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  <c r="AD4" t="s">
        <v>136</v>
      </c>
      <c r="AE4">
        <v>120</v>
      </c>
      <c r="AF4">
        <v>130</v>
      </c>
      <c r="AG4">
        <v>140</v>
      </c>
      <c r="AH4">
        <v>150</v>
      </c>
      <c r="AI4">
        <v>160</v>
      </c>
      <c r="AJ4">
        <v>170</v>
      </c>
      <c r="AK4">
        <v>180</v>
      </c>
      <c r="AM4" t="s">
        <v>136</v>
      </c>
      <c r="AN4">
        <v>120</v>
      </c>
      <c r="AO4">
        <v>130</v>
      </c>
      <c r="AP4">
        <v>140</v>
      </c>
      <c r="AQ4">
        <v>150</v>
      </c>
      <c r="AR4">
        <v>160</v>
      </c>
      <c r="AS4">
        <v>170</v>
      </c>
      <c r="AT4">
        <v>180</v>
      </c>
    </row>
    <row r="5" spans="1:46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70</v>
      </c>
      <c r="H5">
        <f>_xll.acq_options_bjerksund_price($C$4,F5,$C$6,$C$8,$C$9,$C$7,FALSE)</f>
        <v>2.0891434360237326E-8</v>
      </c>
      <c r="I5">
        <f>_xll.acq_options_binomial_american_price($C$4,F5,$C$6,$C$8,$C$9,$C$7,TRUE,500)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_xll.acq_options_binomial_american_price(M$4,$C$5,$L5,$C$8,$C$9,$C$7,TRUE)</f>
        <v>6.47885622121005E-5</v>
      </c>
      <c r="N5">
        <f>_xll.acq_options_binomial_american_price(N$4,$C$5,$L5,$C$8,$C$9,$C$7,TRUE)</f>
        <v>1.4806633008807357E-2</v>
      </c>
      <c r="O5">
        <f>_xll.acq_options_binomial_american_price(O$4,$C$5,$L5,$C$8,$C$9,$C$7,TRUE)</f>
        <v>0.46327538134639434</v>
      </c>
      <c r="P5">
        <f>_xll.acq_options_binomial_american_price(P$4,$C$5,$L5,$C$8,$C$9,$C$7,TRUE)</f>
        <v>3.5277905365628364</v>
      </c>
      <c r="Q5">
        <f>_xll.acq_options_binomial_american_price(Q$4,$C$5,$L5,$C$8,$C$9,$C$7,TRUE)</f>
        <v>10.854397955373866</v>
      </c>
      <c r="R5">
        <f>_xll.acq_options_binomial_american_price(R$4,$C$5,$L5,$C$8,$C$9,$C$7,TRUE)</f>
        <v>20.398245605225771</v>
      </c>
      <c r="S5">
        <f>_xll.acq_options_binomial_american_price(S$4,$C$5,$L5,$C$8,$C$9,$C$7,TRUE)</f>
        <v>30.360468484994357</v>
      </c>
      <c r="U5" s="45">
        <v>0.05</v>
      </c>
      <c r="V5">
        <f>_xll.acq_options_binomial_american_price(V$4,$C$5,$U5,$C$8,$C$9,$C$7,FALSE)</f>
        <v>30.000000000007944</v>
      </c>
      <c r="W5">
        <f>_xll.acq_options_binomial_american_price(W$4,$C$5,$U5,$C$8,$C$9,$C$7,FALSE)</f>
        <v>20.000000000008811</v>
      </c>
      <c r="X5">
        <f>_xll.acq_options_binomial_american_price(X$4,$C$5,$U5,$C$8,$C$9,$C$7,FALSE)</f>
        <v>10.226132459460437</v>
      </c>
      <c r="Y5">
        <f>_xll.acq_options_binomial_american_price(Y$4,$C$5,$U5,$C$8,$C$9,$C$7,FALSE)</f>
        <v>3.1790029284836754</v>
      </c>
      <c r="Z5">
        <f>_xll.acq_options_binomial_american_price(Z$4,$C$5,$U5,$C$8,$C$9,$C$7,FALSE)</f>
        <v>0.48754530179488176</v>
      </c>
      <c r="AA5">
        <f>_xll.acq_options_binomial_american_price(AA$4,$C$5,$U5,$C$8,$C$9,$C$7,FALSE)</f>
        <v>3.4019614928197786E-2</v>
      </c>
      <c r="AB5">
        <f>_xll.acq_options_binomial_american_price(AB$4,$C$5,$U5,$C$8,$C$9,$C$7,FALSE)</f>
        <v>1.1233079681879743E-3</v>
      </c>
      <c r="AD5">
        <v>0.05</v>
      </c>
      <c r="AE5">
        <v>6.47885622121005E-5</v>
      </c>
      <c r="AF5">
        <v>1.4806633008807357E-2</v>
      </c>
      <c r="AG5">
        <v>0.46327538134639434</v>
      </c>
      <c r="AH5">
        <v>3.5277905365628364</v>
      </c>
      <c r="AI5">
        <v>10.854397955373866</v>
      </c>
      <c r="AJ5">
        <v>20.398245605225771</v>
      </c>
      <c r="AK5">
        <v>30.360468484994357</v>
      </c>
      <c r="AM5">
        <v>0.05</v>
      </c>
      <c r="AN5">
        <v>30.000000000007944</v>
      </c>
      <c r="AO5">
        <v>20.000000000008811</v>
      </c>
      <c r="AP5">
        <v>10.226132459460437</v>
      </c>
      <c r="AQ5">
        <v>3.1790029284836754</v>
      </c>
      <c r="AR5">
        <v>0.48754530179488176</v>
      </c>
      <c r="AS5">
        <v>3.4019614928197786E-2</v>
      </c>
      <c r="AT5">
        <v>1.1233079681879743E-3</v>
      </c>
    </row>
    <row r="6" spans="1:46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60.834052446027073</v>
      </c>
      <c r="H6">
        <f>_xll.acq_options_bjerksund_price($C$4,F6,$C$6,$C$8,$C$9,$C$7,FALSE)</f>
        <v>2.215073388640576E-4</v>
      </c>
      <c r="I6">
        <f>_xll.acq_options_binomial_american_price($C$4,F6,$C$6,$C$8,$C$9,$C$7,TRUE,500)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_xll.acq_options_binomial_american_price(M$4,$C$5,$L6,$C$8,$C$9,$C$7,TRUE)</f>
        <v>9.1248830034959434E-3</v>
      </c>
      <c r="N6">
        <f>_xll.acq_options_binomial_american_price(N$4,$C$5,$L6,$C$8,$C$9,$C$7,TRUE)</f>
        <v>0.17885106898621184</v>
      </c>
      <c r="O6">
        <f>_xll.acq_options_binomial_american_price(O$4,$C$5,$L6,$C$8,$C$9,$C$7,TRUE)</f>
        <v>1.3493143126169751</v>
      </c>
      <c r="P6">
        <f>_xll.acq_options_binomial_american_price(P$4,$C$5,$L6,$C$8,$C$9,$C$7,TRUE)</f>
        <v>5.093879400981173</v>
      </c>
      <c r="Q6">
        <f>_xll.acq_options_binomial_american_price(Q$4,$C$5,$L6,$C$8,$C$9,$C$7,TRUE)</f>
        <v>12.008481773814808</v>
      </c>
      <c r="R6">
        <f>_xll.acq_options_binomial_american_price(R$4,$C$5,$L6,$C$8,$C$9,$C$7,TRUE)</f>
        <v>20.989035434736152</v>
      </c>
      <c r="S6">
        <f>_xll.acq_options_binomial_american_price(S$4,$C$5,$L6,$C$8,$C$9,$C$7,TRUE)</f>
        <v>30.755768827066532</v>
      </c>
      <c r="U6" s="45">
        <v>0.1</v>
      </c>
      <c r="V6">
        <f>_xll.acq_options_binomial_american_price(V$4,$C$5,$U6,$C$8,$C$9,$C$7,FALSE)</f>
        <v>29.999999999996874</v>
      </c>
      <c r="W6">
        <f>_xll.acq_options_binomial_american_price(W$4,$C$5,$U6,$C$8,$C$9,$C$7,FALSE)</f>
        <v>19.999999999996476</v>
      </c>
      <c r="X6">
        <f>_xll.acq_options_binomial_american_price(X$4,$C$5,$U6,$C$8,$C$9,$C$7,FALSE)</f>
        <v>10.797609727004986</v>
      </c>
      <c r="Y6">
        <f>_xll.acq_options_binomial_american_price(Y$4,$C$5,$U6,$C$8,$C$9,$C$7,FALSE)</f>
        <v>4.4028779916287712</v>
      </c>
      <c r="Z6">
        <f>_xll.acq_options_binomial_american_price(Z$4,$C$5,$U6,$C$8,$C$9,$C$7,FALSE)</f>
        <v>1.2825833785772736</v>
      </c>
      <c r="AA6">
        <f>_xll.acq_options_binomial_american_price(AA$4,$C$5,$U6,$C$8,$C$9,$C$7,FALSE)</f>
        <v>0.26342580573432217</v>
      </c>
      <c r="AB6">
        <f>_xll.acq_options_binomial_american_price(AB$4,$C$5,$U6,$C$8,$C$9,$C$7,FALSE)</f>
        <v>3.8583844005032689E-2</v>
      </c>
      <c r="AD6">
        <v>0.1</v>
      </c>
      <c r="AE6">
        <v>9.1248830034959434E-3</v>
      </c>
      <c r="AF6">
        <v>0.17885106898621184</v>
      </c>
      <c r="AG6">
        <v>1.3493143126169751</v>
      </c>
      <c r="AH6">
        <v>5.093879400981173</v>
      </c>
      <c r="AI6">
        <v>12.008481773814808</v>
      </c>
      <c r="AJ6">
        <v>20.989035434736152</v>
      </c>
      <c r="AK6">
        <v>30.755768827066532</v>
      </c>
      <c r="AM6">
        <v>0.1</v>
      </c>
      <c r="AN6">
        <v>29.999999999996874</v>
      </c>
      <c r="AO6">
        <v>19.999999999996476</v>
      </c>
      <c r="AP6">
        <v>10.797609727004986</v>
      </c>
      <c r="AQ6">
        <v>4.4028779916287712</v>
      </c>
      <c r="AR6">
        <v>1.2825833785772736</v>
      </c>
      <c r="AS6">
        <v>0.26342580573432217</v>
      </c>
      <c r="AT6">
        <v>3.8583844005032689E-2</v>
      </c>
    </row>
    <row r="7" spans="1:46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52.218845893752274</v>
      </c>
      <c r="H7">
        <f>_xll.acq_options_bjerksund_price($C$4,F7,$C$6,$C$8,$C$9,$C$7,FALSE)</f>
        <v>1.3695657760578683E-2</v>
      </c>
      <c r="I7">
        <f>_xll.acq_options_binomial_american_price($C$4,F7,$C$6,$C$8,$C$9,$C$7,TRUE,500)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_xll.acq_options_binomial_american_price(M$4,$C$5,$L7,$C$8,$C$9,$C$7,TRUE)</f>
        <v>5.8077899595978963E-2</v>
      </c>
      <c r="N7">
        <f>_xll.acq_options_binomial_american_price(N$4,$C$5,$L7,$C$8,$C$9,$C$7,TRUE)</f>
        <v>0.49244708697616602</v>
      </c>
      <c r="O7">
        <f>_xll.acq_options_binomial_american_price(O$4,$C$5,$L7,$C$8,$C$9,$C$7,TRUE)</f>
        <v>2.2192034827575045</v>
      </c>
      <c r="P7">
        <f>_xll.acq_options_binomial_american_price(P$4,$C$5,$L7,$C$8,$C$9,$C$7,TRUE)</f>
        <v>6.3354932334738869</v>
      </c>
      <c r="Q7">
        <f>_xll.acq_options_binomial_american_price(Q$4,$C$5,$L7,$C$8,$C$9,$C$7,TRUE)</f>
        <v>13.082256699580331</v>
      </c>
      <c r="R7">
        <f>_xll.acq_options_binomial_american_price(R$4,$C$5,$L7,$C$8,$C$9,$C$7,TRUE)</f>
        <v>21.691322996615757</v>
      </c>
      <c r="S7">
        <f>_xll.acq_options_binomial_american_price(S$4,$C$5,$L7,$C$8,$C$9,$C$7,TRUE)</f>
        <v>31.222516029227904</v>
      </c>
      <c r="U7" s="45">
        <v>0.15</v>
      </c>
      <c r="V7">
        <f>_xll.acq_options_binomial_american_price(V$4,$C$5,$U7,$C$8,$C$9,$C$7,FALSE)</f>
        <v>30.000000000002515</v>
      </c>
      <c r="W7">
        <f>_xll.acq_options_binomial_american_price(W$4,$C$5,$U7,$C$8,$C$9,$C$7,FALSE)</f>
        <v>20.027854351695026</v>
      </c>
      <c r="X7">
        <f>_xll.acq_options_binomial_american_price(X$4,$C$5,$U7,$C$8,$C$9,$C$7,FALSE)</f>
        <v>11.353356804736338</v>
      </c>
      <c r="Y7">
        <f>_xll.acq_options_binomial_american_price(Y$4,$C$5,$U7,$C$8,$C$9,$C$7,FALSE)</f>
        <v>5.3062813983176547</v>
      </c>
      <c r="Z7">
        <f>_xll.acq_options_binomial_american_price(Z$4,$C$5,$U7,$C$8,$C$9,$C$7,FALSE)</f>
        <v>2.0030892793519759</v>
      </c>
      <c r="AA7">
        <f>_xll.acq_options_binomial_american_price(AA$4,$C$5,$U7,$C$8,$C$9,$C$7,FALSE)</f>
        <v>0.60807550371991215</v>
      </c>
      <c r="AB7">
        <f>_xll.acq_options_binomial_american_price(AB$4,$C$5,$U7,$C$8,$C$9,$C$7,FALSE)</f>
        <v>0.14956122530436966</v>
      </c>
      <c r="AD7">
        <v>0.15</v>
      </c>
      <c r="AE7">
        <v>5.8077899595978963E-2</v>
      </c>
      <c r="AF7">
        <v>0.49244708697616602</v>
      </c>
      <c r="AG7">
        <v>2.2192034827575045</v>
      </c>
      <c r="AH7">
        <v>6.3354932334738869</v>
      </c>
      <c r="AI7">
        <v>13.082256699580331</v>
      </c>
      <c r="AJ7">
        <v>21.691322996615757</v>
      </c>
      <c r="AK7">
        <v>31.222516029227904</v>
      </c>
      <c r="AM7">
        <v>0.15</v>
      </c>
      <c r="AN7">
        <v>30.000000000002515</v>
      </c>
      <c r="AO7">
        <v>20.027854351695026</v>
      </c>
      <c r="AP7">
        <v>11.353356804736338</v>
      </c>
      <c r="AQ7">
        <v>5.3062813983176547</v>
      </c>
      <c r="AR7">
        <v>2.0030892793519759</v>
      </c>
      <c r="AS7">
        <v>0.60807550371991215</v>
      </c>
      <c r="AT7">
        <v>0.14956122530436966</v>
      </c>
    </row>
    <row r="8" spans="1:46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43.738469871296317</v>
      </c>
      <c r="H8">
        <f>_xll.acq_options_bjerksund_price($C$4,F8,$C$6,$C$8,$C$9,$C$7,FALSE)</f>
        <v>0.14766123860513858</v>
      </c>
      <c r="I8">
        <f>_xll.acq_options_binomial_american_price($C$4,F8,$C$6,$C$8,$C$9,$C$7,TRUE,500)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_xll.acq_options_binomial_american_price(M$4,$C$5,$L8,$C$8,$C$9,$C$7,TRUE)</f>
        <v>0.16136804829456403</v>
      </c>
      <c r="N8">
        <f>_xll.acq_options_binomial_american_price(N$4,$C$5,$L8,$C$8,$C$9,$C$7,TRUE)</f>
        <v>0.8860473909070643</v>
      </c>
      <c r="O8">
        <f>_xll.acq_options_binomial_american_price(O$4,$C$5,$L8,$C$8,$C$9,$C$7,TRUE)</f>
        <v>3.0435348720524895</v>
      </c>
      <c r="P8">
        <f>_xll.acq_options_binomial_american_price(P$4,$C$5,$L8,$C$8,$C$9,$C$7,TRUE)</f>
        <v>7.4083750302895854</v>
      </c>
      <c r="Q8">
        <f>_xll.acq_options_binomial_american_price(Q$4,$C$5,$L8,$C$8,$C$9,$C$7,TRUE)</f>
        <v>14.068853304358285</v>
      </c>
      <c r="R8">
        <f>_xll.acq_options_binomial_american_price(R$4,$C$5,$L8,$C$8,$C$9,$C$7,TRUE)</f>
        <v>22.426190917393427</v>
      </c>
      <c r="S8">
        <f>_xll.acq_options_binomial_american_price(S$4,$C$5,$L8,$C$8,$C$9,$C$7,TRUE)</f>
        <v>31.746454818833193</v>
      </c>
      <c r="U8" s="45">
        <v>0.2</v>
      </c>
      <c r="V8">
        <f>_xll.acq_options_binomial_american_price(V$4,$C$5,$U8,$C$8,$C$9,$C$7,FALSE)</f>
        <v>29.999999999993349</v>
      </c>
      <c r="W8">
        <f>_xll.acq_options_binomial_american_price(W$4,$C$5,$U8,$C$8,$C$9,$C$7,FALSE)</f>
        <v>20.13073400794984</v>
      </c>
      <c r="X8">
        <f>_xll.acq_options_binomial_american_price(X$4,$C$5,$U8,$C$8,$C$9,$C$7,FALSE)</f>
        <v>11.863106149450129</v>
      </c>
      <c r="Y8">
        <f>_xll.acq_options_binomial_american_price(Y$4,$C$5,$U8,$C$8,$C$9,$C$7,FALSE)</f>
        <v>6.0442186276654537</v>
      </c>
      <c r="Z8">
        <f>_xll.acq_options_binomial_american_price(Z$4,$C$5,$U8,$C$8,$C$9,$C$7,FALSE)</f>
        <v>2.6409942086201346</v>
      </c>
      <c r="AA8">
        <f>_xll.acq_options_binomial_american_price(AA$4,$C$5,$U8,$C$8,$C$9,$C$7,FALSE)</f>
        <v>0.98906799961525138</v>
      </c>
      <c r="AB8">
        <f>_xll.acq_options_binomial_american_price(AB$4,$C$5,$U8,$C$8,$C$9,$C$7,FALSE)</f>
        <v>0.3201665321074566</v>
      </c>
      <c r="AD8">
        <v>0.2</v>
      </c>
      <c r="AE8">
        <v>0.16136804829456403</v>
      </c>
      <c r="AF8">
        <v>0.8860473909070643</v>
      </c>
      <c r="AG8">
        <v>3.0435348720524895</v>
      </c>
      <c r="AH8">
        <v>7.4083750302895854</v>
      </c>
      <c r="AI8">
        <v>14.068853304358285</v>
      </c>
      <c r="AJ8">
        <v>22.426190917393427</v>
      </c>
      <c r="AK8">
        <v>31.746454818833193</v>
      </c>
      <c r="AM8">
        <v>0.2</v>
      </c>
      <c r="AN8">
        <v>29.999999999993349</v>
      </c>
      <c r="AO8">
        <v>20.13073400794984</v>
      </c>
      <c r="AP8">
        <v>11.863106149450129</v>
      </c>
      <c r="AQ8">
        <v>6.0442186276654537</v>
      </c>
      <c r="AR8">
        <v>2.6409942086201346</v>
      </c>
      <c r="AS8">
        <v>0.98906799961525138</v>
      </c>
      <c r="AT8">
        <v>0.3201665321074566</v>
      </c>
    </row>
    <row r="9" spans="1:46" x14ac:dyDescent="0.25">
      <c r="B9" t="s">
        <v>123</v>
      </c>
      <c r="C9" s="52">
        <v>0.01</v>
      </c>
      <c r="F9">
        <v>50</v>
      </c>
      <c r="G9">
        <f>_xll.acq_options_bjerksund_price($C$4,F9,$C$6,$C$8,$C$9,$C$7,TRUE)</f>
        <v>35.643402344547368</v>
      </c>
      <c r="H9">
        <f>_xll.acq_options_bjerksund_price($C$4,F9,$C$6,$C$8,$C$9,$C$7,FALSE)</f>
        <v>0.69626485422152484</v>
      </c>
      <c r="I9">
        <f>_xll.acq_options_binomial_american_price($C$4,F9,$C$6,$C$8,$C$9,$C$7,TRUE,500)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_xll.acq_options_binomial_american_price(M$4,$C$5,$L9,$C$8,$C$9,$C$7,TRUE)</f>
        <v>0.31325094901697909</v>
      </c>
      <c r="N9">
        <f>_xll.acq_options_binomial_american_price(N$4,$C$5,$L9,$C$8,$C$9,$C$7,TRUE)</f>
        <v>1.3206650122883798</v>
      </c>
      <c r="O9">
        <f>_xll.acq_options_binomial_american_price(O$4,$C$5,$L9,$C$8,$C$9,$C$7,TRUE)</f>
        <v>3.8215367979400421</v>
      </c>
      <c r="P9">
        <f>_xll.acq_options_binomial_american_price(P$4,$C$5,$L9,$C$8,$C$9,$C$7,TRUE)</f>
        <v>8.3729100913056413</v>
      </c>
      <c r="Q9">
        <f>_xll.acq_options_binomial_american_price(Q$4,$C$5,$L9,$C$8,$C$9,$C$7,TRUE)</f>
        <v>14.984356354747003</v>
      </c>
      <c r="R9">
        <f>_xll.acq_options_binomial_american_price(R$4,$C$5,$L9,$C$8,$C$9,$C$7,TRUE)</f>
        <v>23.161178919125021</v>
      </c>
      <c r="S9">
        <f>_xll.acq_options_binomial_american_price(S$4,$C$5,$L9,$C$8,$C$9,$C$7,TRUE)</f>
        <v>32.304511439276084</v>
      </c>
      <c r="U9" s="45">
        <v>0.25</v>
      </c>
      <c r="V9">
        <f>_xll.acq_options_binomial_american_price(V$4,$C$5,$U9,$C$8,$C$9,$C$7,FALSE)</f>
        <v>30.0000000000028</v>
      </c>
      <c r="W9">
        <f>_xll.acq_options_binomial_american_price(W$4,$C$5,$U9,$C$8,$C$9,$C$7,FALSE)</f>
        <v>20.274504805299543</v>
      </c>
      <c r="X9">
        <f>_xll.acq_options_binomial_american_price(X$4,$C$5,$U9,$C$8,$C$9,$C$7,FALSE)</f>
        <v>12.327876459814949</v>
      </c>
      <c r="Y9">
        <f>_xll.acq_options_binomial_american_price(Y$4,$C$5,$U9,$C$8,$C$9,$C$7,FALSE)</f>
        <v>6.6766919114698968</v>
      </c>
      <c r="Z9">
        <f>_xll.acq_options_binomial_american_price(Z$4,$C$5,$U9,$C$8,$C$9,$C$7,FALSE)</f>
        <v>3.2120003339687822</v>
      </c>
      <c r="AA9">
        <f>_xll.acq_options_binomial_american_price(AA$4,$C$5,$U9,$C$8,$C$9,$C$7,FALSE)</f>
        <v>1.3736497278310844</v>
      </c>
      <c r="AB9">
        <f>_xll.acq_options_binomial_american_price(AB$4,$C$5,$U9,$C$8,$C$9,$C$7,FALSE)</f>
        <v>0.52750606510265219</v>
      </c>
      <c r="AD9">
        <v>0.25</v>
      </c>
      <c r="AE9">
        <v>0.31325094901697909</v>
      </c>
      <c r="AF9">
        <v>1.3206650122883798</v>
      </c>
      <c r="AG9">
        <v>3.8215367979400421</v>
      </c>
      <c r="AH9">
        <v>8.3729100913056413</v>
      </c>
      <c r="AI9">
        <v>14.984356354747003</v>
      </c>
      <c r="AJ9">
        <v>23.161178919125021</v>
      </c>
      <c r="AK9">
        <v>32.304511439276084</v>
      </c>
      <c r="AM9">
        <v>0.25</v>
      </c>
      <c r="AN9">
        <v>30.0000000000028</v>
      </c>
      <c r="AO9">
        <v>20.274504805299543</v>
      </c>
      <c r="AP9">
        <v>12.327876459814949</v>
      </c>
      <c r="AQ9">
        <v>6.6766919114698968</v>
      </c>
      <c r="AR9">
        <v>3.2120003339687822</v>
      </c>
      <c r="AS9">
        <v>1.3736497278310844</v>
      </c>
      <c r="AT9">
        <v>0.52750606510265219</v>
      </c>
    </row>
    <row r="10" spans="1:46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28.279441719065261</v>
      </c>
      <c r="H10">
        <f>_xll.acq_options_bjerksund_price($C$4,F10,$C$6,$C$8,$C$9,$C$7,FALSE)</f>
        <v>2.071825152151348</v>
      </c>
      <c r="I10">
        <f>_xll.acq_options_binomial_american_price($C$4,F10,$C$6,$C$8,$C$9,$C$7,TRUE,500)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_xll.acq_options_binomial_american_price(M$4,$C$5,$L10,$C$8,$C$9,$C$7,TRUE)</f>
        <v>0.50723351768046687</v>
      </c>
      <c r="N10">
        <f>_xll.acq_options_binomial_american_price(N$4,$C$5,$L10,$C$8,$C$9,$C$7,TRUE)</f>
        <v>1.7778898294447549</v>
      </c>
      <c r="O10">
        <f>_xll.acq_options_binomial_american_price(O$4,$C$5,$L10,$C$8,$C$9,$C$7,TRUE)</f>
        <v>4.5610278170178651</v>
      </c>
      <c r="P10">
        <f>_xll.acq_options_binomial_american_price(P$4,$C$5,$L10,$C$8,$C$9,$C$7,TRUE)</f>
        <v>9.2600973651020233</v>
      </c>
      <c r="Q10">
        <f>_xll.acq_options_binomial_american_price(Q$4,$C$5,$L10,$C$8,$C$9,$C$7,TRUE)</f>
        <v>15.845950364108626</v>
      </c>
      <c r="R10">
        <f>_xll.acq_options_binomial_american_price(R$4,$C$5,$L10,$C$8,$C$9,$C$7,TRUE)</f>
        <v>23.88749944641949</v>
      </c>
      <c r="S10">
        <f>_xll.acq_options_binomial_american_price(S$4,$C$5,$L10,$C$8,$C$9,$C$7,TRUE)</f>
        <v>32.87973756386954</v>
      </c>
      <c r="U10" s="45">
        <v>0.3</v>
      </c>
      <c r="V10">
        <f>_xll.acq_options_binomial_american_price(V$4,$C$5,$U10,$C$8,$C$9,$C$7,FALSE)</f>
        <v>30.000000000002743</v>
      </c>
      <c r="W10">
        <f>_xll.acq_options_binomial_american_price(W$4,$C$5,$U10,$C$8,$C$9,$C$7,FALSE)</f>
        <v>20.440193582355914</v>
      </c>
      <c r="X10">
        <f>_xll.acq_options_binomial_american_price(X$4,$C$5,$U10,$C$8,$C$9,$C$7,FALSE)</f>
        <v>12.754290425942102</v>
      </c>
      <c r="Y10">
        <f>_xll.acq_options_binomial_american_price(Y$4,$C$5,$U10,$C$8,$C$9,$C$7,FALSE)</f>
        <v>7.2344336704707839</v>
      </c>
      <c r="Z10">
        <f>_xll.acq_options_binomial_american_price(Z$4,$C$5,$U10,$C$8,$C$9,$C$7,FALSE)</f>
        <v>3.7317306145519544</v>
      </c>
      <c r="AA10">
        <f>_xll.acq_options_binomial_american_price(AA$4,$C$5,$U10,$C$8,$C$9,$C$7,FALSE)</f>
        <v>1.7527580521189718</v>
      </c>
      <c r="AB10">
        <f>_xll.acq_options_binomial_american_price(AB$4,$C$5,$U10,$C$8,$C$9,$C$7,FALSE)</f>
        <v>0.75487996900595666</v>
      </c>
      <c r="AD10">
        <v>0.3</v>
      </c>
      <c r="AE10">
        <v>0.50723351768046687</v>
      </c>
      <c r="AF10">
        <v>1.7778898294447549</v>
      </c>
      <c r="AG10">
        <v>4.5610278170178651</v>
      </c>
      <c r="AH10">
        <v>9.2600973651020233</v>
      </c>
      <c r="AI10">
        <v>15.845950364108626</v>
      </c>
      <c r="AJ10">
        <v>23.88749944641949</v>
      </c>
      <c r="AK10">
        <v>32.87973756386954</v>
      </c>
      <c r="AM10">
        <v>0.3</v>
      </c>
      <c r="AN10">
        <v>30.000000000002743</v>
      </c>
      <c r="AO10">
        <v>20.440193582355914</v>
      </c>
      <c r="AP10">
        <v>12.754290425942102</v>
      </c>
      <c r="AQ10">
        <v>7.2344336704707839</v>
      </c>
      <c r="AR10">
        <v>3.7317306145519544</v>
      </c>
      <c r="AS10">
        <v>1.7527580521189718</v>
      </c>
      <c r="AT10">
        <v>0.75487996900595666</v>
      </c>
    </row>
    <row r="11" spans="1:46" x14ac:dyDescent="0.25">
      <c r="B11" t="s">
        <v>161</v>
      </c>
      <c r="C11" s="50">
        <f>C8-C9</f>
        <v>4.9999999999999996E-2</v>
      </c>
      <c r="F11">
        <v>70</v>
      </c>
      <c r="G11">
        <f>_xll.acq_options_bjerksund_price($C$4,F11,$C$6,$C$8,$C$9,$C$7,TRUE)</f>
        <v>21.91311176926208</v>
      </c>
      <c r="H11">
        <f>_xll.acq_options_bjerksund_price($C$4,F11,$C$6,$C$8,$C$9,$C$7,FALSE)</f>
        <v>4.6486349425354163</v>
      </c>
      <c r="I11">
        <f>_xll.acq_options_binomial_american_price($C$4,F11,$C$6,$C$8,$C$9,$C$7,TRUE,500)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_xll.acq_options_binomial_american_price(M$4,$C$5,$L11,$C$8,$C$9,$C$7,TRUE)</f>
        <v>0.73125251323826879</v>
      </c>
      <c r="N11">
        <f>_xll.acq_options_binomial_american_price(N$4,$C$5,$L11,$C$8,$C$9,$C$7,TRUE)</f>
        <v>2.2425629675526668</v>
      </c>
      <c r="O11">
        <f>_xll.acq_options_binomial_american_price(O$4,$C$5,$L11,$C$8,$C$9,$C$7,TRUE)</f>
        <v>5.2618578149379438</v>
      </c>
      <c r="P11">
        <f>_xll.acq_options_binomial_american_price(P$4,$C$5,$L11,$C$8,$C$9,$C$7,TRUE)</f>
        <v>10.08836927608</v>
      </c>
      <c r="Q11">
        <f>_xll.acq_options_binomial_american_price(Q$4,$C$5,$L11,$C$8,$C$9,$C$7,TRUE)</f>
        <v>16.658382519599211</v>
      </c>
      <c r="R11">
        <f>_xll.acq_options_binomial_american_price(R$4,$C$5,$L11,$C$8,$C$9,$C$7,TRUE)</f>
        <v>24.600440523935646</v>
      </c>
      <c r="S11">
        <f>_xll.acq_options_binomial_american_price(S$4,$C$5,$L11,$C$8,$C$9,$C$7,TRUE)</f>
        <v>33.465938073747651</v>
      </c>
      <c r="U11" s="45">
        <v>0.35</v>
      </c>
      <c r="V11">
        <f>_xll.acq_options_binomial_american_price(V$4,$C$5,$U11,$C$8,$C$9,$C$7,FALSE)</f>
        <v>29.999999999996248</v>
      </c>
      <c r="W11">
        <f>_xll.acq_options_binomial_american_price(W$4,$C$5,$U11,$C$8,$C$9,$C$7,FALSE)</f>
        <v>20.614981977575212</v>
      </c>
      <c r="X11">
        <f>_xll.acq_options_binomial_american_price(X$4,$C$5,$U11,$C$8,$C$9,$C$7,FALSE)</f>
        <v>13.14532203793252</v>
      </c>
      <c r="Y11">
        <f>_xll.acq_options_binomial_american_price(Y$4,$C$5,$U11,$C$8,$C$9,$C$7,FALSE)</f>
        <v>7.735689758679209</v>
      </c>
      <c r="Z11">
        <f>_xll.acq_options_binomial_american_price(Z$4,$C$5,$U11,$C$8,$C$9,$C$7,FALSE)</f>
        <v>4.2065120657730173</v>
      </c>
      <c r="AA11">
        <f>_xll.acq_options_binomial_american_price(AA$4,$C$5,$U11,$C$8,$C$9,$C$7,FALSE)</f>
        <v>2.1214486509235293</v>
      </c>
      <c r="AB11">
        <f>_xll.acq_options_binomial_american_price(AB$4,$C$5,$U11,$C$8,$C$9,$C$7,FALSE)</f>
        <v>0.99553681262010585</v>
      </c>
      <c r="AD11">
        <v>0.35</v>
      </c>
      <c r="AE11">
        <v>0.73125251323826879</v>
      </c>
      <c r="AF11">
        <v>2.2425629675526668</v>
      </c>
      <c r="AG11">
        <v>5.2618578149379438</v>
      </c>
      <c r="AH11">
        <v>10.08836927608</v>
      </c>
      <c r="AI11">
        <v>16.658382519599211</v>
      </c>
      <c r="AJ11">
        <v>24.600440523935646</v>
      </c>
      <c r="AK11">
        <v>33.465938073747651</v>
      </c>
      <c r="AM11">
        <v>0.35</v>
      </c>
      <c r="AN11">
        <v>29.999999999996248</v>
      </c>
      <c r="AO11">
        <v>20.614981977575212</v>
      </c>
      <c r="AP11">
        <v>13.14532203793252</v>
      </c>
      <c r="AQ11">
        <v>7.735689758679209</v>
      </c>
      <c r="AR11">
        <v>4.2065120657730173</v>
      </c>
      <c r="AS11">
        <v>2.1214486509235293</v>
      </c>
      <c r="AT11">
        <v>0.99553681262010585</v>
      </c>
    </row>
    <row r="12" spans="1:46" x14ac:dyDescent="0.25">
      <c r="F12">
        <v>80</v>
      </c>
      <c r="G12">
        <f>_xll.acq_options_bjerksund_price($C$4,F12,$C$6,$C$8,$C$9,$C$7,TRUE)</f>
        <v>16.652674296504312</v>
      </c>
      <c r="H12">
        <f>_xll.acq_options_bjerksund_price($C$4,F12,$C$6,$C$8,$C$9,$C$7,FALSE)</f>
        <v>8.6709751755216189</v>
      </c>
      <c r="I12">
        <f>_xll.acq_options_binomial_american_price($C$4,F12,$C$6,$C$8,$C$9,$C$7,TRUE,500)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_xll.acq_options_binomial_american_price(M$4,$C$5,$L12,$C$8,$C$9,$C$7,TRUE)</f>
        <v>0.98074725352978653</v>
      </c>
      <c r="N12">
        <f>_xll.acq_options_binomial_american_price(N$4,$C$5,$L12,$C$8,$C$9,$C$7,TRUE)</f>
        <v>2.7108623936882199</v>
      </c>
      <c r="O12">
        <f>_xll.acq_options_binomial_american_price(O$4,$C$5,$L12,$C$8,$C$9,$C$7,TRUE)</f>
        <v>5.9331503559943091</v>
      </c>
      <c r="P12">
        <f>_xll.acq_options_binomial_american_price(P$4,$C$5,$L12,$C$8,$C$9,$C$7,TRUE)</f>
        <v>10.869747155346124</v>
      </c>
      <c r="Q12">
        <f>_xll.acq_options_binomial_american_price(Q$4,$C$5,$L12,$C$8,$C$9,$C$7,TRUE)</f>
        <v>17.439320147336176</v>
      </c>
      <c r="R12">
        <f>_xll.acq_options_binomial_american_price(R$4,$C$5,$L12,$C$8,$C$9,$C$7,TRUE)</f>
        <v>25.292119275335775</v>
      </c>
      <c r="S12">
        <f>_xll.acq_options_binomial_american_price(S$4,$C$5,$L12,$C$8,$C$9,$C$7,TRUE)</f>
        <v>34.052619910449579</v>
      </c>
      <c r="U12" s="45">
        <v>0.4</v>
      </c>
      <c r="V12">
        <f>_xll.acq_options_binomial_american_price(V$4,$C$5,$U12,$C$8,$C$9,$C$7,FALSE)</f>
        <v>29.999999999999787</v>
      </c>
      <c r="W12">
        <f>_xll.acq_options_binomial_american_price(W$4,$C$5,$U12,$C$8,$C$9,$C$7,FALSE)</f>
        <v>20.79423171930236</v>
      </c>
      <c r="X12">
        <f>_xll.acq_options_binomial_american_price(X$4,$C$5,$U12,$C$8,$C$9,$C$7,FALSE)</f>
        <v>13.507534862877332</v>
      </c>
      <c r="Y12">
        <f>_xll.acq_options_binomial_american_price(Y$4,$C$5,$U12,$C$8,$C$9,$C$7,FALSE)</f>
        <v>8.1923374611286697</v>
      </c>
      <c r="Z12">
        <f>_xll.acq_options_binomial_american_price(Z$4,$C$5,$U12,$C$8,$C$9,$C$7,FALSE)</f>
        <v>4.6510025026004902</v>
      </c>
      <c r="AA12">
        <f>_xll.acq_options_binomial_american_price(AA$4,$C$5,$U12,$C$8,$C$9,$C$7,FALSE)</f>
        <v>2.4723128103769398</v>
      </c>
      <c r="AB12">
        <f>_xll.acq_options_binomial_american_price(AB$4,$C$5,$U12,$C$8,$C$9,$C$7,FALSE)</f>
        <v>1.2394163077110454</v>
      </c>
      <c r="AD12">
        <v>0.4</v>
      </c>
      <c r="AE12">
        <v>0.98074725352978653</v>
      </c>
      <c r="AF12">
        <v>2.7108623936882199</v>
      </c>
      <c r="AG12">
        <v>5.9331503559943091</v>
      </c>
      <c r="AH12">
        <v>10.869747155346124</v>
      </c>
      <c r="AI12">
        <v>17.439320147336176</v>
      </c>
      <c r="AJ12">
        <v>25.292119275335775</v>
      </c>
      <c r="AK12">
        <v>34.052619910449579</v>
      </c>
      <c r="AM12">
        <v>0.4</v>
      </c>
      <c r="AN12">
        <v>29.999999999999787</v>
      </c>
      <c r="AO12">
        <v>20.79423171930236</v>
      </c>
      <c r="AP12">
        <v>13.507534862877332</v>
      </c>
      <c r="AQ12">
        <v>8.1923374611286697</v>
      </c>
      <c r="AR12">
        <v>4.6510025026004902</v>
      </c>
      <c r="AS12">
        <v>2.4723128103769398</v>
      </c>
      <c r="AT12">
        <v>1.2394163077110454</v>
      </c>
    </row>
    <row r="13" spans="1:46" x14ac:dyDescent="0.25">
      <c r="F13">
        <v>90</v>
      </c>
      <c r="G13">
        <f>_xll.acq_options_bjerksund_price($C$4,F13,$C$6,$C$8,$C$9,$C$7,TRUE)</f>
        <v>12.463130758360883</v>
      </c>
      <c r="H13">
        <f>_xll.acq_options_bjerksund_price($C$4,F13,$C$6,$C$8,$C$9,$C$7,FALSE)</f>
        <v>14.248771349045811</v>
      </c>
      <c r="I13">
        <f>_xll.acq_options_binomial_american_price($C$4,F13,$C$6,$C$8,$C$9,$C$7,TRUE,500)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_xll.acq_options_binomial_american_price(M$4,$C$5,$L13,$C$8,$C$9,$C$7,TRUE)</f>
        <v>1.2470004782783017</v>
      </c>
      <c r="N13">
        <f>_xll.acq_options_binomial_american_price(N$4,$C$5,$L13,$C$8,$C$9,$C$7,TRUE)</f>
        <v>3.1843266342166752</v>
      </c>
      <c r="O13">
        <f>_xll.acq_options_binomial_american_price(O$4,$C$5,$L13,$C$8,$C$9,$C$7,TRUE)</f>
        <v>6.5857879830962656</v>
      </c>
      <c r="P13">
        <f>_xll.acq_options_binomial_american_price(P$4,$C$5,$L13,$C$8,$C$9,$C$7,TRUE)</f>
        <v>11.612589204012622</v>
      </c>
      <c r="Q13">
        <f>_xll.acq_options_binomial_american_price(Q$4,$C$5,$L13,$C$8,$C$9,$C$7,TRUE)</f>
        <v>18.18171358281873</v>
      </c>
      <c r="R13">
        <f>_xll.acq_options_binomial_american_price(R$4,$C$5,$L13,$C$8,$C$9,$C$7,TRUE)</f>
        <v>25.972533818763516</v>
      </c>
      <c r="S13">
        <f>_xll.acq_options_binomial_american_price(S$4,$C$5,$L13,$C$8,$C$9,$C$7,TRUE)</f>
        <v>34.63989179675373</v>
      </c>
      <c r="U13" s="45">
        <v>0.45</v>
      </c>
      <c r="V13">
        <f>_xll.acq_options_binomial_american_price(V$4,$C$5,$U13,$C$8,$C$9,$C$7,FALSE)</f>
        <v>29.999999999992809</v>
      </c>
      <c r="W13">
        <f>_xll.acq_options_binomial_american_price(W$4,$C$5,$U13,$C$8,$C$9,$C$7,FALSE)</f>
        <v>20.976031447468223</v>
      </c>
      <c r="X13">
        <f>_xll.acq_options_binomial_american_price(X$4,$C$5,$U13,$C$8,$C$9,$C$7,FALSE)</f>
        <v>13.850939518869161</v>
      </c>
      <c r="Y13">
        <f>_xll.acq_options_binomial_american_price(Y$4,$C$5,$U13,$C$8,$C$9,$C$7,FALSE)</f>
        <v>8.6126322014121452</v>
      </c>
      <c r="Z13">
        <f>_xll.acq_options_binomial_american_price(Z$4,$C$5,$U13,$C$8,$C$9,$C$7,FALSE)</f>
        <v>5.0602658139661454</v>
      </c>
      <c r="AA13">
        <f>_xll.acq_options_binomial_american_price(AA$4,$C$5,$U13,$C$8,$C$9,$C$7,FALSE)</f>
        <v>2.8133889019011615</v>
      </c>
      <c r="AB13">
        <f>_xll.acq_options_binomial_american_price(AB$4,$C$5,$U13,$C$8,$C$9,$C$7,FALSE)</f>
        <v>1.4858297365660946</v>
      </c>
      <c r="AD13">
        <v>0.45</v>
      </c>
      <c r="AE13">
        <v>1.2470004782783017</v>
      </c>
      <c r="AF13">
        <v>3.1843266342166752</v>
      </c>
      <c r="AG13">
        <v>6.5857879830962656</v>
      </c>
      <c r="AH13">
        <v>11.612589204012622</v>
      </c>
      <c r="AI13">
        <v>18.18171358281873</v>
      </c>
      <c r="AJ13">
        <v>25.972533818763516</v>
      </c>
      <c r="AK13">
        <v>34.63989179675373</v>
      </c>
      <c r="AM13">
        <v>0.45</v>
      </c>
      <c r="AN13">
        <v>29.999999999992809</v>
      </c>
      <c r="AO13">
        <v>20.976031447468223</v>
      </c>
      <c r="AP13">
        <v>13.850939518869161</v>
      </c>
      <c r="AQ13">
        <v>8.6126322014121452</v>
      </c>
      <c r="AR13">
        <v>5.0602658139661454</v>
      </c>
      <c r="AS13">
        <v>2.8133889019011615</v>
      </c>
      <c r="AT13">
        <v>1.4858297365660946</v>
      </c>
    </row>
    <row r="14" spans="1:46" x14ac:dyDescent="0.25">
      <c r="F14">
        <v>100</v>
      </c>
      <c r="G14">
        <f>_xll.acq_options_bjerksund_price($C$4,F14,$C$6,$C$8,$C$9,$C$7,TRUE)</f>
        <v>9.2205494082655974</v>
      </c>
      <c r="H14">
        <f>_xll.acq_options_bjerksund_price($C$4,F14,$C$6,$C$8,$C$9,$C$7,FALSE)</f>
        <v>21.396364685483899</v>
      </c>
      <c r="I14">
        <f>_xll.acq_options_binomial_american_price($C$4,F14,$C$6,$C$8,$C$9,$C$7,TRUE,500)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_xll.acq_options_binomial_american_price(M$4,$C$5,$L14,$C$8,$C$9,$C$7,TRUE)</f>
        <v>1.5281847509030895</v>
      </c>
      <c r="N14">
        <f>_xll.acq_options_binomial_american_price(N$4,$C$5,$L14,$C$8,$C$9,$C$7,TRUE)</f>
        <v>3.6455355589481657</v>
      </c>
      <c r="O14">
        <f>_xll.acq_options_binomial_american_price(O$4,$C$5,$L14,$C$8,$C$9,$C$7,TRUE)</f>
        <v>7.2111511027985165</v>
      </c>
      <c r="P14">
        <f>_xll.acq_options_binomial_american_price(P$4,$C$5,$L14,$C$8,$C$9,$C$7,TRUE)</f>
        <v>12.322987010315092</v>
      </c>
      <c r="Q14">
        <f>_xll.acq_options_binomial_american_price(Q$4,$C$5,$L14,$C$8,$C$9,$C$7,TRUE)</f>
        <v>18.891665822159915</v>
      </c>
      <c r="R14">
        <f>_xll.acq_options_binomial_american_price(R$4,$C$5,$L14,$C$8,$C$9,$C$7,TRUE)</f>
        <v>26.629771214566016</v>
      </c>
      <c r="S14">
        <f>_xll.acq_options_binomial_american_price(S$4,$C$5,$L14,$C$8,$C$9,$C$7,TRUE)</f>
        <v>35.225855437579256</v>
      </c>
      <c r="U14" s="45">
        <v>0.5</v>
      </c>
      <c r="V14">
        <f>_xll.acq_options_binomial_american_price(V$4,$C$5,$U14,$C$8,$C$9,$C$7,FALSE)</f>
        <v>30.01357994271202</v>
      </c>
      <c r="W14">
        <f>_xll.acq_options_binomial_american_price(W$4,$C$5,$U14,$C$8,$C$9,$C$7,FALSE)</f>
        <v>21.15200671396223</v>
      </c>
      <c r="X14">
        <f>_xll.acq_options_binomial_american_price(X$4,$C$5,$U14,$C$8,$C$9,$C$7,FALSE)</f>
        <v>14.170235970354575</v>
      </c>
      <c r="Y14">
        <f>_xll.acq_options_binomial_american_price(Y$4,$C$5,$U14,$C$8,$C$9,$C$7,FALSE)</f>
        <v>9.0025754232218205</v>
      </c>
      <c r="Z14">
        <f>_xll.acq_options_binomial_american_price(Z$4,$C$5,$U14,$C$8,$C$9,$C$7,FALSE)</f>
        <v>5.440504492483285</v>
      </c>
      <c r="AA14">
        <f>_xll.acq_options_binomial_american_price(AA$4,$C$5,$U14,$C$8,$C$9,$C$7,FALSE)</f>
        <v>3.1354763991069881</v>
      </c>
      <c r="AB14">
        <f>_xll.acq_options_binomial_american_price(AB$4,$C$5,$U14,$C$8,$C$9,$C$7,FALSE)</f>
        <v>1.7335499493219952</v>
      </c>
      <c r="AD14">
        <v>0.5</v>
      </c>
      <c r="AE14">
        <v>1.5281847509030895</v>
      </c>
      <c r="AF14">
        <v>3.6455355589481657</v>
      </c>
      <c r="AG14">
        <v>7.2111511027985165</v>
      </c>
      <c r="AH14">
        <v>12.322987010315092</v>
      </c>
      <c r="AI14">
        <v>18.891665822159915</v>
      </c>
      <c r="AJ14">
        <v>26.629771214566016</v>
      </c>
      <c r="AK14">
        <v>35.225855437579256</v>
      </c>
      <c r="AM14">
        <v>0.5</v>
      </c>
      <c r="AN14">
        <v>30.01357994271202</v>
      </c>
      <c r="AO14">
        <v>21.15200671396223</v>
      </c>
      <c r="AP14">
        <v>14.170235970354575</v>
      </c>
      <c r="AQ14">
        <v>9.0025754232218205</v>
      </c>
      <c r="AR14">
        <v>5.440504492483285</v>
      </c>
      <c r="AS14">
        <v>3.1354763991069881</v>
      </c>
      <c r="AT14">
        <v>1.7335499493219952</v>
      </c>
    </row>
    <row r="15" spans="1:46" x14ac:dyDescent="0.25">
      <c r="F15">
        <v>110</v>
      </c>
      <c r="G15">
        <f>_xll.acq_options_bjerksund_price($C$4,F15,$C$6,$C$8,$C$9,$C$7,TRUE)</f>
        <v>6.764545757397002</v>
      </c>
      <c r="H15">
        <f>_xll.acq_options_bjerksund_price($C$4,F15,$C$6,$C$8,$C$9,$C$7,FALSE)</f>
        <v>30.076670594006217</v>
      </c>
      <c r="I15">
        <f>_xll.acq_options_binomial_american_price($C$4,F15,$C$6,$C$8,$C$9,$C$7,TRUE,500)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_xll.acq_options_binomial_american_price(M$4,$C$5,$L15,$C$8,$C$9,$C$7,TRUE)</f>
        <v>1.8239007301477845</v>
      </c>
      <c r="N15">
        <f>_xll.acq_options_binomial_american_price(N$4,$C$5,$L15,$C$8,$C$9,$C$7,TRUE)</f>
        <v>4.1151087291769262</v>
      </c>
      <c r="O15">
        <f>_xll.acq_options_binomial_american_price(O$4,$C$5,$L15,$C$8,$C$9,$C$7,TRUE)</f>
        <v>7.813111808473657</v>
      </c>
      <c r="P15">
        <f>_xll.acq_options_binomial_american_price(P$4,$C$5,$L15,$C$8,$C$9,$C$7,TRUE)</f>
        <v>13.005543865476119</v>
      </c>
      <c r="Q15">
        <f>_xll.acq_options_binomial_american_price(Q$4,$C$5,$L15,$C$8,$C$9,$C$7,TRUE)</f>
        <v>19.5823066688422</v>
      </c>
      <c r="R15">
        <f>_xll.acq_options_binomial_american_price(R$4,$C$5,$L15,$C$8,$C$9,$C$7,TRUE)</f>
        <v>27.281215949496463</v>
      </c>
      <c r="S15">
        <f>_xll.acq_options_binomial_american_price(S$4,$C$5,$L15,$C$8,$C$9,$C$7,TRUE)</f>
        <v>35.798090255173449</v>
      </c>
      <c r="U15" s="45">
        <v>0.55000000000000004</v>
      </c>
      <c r="V15">
        <f>_xll.acq_options_binomial_american_price(V$4,$C$5,$U15,$C$8,$C$9,$C$7,FALSE)</f>
        <v>30.038544836649557</v>
      </c>
      <c r="W15">
        <f>_xll.acq_options_binomial_american_price(W$4,$C$5,$U15,$C$8,$C$9,$C$7,FALSE)</f>
        <v>21.330445738968635</v>
      </c>
      <c r="X15">
        <f>_xll.acq_options_binomial_american_price(X$4,$C$5,$U15,$C$8,$C$9,$C$7,FALSE)</f>
        <v>14.468681374332336</v>
      </c>
      <c r="Y15">
        <f>_xll.acq_options_binomial_american_price(Y$4,$C$5,$U15,$C$8,$C$9,$C$7,FALSE)</f>
        <v>9.3666840898581079</v>
      </c>
      <c r="Z15">
        <f>_xll.acq_options_binomial_american_price(Z$4,$C$5,$U15,$C$8,$C$9,$C$7,FALSE)</f>
        <v>5.8034874671570558</v>
      </c>
      <c r="AA15">
        <f>_xll.acq_options_binomial_american_price(AA$4,$C$5,$U15,$C$8,$C$9,$C$7,FALSE)</f>
        <v>3.4522522165303364</v>
      </c>
      <c r="AB15">
        <f>_xll.acq_options_binomial_american_price(AB$4,$C$5,$U15,$C$8,$C$9,$C$7,FALSE)</f>
        <v>1.9708398941787317</v>
      </c>
      <c r="AD15">
        <v>0.55000000000000004</v>
      </c>
      <c r="AE15">
        <v>1.8239007301477845</v>
      </c>
      <c r="AF15">
        <v>4.1151087291769262</v>
      </c>
      <c r="AG15">
        <v>7.813111808473657</v>
      </c>
      <c r="AH15">
        <v>13.005543865476119</v>
      </c>
      <c r="AI15">
        <v>19.5823066688422</v>
      </c>
      <c r="AJ15">
        <v>27.281215949496463</v>
      </c>
      <c r="AK15">
        <v>35.798090255173449</v>
      </c>
      <c r="AM15">
        <v>0.55000000000000004</v>
      </c>
      <c r="AN15">
        <v>30.038544836649557</v>
      </c>
      <c r="AO15">
        <v>21.330445738968635</v>
      </c>
      <c r="AP15">
        <v>14.468681374332336</v>
      </c>
      <c r="AQ15">
        <v>9.3666840898581079</v>
      </c>
      <c r="AR15">
        <v>5.8034874671570558</v>
      </c>
      <c r="AS15">
        <v>3.4522522165303364</v>
      </c>
      <c r="AT15">
        <v>1.9708398941787317</v>
      </c>
    </row>
    <row r="16" spans="1:46" x14ac:dyDescent="0.25">
      <c r="F16">
        <v>120</v>
      </c>
      <c r="G16">
        <f>_xll.acq_options_bjerksund_price($C$4,F16,$C$6,$C$8,$C$9,$C$7,TRUE)</f>
        <v>4.9338385245174976</v>
      </c>
      <c r="H16">
        <f>_xll.acq_options_bjerksund_price($C$4,F16,$C$6,$C$8,$C$9,$C$7,FALSE)</f>
        <v>40</v>
      </c>
      <c r="I16">
        <f>_xll.acq_options_binomial_american_price($C$4,F16,$C$6,$C$8,$C$9,$C$7,TRUE,500)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_xll.acq_options_binomial_american_price(M$4,$C$5,$L16,$C$8,$C$9,$C$7,TRUE)</f>
        <v>2.1215661214389336</v>
      </c>
      <c r="N16">
        <f>_xll.acq_options_binomial_american_price(N$4,$C$5,$L16,$C$8,$C$9,$C$7,TRUE)</f>
        <v>4.5729995607255551</v>
      </c>
      <c r="O16">
        <f>_xll.acq_options_binomial_american_price(O$4,$C$5,$L16,$C$8,$C$9,$C$7,TRUE)</f>
        <v>8.3961077286980821</v>
      </c>
      <c r="P16">
        <f>_xll.acq_options_binomial_american_price(P$4,$C$5,$L16,$C$8,$C$9,$C$7,TRUE)</f>
        <v>13.663839736257879</v>
      </c>
      <c r="Q16">
        <f>_xll.acq_options_binomial_american_price(Q$4,$C$5,$L16,$C$8,$C$9,$C$7,TRUE)</f>
        <v>20.254066648520276</v>
      </c>
      <c r="R16">
        <f>_xll.acq_options_binomial_american_price(R$4,$C$5,$L16,$C$8,$C$9,$C$7,TRUE)</f>
        <v>27.910096953130402</v>
      </c>
      <c r="S16">
        <f>_xll.acq_options_binomial_american_price(S$4,$C$5,$L16,$C$8,$C$9,$C$7,TRUE)</f>
        <v>36.376463582641435</v>
      </c>
      <c r="U16" s="45">
        <v>0.6</v>
      </c>
      <c r="V16">
        <f>_xll.acq_options_binomial_american_price(V$4,$C$5,$U16,$C$8,$C$9,$C$7,FALSE)</f>
        <v>30.070414645125808</v>
      </c>
      <c r="W16">
        <f>_xll.acq_options_binomial_american_price(W$4,$C$5,$U16,$C$8,$C$9,$C$7,FALSE)</f>
        <v>21.502433988306827</v>
      </c>
      <c r="X16">
        <f>_xll.acq_options_binomial_american_price(X$4,$C$5,$U16,$C$8,$C$9,$C$7,FALSE)</f>
        <v>14.749679016584579</v>
      </c>
      <c r="Y16">
        <f>_xll.acq_options_binomial_american_price(Y$4,$C$5,$U16,$C$8,$C$9,$C$7,FALSE)</f>
        <v>9.7084828669159471</v>
      </c>
      <c r="Z16">
        <f>_xll.acq_options_binomial_american_price(Z$4,$C$5,$U16,$C$8,$C$9,$C$7,FALSE)</f>
        <v>6.1485117480984979</v>
      </c>
      <c r="AA16">
        <f>_xll.acq_options_binomial_american_price(AA$4,$C$5,$U16,$C$8,$C$9,$C$7,FALSE)</f>
        <v>3.7497888277682891</v>
      </c>
      <c r="AB16">
        <f>_xll.acq_options_binomial_american_price(AB$4,$C$5,$U16,$C$8,$C$9,$C$7,FALSE)</f>
        <v>2.2146665611764895</v>
      </c>
      <c r="AD16">
        <v>0.6</v>
      </c>
      <c r="AE16">
        <v>2.1215661214389336</v>
      </c>
      <c r="AF16">
        <v>4.5729995607255551</v>
      </c>
      <c r="AG16">
        <v>8.3961077286980821</v>
      </c>
      <c r="AH16">
        <v>13.663839736257879</v>
      </c>
      <c r="AI16">
        <v>20.254066648520276</v>
      </c>
      <c r="AJ16">
        <v>27.910096953130402</v>
      </c>
      <c r="AK16">
        <v>36.376463582641435</v>
      </c>
      <c r="AM16">
        <v>0.6</v>
      </c>
      <c r="AN16">
        <v>30.070414645125808</v>
      </c>
      <c r="AO16">
        <v>21.502433988306827</v>
      </c>
      <c r="AP16">
        <v>14.749679016584579</v>
      </c>
      <c r="AQ16">
        <v>9.7084828669159471</v>
      </c>
      <c r="AR16">
        <v>6.1485117480984979</v>
      </c>
      <c r="AS16">
        <v>3.7497888277682891</v>
      </c>
      <c r="AT16">
        <v>2.2146665611764895</v>
      </c>
    </row>
    <row r="17" spans="6:46" x14ac:dyDescent="0.25">
      <c r="F17">
        <v>130</v>
      </c>
      <c r="G17">
        <f>_xll.acq_options_bjerksund_price($C$4,F17,$C$6,$C$8,$C$9,$C$7,TRUE)</f>
        <v>3.5849682046450511</v>
      </c>
      <c r="H17">
        <f>_xll.acq_options_bjerksund_price($C$4,F17,$C$6,$C$8,$C$9,$C$7,FALSE)</f>
        <v>50</v>
      </c>
      <c r="I17">
        <f>_xll.acq_options_binomial_american_price($C$4,F17,$C$6,$C$8,$C$9,$C$7,TRUE,500)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_xll.acq_options_binomial_american_price(M$4,$C$5,$L17,$C$8,$C$9,$C$7,TRUE)</f>
        <v>2.4322564265597215</v>
      </c>
      <c r="N17">
        <f>_xll.acq_options_binomial_american_price(N$4,$C$5,$L17,$C$8,$C$9,$C$7,TRUE)</f>
        <v>5.0224921872256481</v>
      </c>
      <c r="O17">
        <f>_xll.acq_options_binomial_american_price(O$4,$C$5,$L17,$C$8,$C$9,$C$7,TRUE)</f>
        <v>8.9736290576865478</v>
      </c>
      <c r="P17">
        <f>_xll.acq_options_binomial_american_price(P$4,$C$5,$L17,$C$8,$C$9,$C$7,TRUE)</f>
        <v>14.300724555368561</v>
      </c>
      <c r="Q17">
        <f>_xll.acq_options_binomial_american_price(Q$4,$C$5,$L17,$C$8,$C$9,$C$7,TRUE)</f>
        <v>20.903720858487453</v>
      </c>
      <c r="R17">
        <f>_xll.acq_options_binomial_american_price(R$4,$C$5,$L17,$C$8,$C$9,$C$7,TRUE)</f>
        <v>28.523264212015864</v>
      </c>
      <c r="S17">
        <f>_xll.acq_options_binomial_american_price(S$4,$C$5,$L17,$C$8,$C$9,$C$7,TRUE)</f>
        <v>36.937673160665199</v>
      </c>
      <c r="U17" s="45">
        <v>0.65</v>
      </c>
      <c r="V17">
        <f>_xll.acq_options_binomial_american_price(V$4,$C$5,$U17,$C$8,$C$9,$C$7,FALSE)</f>
        <v>30.111791078120248</v>
      </c>
      <c r="W17">
        <f>_xll.acq_options_binomial_american_price(W$4,$C$5,$U17,$C$8,$C$9,$C$7,FALSE)</f>
        <v>21.668180784889717</v>
      </c>
      <c r="X17">
        <f>_xll.acq_options_binomial_american_price(X$4,$C$5,$U17,$C$8,$C$9,$C$7,FALSE)</f>
        <v>15.022913971768219</v>
      </c>
      <c r="Y17">
        <f>_xll.acq_options_binomial_american_price(Y$4,$C$5,$U17,$C$8,$C$9,$C$7,FALSE)</f>
        <v>10.030755857159793</v>
      </c>
      <c r="Z17">
        <f>_xll.acq_options_binomial_american_price(Z$4,$C$5,$U17,$C$8,$C$9,$C$7,FALSE)</f>
        <v>6.4738643533267375</v>
      </c>
      <c r="AA17">
        <f>_xll.acq_options_binomial_american_price(AA$4,$C$5,$U17,$C$8,$C$9,$C$7,FALSE)</f>
        <v>4.0351902216613516</v>
      </c>
      <c r="AB17">
        <f>_xll.acq_options_binomial_american_price(AB$4,$C$5,$U17,$C$8,$C$9,$C$7,FALSE)</f>
        <v>2.4447713399422337</v>
      </c>
      <c r="AD17">
        <v>0.65</v>
      </c>
      <c r="AE17">
        <v>2.4322564265597215</v>
      </c>
      <c r="AF17">
        <v>5.0224921872256481</v>
      </c>
      <c r="AG17">
        <v>8.9736290576865478</v>
      </c>
      <c r="AH17">
        <v>14.300724555368561</v>
      </c>
      <c r="AI17">
        <v>20.903720858487453</v>
      </c>
      <c r="AJ17">
        <v>28.523264212015864</v>
      </c>
      <c r="AK17">
        <v>36.937673160665199</v>
      </c>
      <c r="AM17">
        <v>0.65</v>
      </c>
      <c r="AN17">
        <v>30.111791078120248</v>
      </c>
      <c r="AO17">
        <v>21.668180784889717</v>
      </c>
      <c r="AP17">
        <v>15.022913971768219</v>
      </c>
      <c r="AQ17">
        <v>10.030755857159793</v>
      </c>
      <c r="AR17">
        <v>6.4738643533267375</v>
      </c>
      <c r="AS17">
        <v>4.0351902216613516</v>
      </c>
      <c r="AT17">
        <v>2.4447713399422337</v>
      </c>
    </row>
    <row r="18" spans="6:46" x14ac:dyDescent="0.25">
      <c r="F18">
        <v>140</v>
      </c>
      <c r="G18">
        <f>_xll.acq_options_bjerksund_price($C$4,F18,$C$6,$C$8,$C$9,$C$7,TRUE)</f>
        <v>2.5992260921809418</v>
      </c>
      <c r="H18">
        <f>_xll.acq_options_bjerksund_price($C$4,F18,$C$6,$C$8,$C$9,$C$7,FALSE)</f>
        <v>60</v>
      </c>
      <c r="I18">
        <f>_xll.acq_options_binomial_american_price($C$4,F18,$C$6,$C$8,$C$9,$C$7,TRUE,500)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_xll.acq_options_binomial_american_price(M$4,$C$5,$L18,$C$8,$C$9,$C$7,TRUE)</f>
        <v>2.7398970024350779</v>
      </c>
      <c r="N18">
        <f>_xll.acq_options_binomial_american_price(N$4,$C$5,$L18,$C$8,$C$9,$C$7,TRUE)</f>
        <v>5.4783444827316536</v>
      </c>
      <c r="O18">
        <f>_xll.acq_options_binomial_american_price(O$4,$C$5,$L18,$C$8,$C$9,$C$7,TRUE)</f>
        <v>9.5345453500097577</v>
      </c>
      <c r="P18">
        <f>_xll.acq_options_binomial_american_price(P$4,$C$5,$L18,$C$8,$C$9,$C$7,TRUE)</f>
        <v>14.918511496002189</v>
      </c>
      <c r="Q18">
        <f>_xll.acq_options_binomial_american_price(Q$4,$C$5,$L18,$C$8,$C$9,$C$7,TRUE)</f>
        <v>21.533662877514285</v>
      </c>
      <c r="R18">
        <f>_xll.acq_options_binomial_american_price(R$4,$C$5,$L18,$C$8,$C$9,$C$7,TRUE)</f>
        <v>29.133690903382561</v>
      </c>
      <c r="S18">
        <f>_xll.acq_options_binomial_american_price(S$4,$C$5,$L18,$C$8,$C$9,$C$7,TRUE)</f>
        <v>37.498997043070389</v>
      </c>
      <c r="U18" s="45">
        <v>0.7</v>
      </c>
      <c r="V18">
        <f>_xll.acq_options_binomial_american_price(V$4,$C$5,$U18,$C$8,$C$9,$C$7,FALSE)</f>
        <v>30.155643983820472</v>
      </c>
      <c r="W18">
        <f>_xll.acq_options_binomial_american_price(W$4,$C$5,$U18,$C$8,$C$9,$C$7,FALSE)</f>
        <v>21.835712678340293</v>
      </c>
      <c r="X18">
        <f>_xll.acq_options_binomial_american_price(X$4,$C$5,$U18,$C$8,$C$9,$C$7,FALSE)</f>
        <v>15.282133973957995</v>
      </c>
      <c r="Y18">
        <f>_xll.acq_options_binomial_american_price(Y$4,$C$5,$U18,$C$8,$C$9,$C$7,FALSE)</f>
        <v>10.33578045914636</v>
      </c>
      <c r="Z18">
        <f>_xll.acq_options_binomial_american_price(Z$4,$C$5,$U18,$C$8,$C$9,$C$7,FALSE)</f>
        <v>6.7818740437543577</v>
      </c>
      <c r="AA18">
        <f>_xll.acq_options_binomial_american_price(AA$4,$C$5,$U18,$C$8,$C$9,$C$7,FALSE)</f>
        <v>4.3176119877586281</v>
      </c>
      <c r="AB18">
        <f>_xll.acq_options_binomial_american_price(AB$4,$C$5,$U18,$C$8,$C$9,$C$7,FALSE)</f>
        <v>2.6769358533655034</v>
      </c>
      <c r="AD18">
        <v>0.7</v>
      </c>
      <c r="AE18">
        <v>2.7398970024350779</v>
      </c>
      <c r="AF18">
        <v>5.4783444827316536</v>
      </c>
      <c r="AG18">
        <v>9.5345453500097577</v>
      </c>
      <c r="AH18">
        <v>14.918511496002189</v>
      </c>
      <c r="AI18">
        <v>21.533662877514285</v>
      </c>
      <c r="AJ18">
        <v>29.133690903382561</v>
      </c>
      <c r="AK18">
        <v>37.498997043070389</v>
      </c>
      <c r="AM18">
        <v>0.7</v>
      </c>
      <c r="AN18">
        <v>30.155643983820472</v>
      </c>
      <c r="AO18">
        <v>21.835712678340293</v>
      </c>
      <c r="AP18">
        <v>15.282133973957995</v>
      </c>
      <c r="AQ18">
        <v>10.33578045914636</v>
      </c>
      <c r="AR18">
        <v>6.7818740437543577</v>
      </c>
      <c r="AS18">
        <v>4.3176119877586281</v>
      </c>
      <c r="AT18">
        <v>2.6769358533655034</v>
      </c>
    </row>
    <row r="19" spans="6:46" x14ac:dyDescent="0.25">
      <c r="F19">
        <v>150</v>
      </c>
      <c r="G19">
        <f>_xll.acq_options_bjerksund_price($C$4,F19,$C$6,$C$8,$C$9,$C$7,TRUE)</f>
        <v>1.8828483801068501</v>
      </c>
      <c r="H19">
        <f>_xll.acq_options_bjerksund_price($C$4,F19,$C$6,$C$8,$C$9,$C$7,FALSE)</f>
        <v>70</v>
      </c>
      <c r="I19">
        <f>_xll.acq_options_binomial_american_price($C$4,F19,$C$6,$C$8,$C$9,$C$7,TRUE,500)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_xll.acq_options_binomial_american_price(M$4,$C$5,$L19,$C$8,$C$9,$C$7,TRUE)</f>
        <v>3.0612500938520979</v>
      </c>
      <c r="N19">
        <f>_xll.acq_options_binomial_american_price(N$4,$C$5,$L19,$C$8,$C$9,$C$7,TRUE)</f>
        <v>5.9229778472484842</v>
      </c>
      <c r="O19">
        <f>_xll.acq_options_binomial_american_price(O$4,$C$5,$L19,$C$8,$C$9,$C$7,TRUE)</f>
        <v>10.080514227124009</v>
      </c>
      <c r="P19">
        <f>_xll.acq_options_binomial_american_price(P$4,$C$5,$L19,$C$8,$C$9,$C$7,TRUE)</f>
        <v>15.519109012187322</v>
      </c>
      <c r="Q19">
        <f>_xll.acq_options_binomial_american_price(Q$4,$C$5,$L19,$C$8,$C$9,$C$7,TRUE)</f>
        <v>22.14586732772327</v>
      </c>
      <c r="R19">
        <f>_xll.acq_options_binomial_american_price(R$4,$C$5,$L19,$C$8,$C$9,$C$7,TRUE)</f>
        <v>29.727218566263986</v>
      </c>
      <c r="S19">
        <f>_xll.acq_options_binomial_american_price(S$4,$C$5,$L19,$C$8,$C$9,$C$7,TRUE)</f>
        <v>38.052083397046495</v>
      </c>
      <c r="U19" s="45">
        <v>0.75</v>
      </c>
      <c r="V19">
        <f>_xll.acq_options_binomial_american_price(V$4,$C$5,$U19,$C$8,$C$9,$C$7,FALSE)</f>
        <v>30.207232228449922</v>
      </c>
      <c r="W19">
        <f>_xll.acq_options_binomial_american_price(W$4,$C$5,$U19,$C$8,$C$9,$C$7,FALSE)</f>
        <v>21.996417380647536</v>
      </c>
      <c r="X19">
        <f>_xll.acq_options_binomial_american_price(X$4,$C$5,$U19,$C$8,$C$9,$C$7,FALSE)</f>
        <v>15.528497549570506</v>
      </c>
      <c r="Y19">
        <f>_xll.acq_options_binomial_american_price(Y$4,$C$5,$U19,$C$8,$C$9,$C$7,FALSE)</f>
        <v>10.625411692111369</v>
      </c>
      <c r="Z19">
        <f>_xll.acq_options_binomial_american_price(Z$4,$C$5,$U19,$C$8,$C$9,$C$7,FALSE)</f>
        <v>7.0745178030450688</v>
      </c>
      <c r="AA19">
        <f>_xll.acq_options_binomial_american_price(AA$4,$C$5,$U19,$C$8,$C$9,$C$7,FALSE)</f>
        <v>4.5857815788687404</v>
      </c>
      <c r="AB19">
        <f>_xll.acq_options_binomial_american_price(AB$4,$C$5,$U19,$C$8,$C$9,$C$7,FALSE)</f>
        <v>2.9022681246916715</v>
      </c>
      <c r="AD19">
        <v>0.75</v>
      </c>
      <c r="AE19">
        <v>3.0612500938520979</v>
      </c>
      <c r="AF19">
        <v>5.9229778472484842</v>
      </c>
      <c r="AG19">
        <v>10.080514227124009</v>
      </c>
      <c r="AH19">
        <v>15.519109012187322</v>
      </c>
      <c r="AI19">
        <v>22.14586732772327</v>
      </c>
      <c r="AJ19">
        <v>29.727218566263986</v>
      </c>
      <c r="AK19">
        <v>38.052083397046495</v>
      </c>
      <c r="AM19">
        <v>0.75</v>
      </c>
      <c r="AN19">
        <v>30.207232228449922</v>
      </c>
      <c r="AO19">
        <v>21.996417380647536</v>
      </c>
      <c r="AP19">
        <v>15.528497549570506</v>
      </c>
      <c r="AQ19">
        <v>10.625411692111369</v>
      </c>
      <c r="AR19">
        <v>7.0745178030450688</v>
      </c>
      <c r="AS19">
        <v>4.5857815788687404</v>
      </c>
      <c r="AT19">
        <v>2.9022681246916715</v>
      </c>
    </row>
    <row r="20" spans="6:46" x14ac:dyDescent="0.25">
      <c r="F20">
        <v>160</v>
      </c>
      <c r="G20">
        <f>_xll.acq_options_bjerksund_price($C$4,F20,$C$6,$C$8,$C$9,$C$7,TRUE)</f>
        <v>1.3640599417040562</v>
      </c>
      <c r="H20">
        <f>_xll.acq_options_bjerksund_price($C$4,F20,$C$6,$C$8,$C$9,$C$7,FALSE)</f>
        <v>80</v>
      </c>
      <c r="I20">
        <f>_xll.acq_options_binomial_american_price($C$4,F20,$C$6,$C$8,$C$9,$C$7,TRUE,500)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_xll.acq_options_binomial_american_price(M$4,$C$5,$L20,$C$8,$C$9,$C$7,TRUE)</f>
        <v>3.3760679090846142</v>
      </c>
      <c r="N20">
        <f>_xll.acq_options_binomial_american_price(N$4,$C$5,$L20,$C$8,$C$9,$C$7,TRUE)</f>
        <v>6.3574367666391716</v>
      </c>
      <c r="O20">
        <f>_xll.acq_options_binomial_american_price(O$4,$C$5,$L20,$C$8,$C$9,$C$7,TRUE)</f>
        <v>10.612922302756481</v>
      </c>
      <c r="P20">
        <f>_xll.acq_options_binomial_american_price(P$4,$C$5,$L20,$C$8,$C$9,$C$7,TRUE)</f>
        <v>16.104113814319668</v>
      </c>
      <c r="Q20">
        <f>_xll.acq_options_binomial_american_price(Q$4,$C$5,$L20,$C$8,$C$9,$C$7,TRUE)</f>
        <v>22.741986135096859</v>
      </c>
      <c r="R20">
        <f>_xll.acq_options_binomial_american_price(R$4,$C$5,$L20,$C$8,$C$9,$C$7,TRUE)</f>
        <v>30.305423594084502</v>
      </c>
      <c r="S20">
        <f>_xll.acq_options_binomial_american_price(S$4,$C$5,$L20,$C$8,$C$9,$C$7,TRUE)</f>
        <v>38.591643807770645</v>
      </c>
      <c r="U20" s="45">
        <v>0.8</v>
      </c>
      <c r="V20">
        <f>_xll.acq_options_binomial_american_price(V$4,$C$5,$U20,$C$8,$C$9,$C$7,FALSE)</f>
        <v>30.259373769473957</v>
      </c>
      <c r="W20">
        <f>_xll.acq_options_binomial_american_price(W$4,$C$5,$U20,$C$8,$C$9,$C$7,FALSE)</f>
        <v>22.150453437182545</v>
      </c>
      <c r="X20">
        <f>_xll.acq_options_binomial_american_price(X$4,$C$5,$U20,$C$8,$C$9,$C$7,FALSE)</f>
        <v>15.763230324066519</v>
      </c>
      <c r="Y20">
        <f>_xll.acq_options_binomial_american_price(Y$4,$C$5,$U20,$C$8,$C$9,$C$7,FALSE)</f>
        <v>10.90120779543015</v>
      </c>
      <c r="Z20">
        <f>_xll.acq_options_binomial_american_price(Z$4,$C$5,$U20,$C$8,$C$9,$C$7,FALSE)</f>
        <v>7.3533355204141024</v>
      </c>
      <c r="AA20">
        <f>_xll.acq_options_binomial_american_price(AA$4,$C$5,$U20,$C$8,$C$9,$C$7,FALSE)</f>
        <v>4.8413869253896635</v>
      </c>
      <c r="AB20">
        <f>_xll.acq_options_binomial_american_price(AB$4,$C$5,$U20,$C$8,$C$9,$C$7,FALSE)</f>
        <v>3.1172324099143998</v>
      </c>
      <c r="AD20">
        <v>0.8</v>
      </c>
      <c r="AE20">
        <v>3.3760679090846142</v>
      </c>
      <c r="AF20">
        <v>6.3574367666391716</v>
      </c>
      <c r="AG20">
        <v>10.612922302756481</v>
      </c>
      <c r="AH20">
        <v>16.104113814319668</v>
      </c>
      <c r="AI20">
        <v>22.741986135096859</v>
      </c>
      <c r="AJ20">
        <v>30.305423594084502</v>
      </c>
      <c r="AK20">
        <v>38.591643807770645</v>
      </c>
      <c r="AM20">
        <v>0.8</v>
      </c>
      <c r="AN20">
        <v>30.259373769473957</v>
      </c>
      <c r="AO20">
        <v>22.150453437182545</v>
      </c>
      <c r="AP20">
        <v>15.763230324066519</v>
      </c>
      <c r="AQ20">
        <v>10.90120779543015</v>
      </c>
      <c r="AR20">
        <v>7.3533355204141024</v>
      </c>
      <c r="AS20">
        <v>4.8413869253896635</v>
      </c>
      <c r="AT20">
        <v>3.1172324099143998</v>
      </c>
    </row>
    <row r="21" spans="6:46" x14ac:dyDescent="0.25">
      <c r="F21">
        <v>170</v>
      </c>
      <c r="G21">
        <f>_xll.acq_options_bjerksund_price($C$4,F21,$C$6,$C$8,$C$9,$C$7,TRUE)</f>
        <v>0.98909394757524183</v>
      </c>
      <c r="H21">
        <f>_xll.acq_options_bjerksund_price($C$4,F21,$C$6,$C$8,$C$9,$C$7,FALSE)</f>
        <v>90</v>
      </c>
      <c r="I21">
        <f>_xll.acq_options_binomial_american_price($C$4,F21,$C$6,$C$8,$C$9,$C$7,TRUE,500)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_xll.acq_options_binomial_american_price(M$4,$C$5,$L21,$C$8,$C$9,$C$7,TRUE)</f>
        <v>3.6970934807160312</v>
      </c>
      <c r="N21">
        <f>_xll.acq_options_binomial_american_price(N$4,$C$5,$L21,$C$8,$C$9,$C$7,TRUE)</f>
        <v>6.7878683966650888</v>
      </c>
      <c r="O21">
        <f>_xll.acq_options_binomial_american_price(O$4,$C$5,$L21,$C$8,$C$9,$C$7,TRUE)</f>
        <v>11.13294360230978</v>
      </c>
      <c r="P21">
        <f>_xll.acq_options_binomial_american_price(P$4,$C$5,$L21,$C$8,$C$9,$C$7,TRUE)</f>
        <v>16.674878044259088</v>
      </c>
      <c r="Q21">
        <f>_xll.acq_options_binomial_american_price(Q$4,$C$5,$L21,$C$8,$C$9,$C$7,TRUE)</f>
        <v>23.323418075877768</v>
      </c>
      <c r="R21">
        <f>_xll.acq_options_binomial_american_price(R$4,$C$5,$L21,$C$8,$C$9,$C$7,TRUE)</f>
        <v>30.869640468009369</v>
      </c>
      <c r="S21">
        <f>_xll.acq_options_binomial_american_price(S$4,$C$5,$L21,$C$8,$C$9,$C$7,TRUE)</f>
        <v>39.130007454034043</v>
      </c>
      <c r="U21" s="45">
        <v>0.85</v>
      </c>
      <c r="V21">
        <f>_xll.acq_options_binomial_american_price(V$4,$C$5,$U21,$C$8,$C$9,$C$7,FALSE)</f>
        <v>30.314573182467761</v>
      </c>
      <c r="W21">
        <f>_xll.acq_options_binomial_american_price(W$4,$C$5,$U21,$C$8,$C$9,$C$7,FALSE)</f>
        <v>22.300254774455361</v>
      </c>
      <c r="X21">
        <f>_xll.acq_options_binomial_american_price(X$4,$C$5,$U21,$C$8,$C$9,$C$7,FALSE)</f>
        <v>15.987414079511197</v>
      </c>
      <c r="Y21">
        <f>_xll.acq_options_binomial_american_price(Y$4,$C$5,$U21,$C$8,$C$9,$C$7,FALSE)</f>
        <v>11.164487628573138</v>
      </c>
      <c r="Z21">
        <f>_xll.acq_options_binomial_american_price(Z$4,$C$5,$U21,$C$8,$C$9,$C$7,FALSE)</f>
        <v>7.6197810921715865</v>
      </c>
      <c r="AA21">
        <f>_xll.acq_options_binomial_american_price(AA$4,$C$5,$U21,$C$8,$C$9,$C$7,FALSE)</f>
        <v>5.085975020532258</v>
      </c>
      <c r="AB21">
        <f>_xll.acq_options_binomial_american_price(AB$4,$C$5,$U21,$C$8,$C$9,$C$7,FALSE)</f>
        <v>3.3329533106290485</v>
      </c>
      <c r="AD21">
        <v>0.85</v>
      </c>
      <c r="AE21">
        <v>3.6970934807160312</v>
      </c>
      <c r="AF21">
        <v>6.7878683966650888</v>
      </c>
      <c r="AG21">
        <v>11.13294360230978</v>
      </c>
      <c r="AH21">
        <v>16.674878044259088</v>
      </c>
      <c r="AI21">
        <v>23.323418075877768</v>
      </c>
      <c r="AJ21">
        <v>30.869640468009369</v>
      </c>
      <c r="AK21">
        <v>39.130007454034043</v>
      </c>
      <c r="AM21">
        <v>0.85</v>
      </c>
      <c r="AN21">
        <v>30.314573182467761</v>
      </c>
      <c r="AO21">
        <v>22.300254774455361</v>
      </c>
      <c r="AP21">
        <v>15.987414079511197</v>
      </c>
      <c r="AQ21">
        <v>11.164487628573138</v>
      </c>
      <c r="AR21">
        <v>7.6197810921715865</v>
      </c>
      <c r="AS21">
        <v>5.085975020532258</v>
      </c>
      <c r="AT21">
        <v>3.3329533106290485</v>
      </c>
    </row>
    <row r="22" spans="6:46" x14ac:dyDescent="0.25">
      <c r="L22" s="45">
        <v>0.9</v>
      </c>
      <c r="M22">
        <f>_xll.acq_options_binomial_american_price(M$4,$C$5,$L22,$C$8,$C$9,$C$7,TRUE)</f>
        <v>4.0226096355607233</v>
      </c>
      <c r="N22">
        <f>_xll.acq_options_binomial_american_price(N$4,$C$5,$L22,$C$8,$C$9,$C$7,TRUE)</f>
        <v>7.2227377546292395</v>
      </c>
      <c r="O22">
        <f>_xll.acq_options_binomial_american_price(O$4,$C$5,$L22,$C$8,$C$9,$C$7,TRUE)</f>
        <v>11.641582714736746</v>
      </c>
      <c r="P22">
        <f>_xll.acq_options_binomial_american_price(P$4,$C$5,$L22,$C$8,$C$9,$C$7,TRUE)</f>
        <v>17.232558898229541</v>
      </c>
      <c r="Q22">
        <f>_xll.acq_options_binomial_american_price(Q$4,$C$5,$L22,$C$8,$C$9,$C$7,TRUE)</f>
        <v>23.891360149612545</v>
      </c>
      <c r="R22">
        <f>_xll.acq_options_binomial_american_price(R$4,$C$5,$L22,$C$8,$C$9,$C$7,TRUE)</f>
        <v>31.42992022819066</v>
      </c>
      <c r="S22">
        <f>_xll.acq_options_binomial_american_price(S$4,$C$5,$L22,$C$8,$C$9,$C$7,TRUE)</f>
        <v>39.664294213456529</v>
      </c>
      <c r="U22" s="45">
        <v>0.9</v>
      </c>
      <c r="V22">
        <f>_xll.acq_options_binomial_american_price(V$4,$C$5,$U22,$C$8,$C$9,$C$7,FALSE)</f>
        <v>30.373679070968116</v>
      </c>
      <c r="W22">
        <f>_xll.acq_options_binomial_american_price(W$4,$C$5,$U22,$C$8,$C$9,$C$7,FALSE)</f>
        <v>22.450948798364585</v>
      </c>
      <c r="X22">
        <f>_xll.acq_options_binomial_american_price(X$4,$C$5,$U22,$C$8,$C$9,$C$7,FALSE)</f>
        <v>16.201952543951933</v>
      </c>
      <c r="Y22">
        <f>_xll.acq_options_binomial_american_price(Y$4,$C$5,$U22,$C$8,$C$9,$C$7,FALSE)</f>
        <v>11.416371229360646</v>
      </c>
      <c r="Z22">
        <f>_xll.acq_options_binomial_american_price(Z$4,$C$5,$U22,$C$8,$C$9,$C$7,FALSE)</f>
        <v>7.8750764808474587</v>
      </c>
      <c r="AA22">
        <f>_xll.acq_options_binomial_american_price(AA$4,$C$5,$U22,$C$8,$C$9,$C$7,FALSE)</f>
        <v>5.3280983055611504</v>
      </c>
      <c r="AB22">
        <f>_xll.acq_options_binomial_american_price(AB$4,$C$5,$U22,$C$8,$C$9,$C$7,FALSE)</f>
        <v>3.5451577697247849</v>
      </c>
      <c r="AD22">
        <v>0.9</v>
      </c>
      <c r="AE22">
        <v>4.0226096355607233</v>
      </c>
      <c r="AF22">
        <v>7.2227377546292395</v>
      </c>
      <c r="AG22">
        <v>11.641582714736746</v>
      </c>
      <c r="AH22">
        <v>17.232558898229541</v>
      </c>
      <c r="AI22">
        <v>23.891360149612545</v>
      </c>
      <c r="AJ22">
        <v>31.42992022819066</v>
      </c>
      <c r="AK22">
        <v>39.664294213456529</v>
      </c>
      <c r="AM22">
        <v>0.9</v>
      </c>
      <c r="AN22">
        <v>30.373679070968116</v>
      </c>
      <c r="AO22">
        <v>22.450948798364585</v>
      </c>
      <c r="AP22">
        <v>16.201952543951933</v>
      </c>
      <c r="AQ22">
        <v>11.416371229360646</v>
      </c>
      <c r="AR22">
        <v>7.8750764808474587</v>
      </c>
      <c r="AS22">
        <v>5.3280983055611504</v>
      </c>
      <c r="AT22">
        <v>3.5451577697247849</v>
      </c>
    </row>
    <row r="23" spans="6:46" x14ac:dyDescent="0.25">
      <c r="L23" s="45">
        <v>0.95</v>
      </c>
      <c r="M23">
        <f>_xll.acq_options_binomial_american_price(M$4,$C$5,$L23,$C$8,$C$9,$C$7,TRUE)</f>
        <v>4.3425600360567156</v>
      </c>
      <c r="N23">
        <f>_xll.acq_options_binomial_american_price(N$4,$C$5,$L23,$C$8,$C$9,$C$7,TRUE)</f>
        <v>7.6492287010063276</v>
      </c>
      <c r="O23">
        <f>_xll.acq_options_binomial_american_price(O$4,$C$5,$L23,$C$8,$C$9,$C$7,TRUE)</f>
        <v>12.13970728885575</v>
      </c>
      <c r="P23">
        <f>_xll.acq_options_binomial_american_price(P$4,$C$5,$L23,$C$8,$C$9,$C$7,TRUE)</f>
        <v>17.778155998949195</v>
      </c>
      <c r="Q23">
        <f>_xll.acq_options_binomial_american_price(Q$4,$C$5,$L23,$C$8,$C$9,$C$7,TRUE)</f>
        <v>24.450872926370785</v>
      </c>
      <c r="R23">
        <f>_xll.acq_options_binomial_american_price(R$4,$C$5,$L23,$C$8,$C$9,$C$7,TRUE)</f>
        <v>31.983975075847844</v>
      </c>
      <c r="S23">
        <f>_xll.acq_options_binomial_american_price(S$4,$C$5,$L23,$C$8,$C$9,$C$7,TRUE)</f>
        <v>40.187331898399165</v>
      </c>
      <c r="U23" s="45">
        <v>0.95</v>
      </c>
      <c r="V23">
        <f>_xll.acq_options_binomial_american_price(V$4,$C$5,$U23,$C$8,$C$9,$C$7,FALSE)</f>
        <v>30.432535843598799</v>
      </c>
      <c r="W23">
        <f>_xll.acq_options_binomial_american_price(W$4,$C$5,$U23,$C$8,$C$9,$C$7,FALSE)</f>
        <v>22.596386076654408</v>
      </c>
      <c r="X23">
        <f>_xll.acq_options_binomial_american_price(X$4,$C$5,$U23,$C$8,$C$9,$C$7,FALSE)</f>
        <v>16.407639013932588</v>
      </c>
      <c r="Y23">
        <f>_xll.acq_options_binomial_american_price(Y$4,$C$5,$U23,$C$8,$C$9,$C$7,FALSE)</f>
        <v>11.657828910294933</v>
      </c>
      <c r="Z23">
        <f>_xll.acq_options_binomial_american_price(Z$4,$C$5,$U23,$C$8,$C$9,$C$7,FALSE)</f>
        <v>8.1234766093562545</v>
      </c>
      <c r="AA23">
        <f>_xll.acq_options_binomial_american_price(AA$4,$C$5,$U23,$C$8,$C$9,$C$7,FALSE)</f>
        <v>5.5642994016355161</v>
      </c>
      <c r="AB23">
        <f>_xll.acq_options_binomial_american_price(AB$4,$C$5,$U23,$C$8,$C$9,$C$7,FALSE)</f>
        <v>3.7486766576694794</v>
      </c>
      <c r="AD23">
        <v>0.95</v>
      </c>
      <c r="AE23">
        <v>4.3425600360567156</v>
      </c>
      <c r="AF23">
        <v>7.6492287010063276</v>
      </c>
      <c r="AG23">
        <v>12.13970728885575</v>
      </c>
      <c r="AH23">
        <v>17.778155998949195</v>
      </c>
      <c r="AI23">
        <v>24.450872926370785</v>
      </c>
      <c r="AJ23">
        <v>31.983975075847844</v>
      </c>
      <c r="AK23">
        <v>40.187331898399165</v>
      </c>
      <c r="AM23">
        <v>0.95</v>
      </c>
      <c r="AN23">
        <v>30.432535843598799</v>
      </c>
      <c r="AO23">
        <v>22.596386076654408</v>
      </c>
      <c r="AP23">
        <v>16.407639013932588</v>
      </c>
      <c r="AQ23">
        <v>11.657828910294933</v>
      </c>
      <c r="AR23">
        <v>8.1234766093562545</v>
      </c>
      <c r="AS23">
        <v>5.5642994016355161</v>
      </c>
      <c r="AT23">
        <v>3.7486766576694794</v>
      </c>
    </row>
    <row r="24" spans="6:46" x14ac:dyDescent="0.25">
      <c r="L24" s="45">
        <v>1</v>
      </c>
      <c r="M24">
        <f>_xll.acq_options_binomial_american_price(M$4,$C$5,$L24,$C$8,$C$9,$C$7,TRUE)</f>
        <v>4.6590187874285469</v>
      </c>
      <c r="N24">
        <f>_xll.acq_options_binomial_american_price(N$4,$C$5,$L24,$C$8,$C$9,$C$7,TRUE)</f>
        <v>8.0679435144803957</v>
      </c>
      <c r="O24">
        <f>_xll.acq_options_binomial_american_price(O$4,$C$5,$L24,$C$8,$C$9,$C$7,TRUE)</f>
        <v>12.628072924725879</v>
      </c>
      <c r="P24">
        <f>_xll.acq_options_binomial_american_price(P$4,$C$5,$L24,$C$8,$C$9,$C$7,TRUE)</f>
        <v>18.312540023842111</v>
      </c>
      <c r="Q24">
        <f>_xll.acq_options_binomial_american_price(Q$4,$C$5,$L24,$C$8,$C$9,$C$7,TRUE)</f>
        <v>25.002843572928668</v>
      </c>
      <c r="R24">
        <f>_xll.acq_options_binomial_american_price(R$4,$C$5,$L24,$C$8,$C$9,$C$7,TRUE)</f>
        <v>32.526481100177023</v>
      </c>
      <c r="S24">
        <f>_xll.acq_options_binomial_american_price(S$4,$C$5,$L24,$C$8,$C$9,$C$7,TRUE)</f>
        <v>40.699934502208627</v>
      </c>
      <c r="U24" s="45">
        <v>1</v>
      </c>
      <c r="V24">
        <f>_xll.acq_options_binomial_american_price(V$4,$C$5,$U24,$C$8,$C$9,$C$7,FALSE)</f>
        <v>30.49070965005788</v>
      </c>
      <c r="W24">
        <f>_xll.acq_options_binomial_american_price(W$4,$C$5,$U24,$C$8,$C$9,$C$7,FALSE)</f>
        <v>22.73665926882417</v>
      </c>
      <c r="X24">
        <f>_xll.acq_options_binomial_american_price(X$4,$C$5,$U24,$C$8,$C$9,$C$7,FALSE)</f>
        <v>16.605190083791207</v>
      </c>
      <c r="Y24">
        <f>_xll.acq_options_binomial_american_price(Y$4,$C$5,$U24,$C$8,$C$9,$C$7,FALSE)</f>
        <v>11.889697305262722</v>
      </c>
      <c r="Z24">
        <f>_xll.acq_options_binomial_american_price(Z$4,$C$5,$U24,$C$8,$C$9,$C$7,FALSE)</f>
        <v>8.3645040630454659</v>
      </c>
      <c r="AA24">
        <f>_xll.acq_options_binomial_american_price(AA$4,$C$5,$U24,$C$8,$C$9,$C$7,FALSE)</f>
        <v>5.7911212518975752</v>
      </c>
      <c r="AB24">
        <f>_xll.acq_options_binomial_american_price(AB$4,$C$5,$U24,$C$8,$C$9,$C$7,FALSE)</f>
        <v>3.9444600804233492</v>
      </c>
      <c r="AD24">
        <v>1</v>
      </c>
      <c r="AE24">
        <v>4.6590187874285469</v>
      </c>
      <c r="AF24">
        <v>8.0679435144803957</v>
      </c>
      <c r="AG24">
        <v>12.628072924725879</v>
      </c>
      <c r="AH24">
        <v>18.312540023842111</v>
      </c>
      <c r="AI24">
        <v>25.002843572928668</v>
      </c>
      <c r="AJ24">
        <v>32.526481100177023</v>
      </c>
      <c r="AK24">
        <v>40.699934502208627</v>
      </c>
      <c r="AM24">
        <v>1</v>
      </c>
      <c r="AN24">
        <v>30.49070965005788</v>
      </c>
      <c r="AO24">
        <v>22.73665926882417</v>
      </c>
      <c r="AP24">
        <v>16.605190083791207</v>
      </c>
      <c r="AQ24">
        <v>11.889697305262722</v>
      </c>
      <c r="AR24">
        <v>8.3645040630454659</v>
      </c>
      <c r="AS24">
        <v>5.7911212518975752</v>
      </c>
      <c r="AT24">
        <v>3.9444600804233492</v>
      </c>
    </row>
    <row r="26" spans="6:46" x14ac:dyDescent="0.25">
      <c r="V26" s="46"/>
      <c r="W26" s="46"/>
      <c r="X26" s="46"/>
      <c r="Y26" s="46"/>
      <c r="AE26">
        <f>AE5-M5</f>
        <v>0</v>
      </c>
      <c r="AF26">
        <f t="shared" ref="AF26:AJ26" si="0">AF5-N5</f>
        <v>0</v>
      </c>
      <c r="AG26">
        <f t="shared" si="0"/>
        <v>0</v>
      </c>
      <c r="AH26">
        <f t="shared" si="0"/>
        <v>0</v>
      </c>
      <c r="AI26">
        <f t="shared" si="0"/>
        <v>0</v>
      </c>
      <c r="AJ26">
        <f t="shared" si="0"/>
        <v>0</v>
      </c>
      <c r="AK26">
        <f t="shared" ref="AK26:AK45" si="1">AK5-S5</f>
        <v>0</v>
      </c>
      <c r="AN26">
        <f t="shared" ref="AN26:AT26" si="2">AN5-V5</f>
        <v>0</v>
      </c>
      <c r="AO26">
        <f t="shared" si="2"/>
        <v>0</v>
      </c>
      <c r="AP26">
        <f t="shared" si="2"/>
        <v>0</v>
      </c>
      <c r="AQ26">
        <f t="shared" si="2"/>
        <v>0</v>
      </c>
      <c r="AR26">
        <f t="shared" si="2"/>
        <v>0</v>
      </c>
      <c r="AS26">
        <f t="shared" si="2"/>
        <v>0</v>
      </c>
      <c r="AT26">
        <f t="shared" si="2"/>
        <v>0</v>
      </c>
    </row>
    <row r="27" spans="6:46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  <c r="AE27">
        <f t="shared" ref="AE27:AE43" si="3">AE6-M6</f>
        <v>0</v>
      </c>
      <c r="AF27">
        <f t="shared" ref="AF27:AF43" si="4">AF6-N6</f>
        <v>0</v>
      </c>
      <c r="AG27">
        <f t="shared" ref="AG27:AG43" si="5">AG6-O6</f>
        <v>0</v>
      </c>
      <c r="AH27">
        <f t="shared" ref="AH27:AH43" si="6">AH6-P6</f>
        <v>0</v>
      </c>
      <c r="AI27">
        <f t="shared" ref="AI27:AI43" si="7">AI6-Q6</f>
        <v>0</v>
      </c>
      <c r="AJ27">
        <f t="shared" ref="AJ27:AJ43" si="8">AJ6-R6</f>
        <v>0</v>
      </c>
      <c r="AK27">
        <f t="shared" si="1"/>
        <v>0</v>
      </c>
      <c r="AN27">
        <f t="shared" ref="AN27:AT27" si="9">AN6-V6</f>
        <v>0</v>
      </c>
      <c r="AO27">
        <f t="shared" si="9"/>
        <v>0</v>
      </c>
      <c r="AP27">
        <f t="shared" si="9"/>
        <v>0</v>
      </c>
      <c r="AQ27">
        <f t="shared" si="9"/>
        <v>0</v>
      </c>
      <c r="AR27">
        <f t="shared" si="9"/>
        <v>0</v>
      </c>
      <c r="AS27">
        <f t="shared" si="9"/>
        <v>0</v>
      </c>
      <c r="AT27">
        <f t="shared" si="9"/>
        <v>0</v>
      </c>
    </row>
    <row r="28" spans="6:46" x14ac:dyDescent="0.25">
      <c r="V28" s="46"/>
      <c r="W28" s="46"/>
      <c r="X28" s="46"/>
      <c r="Y28" s="46"/>
      <c r="Z28" s="46"/>
      <c r="AE28">
        <f t="shared" si="3"/>
        <v>0</v>
      </c>
      <c r="AF28">
        <f t="shared" si="4"/>
        <v>0</v>
      </c>
      <c r="AG28">
        <f t="shared" si="5"/>
        <v>0</v>
      </c>
      <c r="AH28">
        <f t="shared" si="6"/>
        <v>0</v>
      </c>
      <c r="AI28">
        <f t="shared" si="7"/>
        <v>0</v>
      </c>
      <c r="AJ28">
        <f t="shared" si="8"/>
        <v>0</v>
      </c>
      <c r="AK28">
        <f t="shared" si="1"/>
        <v>0</v>
      </c>
      <c r="AN28">
        <f t="shared" ref="AN28:AT28" si="10">AN7-V7</f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</row>
    <row r="29" spans="6:46" x14ac:dyDescent="0.25">
      <c r="V29" s="46"/>
      <c r="W29" s="46"/>
      <c r="X29" s="46"/>
      <c r="Y29" s="46"/>
      <c r="Z29" s="46"/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0</v>
      </c>
      <c r="AI29">
        <f t="shared" si="7"/>
        <v>0</v>
      </c>
      <c r="AJ29">
        <f t="shared" si="8"/>
        <v>0</v>
      </c>
      <c r="AK29">
        <f t="shared" si="1"/>
        <v>0</v>
      </c>
      <c r="AN29">
        <f t="shared" ref="AN29:AT29" si="11">AN8-V8</f>
        <v>0</v>
      </c>
      <c r="AO29">
        <f t="shared" si="11"/>
        <v>0</v>
      </c>
      <c r="AP29">
        <f t="shared" si="11"/>
        <v>0</v>
      </c>
      <c r="AQ29">
        <f t="shared" si="11"/>
        <v>0</v>
      </c>
      <c r="AR29">
        <f t="shared" si="11"/>
        <v>0</v>
      </c>
      <c r="AS29">
        <f t="shared" si="11"/>
        <v>0</v>
      </c>
      <c r="AT29">
        <f t="shared" si="11"/>
        <v>0</v>
      </c>
    </row>
    <row r="30" spans="6:46" ht="15.75" thickBot="1" x14ac:dyDescent="0.3">
      <c r="G30" s="56" t="s">
        <v>164</v>
      </c>
      <c r="H30" s="56"/>
      <c r="I30" s="56"/>
      <c r="J30" s="56"/>
      <c r="K30" s="56"/>
      <c r="L30" s="56"/>
      <c r="M30" s="56"/>
      <c r="N30" s="56"/>
      <c r="S30" s="56" t="s">
        <v>167</v>
      </c>
      <c r="T30" s="56"/>
      <c r="U30" s="56"/>
      <c r="V30" s="56"/>
      <c r="W30" s="56"/>
      <c r="X30" s="56"/>
      <c r="Y30" s="56"/>
      <c r="Z30" s="56"/>
      <c r="AE30">
        <f t="shared" si="3"/>
        <v>0</v>
      </c>
      <c r="AF30">
        <f t="shared" si="4"/>
        <v>0</v>
      </c>
      <c r="AG30">
        <f t="shared" si="5"/>
        <v>0</v>
      </c>
      <c r="AH30">
        <f t="shared" si="6"/>
        <v>0</v>
      </c>
      <c r="AI30">
        <f t="shared" si="7"/>
        <v>0</v>
      </c>
      <c r="AJ30">
        <f t="shared" si="8"/>
        <v>0</v>
      </c>
      <c r="AK30">
        <f t="shared" si="1"/>
        <v>0</v>
      </c>
      <c r="AN30">
        <f t="shared" ref="AN30:AT30" si="12">AN9-V9</f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</row>
    <row r="31" spans="6:46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  <c r="AE31">
        <f t="shared" si="3"/>
        <v>0</v>
      </c>
      <c r="AF31">
        <f t="shared" si="4"/>
        <v>0</v>
      </c>
      <c r="AG31">
        <f t="shared" si="5"/>
        <v>0</v>
      </c>
      <c r="AH31">
        <f t="shared" si="6"/>
        <v>0</v>
      </c>
      <c r="AI31">
        <f t="shared" si="7"/>
        <v>0</v>
      </c>
      <c r="AJ31">
        <f t="shared" si="8"/>
        <v>0</v>
      </c>
      <c r="AK31">
        <f t="shared" si="1"/>
        <v>0</v>
      </c>
      <c r="AN31">
        <f t="shared" ref="AN31:AT31" si="13">AN10-V10</f>
        <v>0</v>
      </c>
      <c r="AO31">
        <f t="shared" si="13"/>
        <v>0</v>
      </c>
      <c r="AP31">
        <f t="shared" si="13"/>
        <v>0</v>
      </c>
      <c r="AQ31">
        <f t="shared" si="13"/>
        <v>0</v>
      </c>
      <c r="AR31">
        <f t="shared" si="13"/>
        <v>0</v>
      </c>
      <c r="AS31">
        <f t="shared" si="13"/>
        <v>0</v>
      </c>
      <c r="AT31">
        <f t="shared" si="13"/>
        <v>0</v>
      </c>
    </row>
    <row r="32" spans="6:46" x14ac:dyDescent="0.25">
      <c r="F32" s="13">
        <v>100</v>
      </c>
      <c r="G32">
        <f>_xll.acq_options_binomial_american_greeks(G$31,$F32,$C$5,$C$6,$C$8,$C$9,$C$7,TRUE)</f>
        <v>6.169387326540801</v>
      </c>
      <c r="H32">
        <f>_xll.acq_options_binomial_american_greeks(H$31,$F32,$C$5,$C$6,$C$8,$C$9,$C$7,TRUE)</f>
        <v>0.29592395660308579</v>
      </c>
      <c r="I32">
        <f>_xll.acq_options_binomial_american_greeks(I$31,$F32,$C$5,$C$6,$C$8,$C$9,$C$7,TRUE)</f>
        <v>3.0730973321624327E-11</v>
      </c>
      <c r="J32">
        <f>_xll.acq_options_binomial_american_greeks(J$31,$F32,$C$5,$C$6,$C$8,$C$9,$C$7,TRUE)</f>
        <v>53.831393508093804</v>
      </c>
      <c r="K32">
        <f>_xll.acq_options_binomial_american_greeks(K$31,$F32,$C$5,$C$6,$C$8,$C$9,$C$7,TRUE)</f>
        <v>-126.68071885890697</v>
      </c>
      <c r="L32">
        <f>_xll.acq_options_binomial_american_greeks(L$31,$F32,$C$5,$C$6,$C$8,$C$9,$C$7,TRUE)</f>
        <v>-0.16175873485124725</v>
      </c>
      <c r="M32">
        <f>_xll.acq_options_binomial_american_greeks(M$31,$F32,$C$5,$C$6,$C$8,$C$9,$C$7,TRUE)</f>
        <v>58.745431517306379</v>
      </c>
      <c r="N32">
        <f>_xll.acq_options_binomial_american_greeks(N$31,$F32,$C$5,$C$6,$C$8,$C$9,$C$7,TRUE)</f>
        <v>-3.8049813106502128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1"/>
        <v>0</v>
      </c>
      <c r="AN32">
        <f t="shared" ref="AN32:AT32" si="14">AN11-V11</f>
        <v>0</v>
      </c>
      <c r="AO32">
        <f t="shared" si="14"/>
        <v>0</v>
      </c>
      <c r="AP32">
        <f t="shared" si="14"/>
        <v>0</v>
      </c>
      <c r="AQ32">
        <f t="shared" si="14"/>
        <v>0</v>
      </c>
      <c r="AR32">
        <f t="shared" si="14"/>
        <v>0</v>
      </c>
      <c r="AS32">
        <f t="shared" si="14"/>
        <v>0</v>
      </c>
      <c r="AT32">
        <f t="shared" si="14"/>
        <v>0</v>
      </c>
    </row>
    <row r="33" spans="6:46" x14ac:dyDescent="0.25">
      <c r="F33" s="13">
        <v>110</v>
      </c>
      <c r="G33">
        <f>_xll.acq_options_binomial_american_greeks(G$31,$F33,$C$5,$C$6,$C$8,$C$9,$C$7,TRUE)</f>
        <v>9.5689708195948757</v>
      </c>
      <c r="H33">
        <f>_xll.acq_options_binomial_american_greeks(H$31,$F33,$C$5,$C$6,$C$8,$C$9,$C$7,TRUE)</f>
        <v>0.39283515411956604</v>
      </c>
      <c r="I33">
        <f>_xll.acq_options_binomial_american_greeks(I$31,$F33,$C$5,$C$6,$C$8,$C$9,$C$7,TRUE)</f>
        <v>1.1920675649528955E-10</v>
      </c>
      <c r="J33">
        <f>_xll.acq_options_binomial_american_greeks(J$31,$F33,$C$5,$C$6,$C$8,$C$9,$C$7,TRUE)</f>
        <v>66.511021577571881</v>
      </c>
      <c r="K33">
        <f>_xll.acq_options_binomial_american_greeks(K$31,$F33,$C$5,$C$6,$C$8,$C$9,$C$7,TRUE)</f>
        <v>-115.56653363342662</v>
      </c>
      <c r="L33">
        <f>_xll.acq_options_binomial_american_greeks(L$31,$F33,$C$5,$C$6,$C$8,$C$9,$C$7,TRUE)</f>
        <v>-0.17917111971854638</v>
      </c>
      <c r="M33">
        <f>_xll.acq_options_binomial_american_greeks(M$31,$F33,$C$5,$C$6,$C$8,$C$9,$C$7,TRUE)</f>
        <v>81.497589287016226</v>
      </c>
      <c r="N33">
        <f>_xll.acq_options_binomial_american_greeks(N$31,$F33,$C$5,$C$6,$C$8,$C$9,$C$7,TRUE)</f>
        <v>-4.8601242276173906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  <c r="AE33">
        <f t="shared" si="3"/>
        <v>0</v>
      </c>
      <c r="AF33">
        <f t="shared" si="4"/>
        <v>0</v>
      </c>
      <c r="AG33">
        <f t="shared" si="5"/>
        <v>0</v>
      </c>
      <c r="AH33">
        <f t="shared" si="6"/>
        <v>0</v>
      </c>
      <c r="AI33">
        <f t="shared" si="7"/>
        <v>0</v>
      </c>
      <c r="AJ33">
        <f t="shared" si="8"/>
        <v>0</v>
      </c>
      <c r="AK33">
        <f t="shared" si="1"/>
        <v>0</v>
      </c>
      <c r="AN33">
        <f t="shared" ref="AN33:AT33" si="15">AN12-V12</f>
        <v>0</v>
      </c>
      <c r="AO33">
        <f t="shared" si="15"/>
        <v>0</v>
      </c>
      <c r="AP33">
        <f t="shared" si="15"/>
        <v>0</v>
      </c>
      <c r="AQ33">
        <f t="shared" si="15"/>
        <v>0</v>
      </c>
      <c r="AR33">
        <f t="shared" si="15"/>
        <v>0</v>
      </c>
      <c r="AS33">
        <f t="shared" si="15"/>
        <v>0</v>
      </c>
      <c r="AT33">
        <f t="shared" si="15"/>
        <v>0</v>
      </c>
    </row>
    <row r="34" spans="6:46" x14ac:dyDescent="0.25">
      <c r="F34" s="13">
        <v>120</v>
      </c>
      <c r="G34">
        <f>_xll.acq_options_binomial_american_greeks(G$31,$F34,$C$5,$C$6,$C$8,$C$9,$C$7,TRUE)</f>
        <v>13.834259508876483</v>
      </c>
      <c r="H34">
        <f>_xll.acq_options_binomial_american_greeks(H$31,$F34,$C$5,$C$6,$C$8,$C$9,$C$7,TRUE)</f>
        <v>0.46151445268451202</v>
      </c>
      <c r="I34">
        <f>_xll.acq_options_binomial_american_greeks(I$31,$F34,$C$5,$C$6,$C$8,$C$9,$C$7,TRUE)</f>
        <v>2.7533531010703882E-10</v>
      </c>
      <c r="J34">
        <f>_xll.acq_options_binomial_american_greeks(J$31,$F34,$C$5,$C$6,$C$8,$C$9,$C$7,TRUE)</f>
        <v>73.061597511501589</v>
      </c>
      <c r="K34">
        <f>_xll.acq_options_binomial_american_greeks(K$31,$F34,$C$5,$C$6,$C$8,$C$9,$C$7,TRUE)</f>
        <v>-86.778942513632273</v>
      </c>
      <c r="L34">
        <f>_xll.acq_options_binomial_american_greeks(L$31,$F34,$C$5,$C$6,$C$8,$C$9,$C$7,TRUE)</f>
        <v>-0.18427820069888412</v>
      </c>
      <c r="M34">
        <f>_xll.acq_options_binomial_american_greeks(M$31,$F34,$C$5,$C$6,$C$8,$C$9,$C$7,TRUE)</f>
        <v>105.75371445456661</v>
      </c>
      <c r="N34">
        <f>_xll.acq_options_binomial_american_greeks(N$31,$F34,$C$5,$C$6,$C$8,$C$9,$C$7,TRUE)</f>
        <v>-5.6302197116213648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  <c r="AE34">
        <f t="shared" si="3"/>
        <v>0</v>
      </c>
      <c r="AF34">
        <f t="shared" si="4"/>
        <v>0</v>
      </c>
      <c r="AG34">
        <f t="shared" si="5"/>
        <v>0</v>
      </c>
      <c r="AH34">
        <f t="shared" si="6"/>
        <v>0</v>
      </c>
      <c r="AI34">
        <f t="shared" si="7"/>
        <v>0</v>
      </c>
      <c r="AJ34">
        <f t="shared" si="8"/>
        <v>0</v>
      </c>
      <c r="AK34">
        <f t="shared" si="1"/>
        <v>0</v>
      </c>
      <c r="AN34">
        <f t="shared" ref="AN34:AT34" si="16">AN13-V13</f>
        <v>0</v>
      </c>
      <c r="AO34">
        <f t="shared" si="16"/>
        <v>0</v>
      </c>
      <c r="AP34">
        <f t="shared" si="16"/>
        <v>0</v>
      </c>
      <c r="AQ34">
        <f t="shared" si="16"/>
        <v>0</v>
      </c>
      <c r="AR34">
        <f t="shared" si="16"/>
        <v>0</v>
      </c>
      <c r="AS34">
        <f t="shared" si="16"/>
        <v>0</v>
      </c>
      <c r="AT34">
        <f t="shared" si="16"/>
        <v>0</v>
      </c>
    </row>
    <row r="35" spans="6:46" x14ac:dyDescent="0.25">
      <c r="F35" s="13">
        <v>130</v>
      </c>
      <c r="G35">
        <f>_xll.acq_options_binomial_american_greeks(G$31,$F35,$C$5,$C$6,$C$8,$C$9,$C$7,TRUE)</f>
        <v>18.900478172219707</v>
      </c>
      <c r="H35">
        <f>_xll.acq_options_binomial_american_greeks(H$31,$F35,$C$5,$C$6,$C$8,$C$9,$C$7,TRUE)</f>
        <v>0.53101339550712856</v>
      </c>
      <c r="I35">
        <f>_xll.acq_options_binomial_american_greeks(I$31,$F35,$C$5,$C$6,$C$8,$C$9,$C$7,TRUE)</f>
        <v>9.7205609767890623E-10</v>
      </c>
      <c r="J35">
        <f>_xll.acq_options_binomial_american_greeks(J$31,$F35,$C$5,$C$6,$C$8,$C$9,$C$7,TRUE)</f>
        <v>77.886781928777111</v>
      </c>
      <c r="K35">
        <f>_xll.acq_options_binomial_american_greeks(K$31,$F35,$C$5,$C$6,$C$8,$C$9,$C$7,TRUE)</f>
        <v>-52.646501274011825</v>
      </c>
      <c r="L35">
        <f>_xll.acq_options_binomial_american_greeks(L$31,$F35,$C$5,$C$6,$C$8,$C$9,$C$7,TRUE)</f>
        <v>-0.18355770148303918</v>
      </c>
      <c r="M35">
        <f>_xll.acq_options_binomial_american_greeks(M$31,$F35,$C$5,$C$6,$C$8,$C$9,$C$7,TRUE)</f>
        <v>130.29775084520699</v>
      </c>
      <c r="N35">
        <f>_xll.acq_options_binomial_american_greeks(N$31,$F35,$C$5,$C$6,$C$8,$C$9,$C$7,TRUE)</f>
        <v>-6.31179333191767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  <c r="AE35">
        <f t="shared" si="3"/>
        <v>0</v>
      </c>
      <c r="AF35">
        <f t="shared" si="4"/>
        <v>0</v>
      </c>
      <c r="AG35">
        <f t="shared" si="5"/>
        <v>0</v>
      </c>
      <c r="AH35">
        <f t="shared" si="6"/>
        <v>0</v>
      </c>
      <c r="AI35">
        <f t="shared" si="7"/>
        <v>0</v>
      </c>
      <c r="AJ35">
        <f t="shared" si="8"/>
        <v>0</v>
      </c>
      <c r="AK35">
        <f t="shared" si="1"/>
        <v>0</v>
      </c>
      <c r="AN35">
        <f t="shared" ref="AN35:AT35" si="17">AN14-V14</f>
        <v>0</v>
      </c>
      <c r="AO35">
        <f t="shared" si="17"/>
        <v>0</v>
      </c>
      <c r="AP35">
        <f t="shared" si="17"/>
        <v>0</v>
      </c>
      <c r="AQ35">
        <f t="shared" si="17"/>
        <v>0</v>
      </c>
      <c r="AR35">
        <f t="shared" si="17"/>
        <v>0</v>
      </c>
      <c r="AS35">
        <f t="shared" si="17"/>
        <v>0</v>
      </c>
      <c r="AT35">
        <f t="shared" si="17"/>
        <v>0</v>
      </c>
    </row>
    <row r="36" spans="6:46" x14ac:dyDescent="0.25">
      <c r="F36" s="13">
        <v>140</v>
      </c>
      <c r="G36">
        <f>_xll.acq_options_binomial_american_greeks(G$31,$F36,$C$5,$C$6,$C$8,$C$9,$C$7,TRUE)</f>
        <v>24.726660867450761</v>
      </c>
      <c r="H36">
        <f>_xll.acq_options_binomial_american_greeks(H$31,$F36,$C$5,$C$6,$C$8,$C$9,$C$7,TRUE)</f>
        <v>0.63202179102841416</v>
      </c>
      <c r="I36">
        <f>_xll.acq_options_binomial_american_greeks(I$31,$F36,$C$5,$C$6,$C$8,$C$9,$C$7,TRUE)</f>
        <v>2.5322148006552546E-9</v>
      </c>
      <c r="J36">
        <f>_xll.acq_options_binomial_american_greeks(J$31,$F36,$C$5,$C$6,$C$8,$C$9,$C$7,TRUE)</f>
        <v>81.860922197439052</v>
      </c>
      <c r="K36">
        <f>_xll.acq_options_binomial_american_greeks(K$31,$F36,$C$5,$C$6,$C$8,$C$9,$C$7,TRUE)</f>
        <v>-16.065887145089164</v>
      </c>
      <c r="L36">
        <f>_xll.acq_options_binomial_american_greeks(L$31,$F36,$C$5,$C$6,$C$8,$C$9,$C$7,TRUE)</f>
        <v>-0.17185169554068125</v>
      </c>
      <c r="M36">
        <f>_xll.acq_options_binomial_american_greeks(M$31,$F36,$C$5,$C$6,$C$8,$C$9,$C$7,TRUE)</f>
        <v>154.14954010589099</v>
      </c>
      <c r="N36">
        <f>_xll.acq_options_binomial_american_greeks(N$31,$F36,$C$5,$C$6,$C$8,$C$9,$C$7,TRUE)</f>
        <v>-6.9293708354969397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0</v>
      </c>
      <c r="AI36">
        <f t="shared" si="7"/>
        <v>0</v>
      </c>
      <c r="AJ36">
        <f t="shared" si="8"/>
        <v>0</v>
      </c>
      <c r="AK36">
        <f t="shared" si="1"/>
        <v>0</v>
      </c>
      <c r="AN36">
        <f t="shared" ref="AN36:AT36" si="18">AN15-V15</f>
        <v>0</v>
      </c>
      <c r="AO36">
        <f t="shared" si="18"/>
        <v>0</v>
      </c>
      <c r="AP36">
        <f t="shared" si="18"/>
        <v>0</v>
      </c>
      <c r="AQ36">
        <f t="shared" si="18"/>
        <v>0</v>
      </c>
      <c r="AR36">
        <f t="shared" si="18"/>
        <v>0</v>
      </c>
      <c r="AS36">
        <f t="shared" si="18"/>
        <v>0</v>
      </c>
      <c r="AT36">
        <f t="shared" si="18"/>
        <v>0</v>
      </c>
    </row>
    <row r="37" spans="6:46" x14ac:dyDescent="0.25">
      <c r="F37" s="13">
        <v>150</v>
      </c>
      <c r="G37">
        <f>_xll.acq_options_binomial_american_greeks(G$31,$F37,$C$5,$C$6,$C$8,$C$9,$C$7,TRUE)</f>
        <v>31.212516368497283</v>
      </c>
      <c r="H37">
        <f>_xll.acq_options_binomial_american_greeks(H$31,$F37,$C$5,$C$6,$C$8,$C$9,$C$7,TRUE)</f>
        <v>0.67905092691500357</v>
      </c>
      <c r="I37">
        <f>_xll.acq_options_binomial_american_greeks(I$31,$F37,$C$5,$C$6,$C$8,$C$9,$C$7,TRUE)</f>
        <v>0.20321106752210957</v>
      </c>
      <c r="J37">
        <f>_xll.acq_options_binomial_american_greeks(J$31,$F37,$C$5,$C$6,$C$8,$C$9,$C$7,TRUE)</f>
        <v>80.826677292584677</v>
      </c>
      <c r="K37">
        <f>_xll.acq_options_binomial_american_greeks(K$31,$F37,$C$5,$C$6,$C$8,$C$9,$C$7,TRUE)</f>
        <v>19.712196277055227</v>
      </c>
      <c r="L37">
        <f>_xll.acq_options_binomial_american_greeks(L$31,$F37,$C$5,$C$6,$C$8,$C$9,$C$7,TRUE)</f>
        <v>-0.16173119110618472</v>
      </c>
      <c r="M37">
        <f>_xll.acq_options_binomial_american_greeks(M$31,$F37,$C$5,$C$6,$C$8,$C$9,$C$7,TRUE)</f>
        <v>176.6121161331906</v>
      </c>
      <c r="N37">
        <f>_xll.acq_options_binomial_american_greeks(N$31,$F37,$C$5,$C$6,$C$8,$C$9,$C$7,TRUE)</f>
        <v>-7.2621117195801332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  <c r="AE37">
        <f t="shared" si="3"/>
        <v>0</v>
      </c>
      <c r="AF37">
        <f t="shared" si="4"/>
        <v>0</v>
      </c>
      <c r="AG37">
        <f t="shared" si="5"/>
        <v>0</v>
      </c>
      <c r="AH37">
        <f t="shared" si="6"/>
        <v>0</v>
      </c>
      <c r="AI37">
        <f t="shared" si="7"/>
        <v>0</v>
      </c>
      <c r="AJ37">
        <f t="shared" si="8"/>
        <v>0</v>
      </c>
      <c r="AK37">
        <f t="shared" si="1"/>
        <v>0</v>
      </c>
      <c r="AN37">
        <f t="shared" ref="AN37:AT37" si="19">AN16-V16</f>
        <v>0</v>
      </c>
      <c r="AO37">
        <f t="shared" si="19"/>
        <v>0</v>
      </c>
      <c r="AP37">
        <f t="shared" si="19"/>
        <v>0</v>
      </c>
      <c r="AQ37">
        <f t="shared" si="19"/>
        <v>0</v>
      </c>
      <c r="AR37">
        <f t="shared" si="19"/>
        <v>0</v>
      </c>
      <c r="AS37">
        <f t="shared" si="19"/>
        <v>0</v>
      </c>
      <c r="AT37">
        <f t="shared" si="19"/>
        <v>0</v>
      </c>
    </row>
    <row r="38" spans="6:46" x14ac:dyDescent="0.25">
      <c r="F38" s="13">
        <v>160</v>
      </c>
      <c r="G38">
        <f>_xll.acq_options_binomial_american_greeks(G$31,$F38,$C$5,$C$6,$C$8,$C$9,$C$7,TRUE)</f>
        <v>38.288870372719884</v>
      </c>
      <c r="H38">
        <f>_xll.acq_options_binomial_american_greeks(H$31,$F38,$C$5,$C$6,$C$8,$C$9,$C$7,TRUE)</f>
        <v>0.72328811539992266</v>
      </c>
      <c r="I38">
        <f>_xll.acq_options_binomial_american_greeks(I$31,$F38,$C$5,$C$6,$C$8,$C$9,$C$7,TRUE)</f>
        <v>8.0085937881335667E-9</v>
      </c>
      <c r="J38">
        <f>_xll.acq_options_binomial_american_greeks(J$31,$F38,$C$5,$C$6,$C$8,$C$9,$C$7,TRUE)</f>
        <v>78.647506900910642</v>
      </c>
      <c r="K38">
        <f>_xll.acq_options_binomial_american_greeks(K$31,$F38,$C$5,$C$6,$C$8,$C$9,$C$7,TRUE)</f>
        <v>51.714829908178217</v>
      </c>
      <c r="L38">
        <f>_xll.acq_options_binomial_american_greeks(L$31,$F38,$C$5,$C$6,$C$8,$C$9,$C$7,TRUE)</f>
        <v>-0.14971018913456646</v>
      </c>
      <c r="M38">
        <f>_xll.acq_options_binomial_american_greeks(M$31,$F38,$C$5,$C$6,$C$8,$C$9,$C$7,TRUE)</f>
        <v>197.16598749784353</v>
      </c>
      <c r="N38">
        <f>_xll.acq_options_binomial_american_greeks(N$31,$F38,$C$5,$C$6,$C$8,$C$9,$C$7,TRUE)</f>
        <v>-7.4935158412756664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  <c r="AE38">
        <f t="shared" si="3"/>
        <v>0</v>
      </c>
      <c r="AF38">
        <f t="shared" si="4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1"/>
        <v>0</v>
      </c>
      <c r="AN38">
        <f t="shared" ref="AN38:AT38" si="20">AN17-V17</f>
        <v>0</v>
      </c>
      <c r="AO38">
        <f t="shared" si="20"/>
        <v>0</v>
      </c>
      <c r="AP38">
        <f t="shared" si="20"/>
        <v>0</v>
      </c>
      <c r="AQ38">
        <f t="shared" si="20"/>
        <v>0</v>
      </c>
      <c r="AR38">
        <f t="shared" si="20"/>
        <v>0</v>
      </c>
      <c r="AS38">
        <f t="shared" si="20"/>
        <v>0</v>
      </c>
      <c r="AT38">
        <f t="shared" si="20"/>
        <v>0</v>
      </c>
    </row>
    <row r="39" spans="6:46" x14ac:dyDescent="0.25">
      <c r="F39" s="13">
        <v>170</v>
      </c>
      <c r="G39">
        <f>_xll.acq_options_binomial_american_greeks(G$31,$F39,$C$5,$C$6,$C$8,$C$9,$C$7,TRUE)</f>
        <v>45.850665689697209</v>
      </c>
      <c r="H39">
        <f>_xll.acq_options_binomial_american_greeks(H$31,$F39,$C$5,$C$6,$C$8,$C$9,$C$7,TRUE)</f>
        <v>0.77627038080967903</v>
      </c>
      <c r="I39">
        <f>_xll.acq_options_binomial_american_greeks(I$31,$F39,$C$5,$C$6,$C$8,$C$9,$C$7,TRUE)</f>
        <v>1.141785627982666E-8</v>
      </c>
      <c r="J39">
        <f>_xll.acq_options_binomial_american_greeks(J$31,$F39,$C$5,$C$6,$C$8,$C$9,$C$7,TRUE)</f>
        <v>74.203292985607945</v>
      </c>
      <c r="K39">
        <f>_xll.acq_options_binomial_american_greeks(K$31,$F39,$C$5,$C$6,$C$8,$C$9,$C$7,TRUE)</f>
        <v>77.492788832955739</v>
      </c>
      <c r="L39">
        <f>_xll.acq_options_binomial_american_greeks(L$31,$F39,$C$5,$C$6,$C$8,$C$9,$C$7,TRUE)</f>
        <v>-0.13119946729034382</v>
      </c>
      <c r="M39">
        <f>_xll.acq_options_binomial_american_greeks(M$31,$F39,$C$5,$C$6,$C$8,$C$9,$C$7,TRUE)</f>
        <v>215.63455254693764</v>
      </c>
      <c r="N39">
        <f>_xll.acq_options_binomial_american_greeks(N$31,$F39,$C$5,$C$6,$C$8,$C$9,$C$7,TRUE)</f>
        <v>-7.5650842958054909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  <c r="AE39">
        <f t="shared" si="3"/>
        <v>0</v>
      </c>
      <c r="AF39">
        <f t="shared" si="4"/>
        <v>0</v>
      </c>
      <c r="AG39">
        <f t="shared" si="5"/>
        <v>0</v>
      </c>
      <c r="AH39">
        <f t="shared" si="6"/>
        <v>0</v>
      </c>
      <c r="AI39">
        <f t="shared" si="7"/>
        <v>0</v>
      </c>
      <c r="AJ39">
        <f t="shared" si="8"/>
        <v>0</v>
      </c>
      <c r="AK39">
        <f t="shared" si="1"/>
        <v>0</v>
      </c>
      <c r="AN39">
        <f t="shared" ref="AN39:AT39" si="21">AN18-V18</f>
        <v>0</v>
      </c>
      <c r="AO39">
        <f t="shared" si="21"/>
        <v>0</v>
      </c>
      <c r="AP39">
        <f t="shared" si="21"/>
        <v>0</v>
      </c>
      <c r="AQ39">
        <f t="shared" si="21"/>
        <v>0</v>
      </c>
      <c r="AR39">
        <f t="shared" si="21"/>
        <v>0</v>
      </c>
      <c r="AS39">
        <f t="shared" si="21"/>
        <v>0</v>
      </c>
      <c r="AT39">
        <f t="shared" si="21"/>
        <v>0</v>
      </c>
    </row>
    <row r="40" spans="6:46" x14ac:dyDescent="0.25">
      <c r="F40" s="13">
        <v>180</v>
      </c>
      <c r="G40">
        <f>_xll.acq_options_binomial_american_greeks(G$31,$F40,$C$5,$C$6,$C$8,$C$9,$C$7,TRUE)</f>
        <v>53.806820801060468</v>
      </c>
      <c r="H40">
        <f>_xll.acq_options_binomial_american_greeks(H$31,$F40,$C$5,$C$6,$C$8,$C$9,$C$7,TRUE)</f>
        <v>0.82198565685437253</v>
      </c>
      <c r="I40">
        <f>_xll.acq_options_binomial_american_greeks(I$31,$F40,$C$5,$C$6,$C$8,$C$9,$C$7,TRUE)</f>
        <v>1.8799557247005813E-8</v>
      </c>
      <c r="J40">
        <f>_xll.acq_options_binomial_american_greeks(J$31,$F40,$C$5,$C$6,$C$8,$C$9,$C$7,TRUE)</f>
        <v>67.871918753013404</v>
      </c>
      <c r="K40">
        <f>_xll.acq_options_binomial_american_greeks(K$31,$F40,$C$5,$C$6,$C$8,$C$9,$C$7,TRUE)</f>
        <v>95.508805770805338</v>
      </c>
      <c r="L40">
        <f>_xll.acq_options_binomial_american_greeks(L$31,$F40,$C$5,$C$6,$C$8,$C$9,$C$7,TRUE)</f>
        <v>-0.11134978628035697</v>
      </c>
      <c r="M40">
        <f>_xll.acq_options_binomial_american_greeks(M$31,$F40,$C$5,$C$6,$C$8,$C$9,$C$7,TRUE)</f>
        <v>232.04529747275515</v>
      </c>
      <c r="N40">
        <f>_xll.acq_options_binomial_american_greeks(N$31,$F40,$C$5,$C$6,$C$8,$C$9,$C$7,TRUE)</f>
        <v>-7.4971739234754864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  <c r="AE40">
        <f t="shared" si="3"/>
        <v>0</v>
      </c>
      <c r="AF40">
        <f t="shared" si="4"/>
        <v>0</v>
      </c>
      <c r="AG40">
        <f t="shared" si="5"/>
        <v>0</v>
      </c>
      <c r="AH40">
        <f t="shared" si="6"/>
        <v>0</v>
      </c>
      <c r="AI40">
        <f t="shared" si="7"/>
        <v>0</v>
      </c>
      <c r="AJ40">
        <f t="shared" si="8"/>
        <v>0</v>
      </c>
      <c r="AK40">
        <f t="shared" si="1"/>
        <v>0</v>
      </c>
      <c r="AN40">
        <f t="shared" ref="AN40:AT40" si="22">AN19-V19</f>
        <v>0</v>
      </c>
      <c r="AO40">
        <f t="shared" si="22"/>
        <v>0</v>
      </c>
      <c r="AP40">
        <f t="shared" si="22"/>
        <v>0</v>
      </c>
      <c r="AQ40">
        <f t="shared" si="22"/>
        <v>0</v>
      </c>
      <c r="AR40">
        <f t="shared" si="22"/>
        <v>0</v>
      </c>
      <c r="AS40">
        <f t="shared" si="22"/>
        <v>0</v>
      </c>
      <c r="AT40">
        <f t="shared" si="22"/>
        <v>0</v>
      </c>
    </row>
    <row r="41" spans="6:46" x14ac:dyDescent="0.25">
      <c r="F41" s="13">
        <v>190</v>
      </c>
      <c r="G41">
        <f>_xll.acq_options_binomial_american_greeks(G$31,$F41,$C$5,$C$6,$C$8,$C$9,$C$7,TRUE)</f>
        <v>62.117916559344394</v>
      </c>
      <c r="H41">
        <f>_xll.acq_options_binomial_american_greeks(H$31,$F41,$C$5,$C$6,$C$8,$C$9,$C$7,TRUE)</f>
        <v>0.84202354246964861</v>
      </c>
      <c r="I41">
        <f>_xll.acq_options_binomial_american_greeks(I$31,$F41,$C$5,$C$6,$C$8,$C$9,$C$7,TRUE)</f>
        <v>3.1666980518274514E-8</v>
      </c>
      <c r="J41">
        <f>_xll.acq_options_binomial_american_greeks(J$31,$F41,$C$5,$C$6,$C$8,$C$9,$C$7,TRUE)</f>
        <v>63.650941152118833</v>
      </c>
      <c r="K41">
        <f>_xll.acq_options_binomial_american_greeks(K$31,$F41,$C$5,$C$6,$C$8,$C$9,$C$7,TRUE)</f>
        <v>111.96122423484667</v>
      </c>
      <c r="L41">
        <f>_xll.acq_options_binomial_american_greeks(L$31,$F41,$C$5,$C$6,$C$8,$C$9,$C$7,TRUE)</f>
        <v>-0.10134426098318272</v>
      </c>
      <c r="M41">
        <f>_xll.acq_options_binomial_american_greeks(M$31,$F41,$C$5,$C$6,$C$8,$C$9,$C$7,TRUE)</f>
        <v>246.28383912638441</v>
      </c>
      <c r="N41">
        <f>_xll.acq_options_binomial_american_greeks(N$31,$F41,$C$5,$C$6,$C$8,$C$9,$C$7,TRUE)</f>
        <v>-7.4878105806561734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  <c r="AE41">
        <f t="shared" si="3"/>
        <v>0</v>
      </c>
      <c r="AF41">
        <f t="shared" si="4"/>
        <v>0</v>
      </c>
      <c r="AG41">
        <f t="shared" si="5"/>
        <v>0</v>
      </c>
      <c r="AH41">
        <f t="shared" si="6"/>
        <v>0</v>
      </c>
      <c r="AI41">
        <f t="shared" si="7"/>
        <v>0</v>
      </c>
      <c r="AJ41">
        <f t="shared" si="8"/>
        <v>0</v>
      </c>
      <c r="AK41">
        <f t="shared" si="1"/>
        <v>0</v>
      </c>
      <c r="AN41">
        <f t="shared" ref="AN41:AT41" si="23">AN20-V20</f>
        <v>0</v>
      </c>
      <c r="AO41">
        <f t="shared" si="23"/>
        <v>0</v>
      </c>
      <c r="AP41">
        <f t="shared" si="23"/>
        <v>0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</row>
    <row r="42" spans="6:46" x14ac:dyDescent="0.25">
      <c r="F42" s="13">
        <v>200</v>
      </c>
      <c r="G42">
        <f>_xll.acq_options_binomial_american_greeks(G$31,$F42,$C$5,$C$6,$C$8,$C$9,$C$7,TRUE)</f>
        <v>70.697101086051191</v>
      </c>
      <c r="H42">
        <f>_xll.acq_options_binomial_american_greeks(H$31,$F42,$C$5,$C$6,$C$8,$C$9,$C$7,TRUE)</f>
        <v>0.87653762333033569</v>
      </c>
      <c r="I42">
        <f>_xll.acq_options_binomial_american_greeks(I$31,$F42,$C$5,$C$6,$C$8,$C$9,$C$7,TRUE)</f>
        <v>5.924647439314866E-8</v>
      </c>
      <c r="J42">
        <f>_xll.acq_options_binomial_american_greeks(J$31,$F42,$C$5,$C$6,$C$8,$C$9,$C$7,TRUE)</f>
        <v>55.588234100731832</v>
      </c>
      <c r="K42">
        <f>_xll.acq_options_binomial_american_greeks(K$31,$F42,$C$5,$C$6,$C$8,$C$9,$C$7,TRUE)</f>
        <v>115.6314565946559</v>
      </c>
      <c r="L42">
        <f>_xll.acq_options_binomial_american_greeks(L$31,$F42,$C$5,$C$6,$C$8,$C$9,$C$7,TRUE)</f>
        <v>-8.1957097108897869E-2</v>
      </c>
      <c r="M42">
        <f>_xll.acq_options_binomial_american_greeks(M$31,$F42,$C$5,$C$6,$C$8,$C$9,$C$7,TRUE)</f>
        <v>258.64157207402627</v>
      </c>
      <c r="N42">
        <f>_xll.acq_options_binomial_american_greeks(N$31,$F42,$C$5,$C$6,$C$8,$C$9,$C$7,TRUE)</f>
        <v>-7.2460279597805766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  <c r="AE42">
        <f t="shared" si="3"/>
        <v>0</v>
      </c>
      <c r="AF42">
        <f t="shared" si="4"/>
        <v>0</v>
      </c>
      <c r="AG42">
        <f t="shared" si="5"/>
        <v>0</v>
      </c>
      <c r="AH42">
        <f t="shared" si="6"/>
        <v>0</v>
      </c>
      <c r="AI42">
        <f t="shared" si="7"/>
        <v>0</v>
      </c>
      <c r="AJ42">
        <f t="shared" si="8"/>
        <v>0</v>
      </c>
      <c r="AK42">
        <f t="shared" si="1"/>
        <v>0</v>
      </c>
      <c r="AN42">
        <f t="shared" ref="AN42:AT42" si="24">AN21-V21</f>
        <v>0</v>
      </c>
      <c r="AO42">
        <f t="shared" si="24"/>
        <v>0</v>
      </c>
      <c r="AP42">
        <f t="shared" si="24"/>
        <v>0</v>
      </c>
      <c r="AQ42">
        <f t="shared" si="24"/>
        <v>0</v>
      </c>
      <c r="AR42">
        <f t="shared" si="24"/>
        <v>0</v>
      </c>
      <c r="AS42">
        <f t="shared" si="24"/>
        <v>0</v>
      </c>
      <c r="AT42">
        <f t="shared" si="24"/>
        <v>0</v>
      </c>
    </row>
    <row r="43" spans="6:46" x14ac:dyDescent="0.25">
      <c r="V43" s="46"/>
      <c r="W43" s="46"/>
      <c r="X43" s="46"/>
      <c r="Y43" s="46"/>
      <c r="Z43" s="46"/>
      <c r="AA43" s="46"/>
      <c r="AB43" s="46"/>
      <c r="AE43">
        <f t="shared" si="3"/>
        <v>0</v>
      </c>
      <c r="AF43">
        <f t="shared" si="4"/>
        <v>0</v>
      </c>
      <c r="AG43">
        <f t="shared" si="5"/>
        <v>0</v>
      </c>
      <c r="AH43">
        <f t="shared" si="6"/>
        <v>0</v>
      </c>
      <c r="AI43">
        <f t="shared" si="7"/>
        <v>0</v>
      </c>
      <c r="AJ43">
        <f t="shared" si="8"/>
        <v>0</v>
      </c>
      <c r="AK43">
        <f t="shared" si="1"/>
        <v>0</v>
      </c>
      <c r="AN43">
        <f t="shared" ref="AN43:AT43" si="25">AN22-V22</f>
        <v>0</v>
      </c>
      <c r="AO43">
        <f t="shared" si="25"/>
        <v>0</v>
      </c>
      <c r="AP43">
        <f t="shared" si="25"/>
        <v>0</v>
      </c>
      <c r="AQ43">
        <f t="shared" si="25"/>
        <v>0</v>
      </c>
      <c r="AR43">
        <f t="shared" si="25"/>
        <v>0</v>
      </c>
      <c r="AS43">
        <f t="shared" si="25"/>
        <v>0</v>
      </c>
      <c r="AT43">
        <f t="shared" si="25"/>
        <v>0</v>
      </c>
    </row>
    <row r="44" spans="6:46" x14ac:dyDescent="0.25">
      <c r="V44" s="46"/>
      <c r="W44" s="46"/>
      <c r="X44" s="46"/>
      <c r="Y44" s="46"/>
      <c r="Z44" s="46"/>
      <c r="AA44" s="46"/>
      <c r="AB44" s="46"/>
      <c r="AE44">
        <f t="shared" ref="AE44:AE45" si="26">AE23-M23</f>
        <v>0</v>
      </c>
      <c r="AF44">
        <f t="shared" ref="AF44:AF45" si="27">AF23-N23</f>
        <v>0</v>
      </c>
      <c r="AG44">
        <f t="shared" ref="AG44:AG45" si="28">AG23-O23</f>
        <v>0</v>
      </c>
      <c r="AH44">
        <f t="shared" ref="AH44:AH45" si="29">AH23-P23</f>
        <v>0</v>
      </c>
      <c r="AI44">
        <f t="shared" ref="AI44:AI45" si="30">AI23-Q23</f>
        <v>0</v>
      </c>
      <c r="AJ44">
        <f t="shared" ref="AJ44:AJ45" si="31">AJ23-R23</f>
        <v>0</v>
      </c>
      <c r="AK44">
        <f t="shared" si="1"/>
        <v>0</v>
      </c>
      <c r="AN44">
        <f t="shared" ref="AN44:AT44" si="32">AN23-V23</f>
        <v>0</v>
      </c>
      <c r="AO44">
        <f t="shared" si="32"/>
        <v>0</v>
      </c>
      <c r="AP44">
        <f t="shared" si="32"/>
        <v>0</v>
      </c>
      <c r="AQ44">
        <f t="shared" si="32"/>
        <v>0</v>
      </c>
      <c r="AR44">
        <f t="shared" si="32"/>
        <v>0</v>
      </c>
      <c r="AS44">
        <f t="shared" si="32"/>
        <v>0</v>
      </c>
      <c r="AT44">
        <f t="shared" si="32"/>
        <v>0</v>
      </c>
    </row>
    <row r="45" spans="6:46" ht="15.75" thickBot="1" x14ac:dyDescent="0.3">
      <c r="G45" s="56" t="s">
        <v>165</v>
      </c>
      <c r="H45" s="56"/>
      <c r="I45" s="56"/>
      <c r="J45" s="56"/>
      <c r="K45" s="56"/>
      <c r="L45" s="56"/>
      <c r="M45" s="56"/>
      <c r="N45" s="56"/>
      <c r="S45" s="56" t="s">
        <v>166</v>
      </c>
      <c r="T45" s="56"/>
      <c r="U45" s="56"/>
      <c r="V45" s="56"/>
      <c r="W45" s="56"/>
      <c r="X45" s="56"/>
      <c r="Y45" s="56"/>
      <c r="Z45" s="56"/>
      <c r="AA45" s="46"/>
      <c r="AB45" s="46"/>
      <c r="AE45">
        <f t="shared" si="26"/>
        <v>0</v>
      </c>
      <c r="AF45">
        <f t="shared" si="27"/>
        <v>0</v>
      </c>
      <c r="AG45">
        <f t="shared" si="28"/>
        <v>0</v>
      </c>
      <c r="AH45">
        <f t="shared" si="29"/>
        <v>0</v>
      </c>
      <c r="AI45">
        <f t="shared" si="30"/>
        <v>0</v>
      </c>
      <c r="AJ45">
        <f t="shared" si="31"/>
        <v>0</v>
      </c>
      <c r="AK45">
        <f t="shared" si="1"/>
        <v>0</v>
      </c>
      <c r="AN45">
        <f t="shared" ref="AN45:AT45" si="33">AN24-V24</f>
        <v>0</v>
      </c>
      <c r="AO45">
        <f t="shared" si="33"/>
        <v>0</v>
      </c>
      <c r="AP45">
        <f t="shared" si="33"/>
        <v>0</v>
      </c>
      <c r="AQ45">
        <f t="shared" si="33"/>
        <v>0</v>
      </c>
      <c r="AR45">
        <f t="shared" si="33"/>
        <v>0</v>
      </c>
      <c r="AS45">
        <f t="shared" si="33"/>
        <v>0</v>
      </c>
      <c r="AT45">
        <f t="shared" si="33"/>
        <v>0</v>
      </c>
    </row>
    <row r="46" spans="6:46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46" x14ac:dyDescent="0.25">
      <c r="F47" s="13">
        <v>100</v>
      </c>
      <c r="G47">
        <f>_xll.acq_options_binomial_american_greeks(G$31,$F47,$C$5,$C$6,$C$8,$C$9,$C$7,FALSE)</f>
        <v>49.999999999997073</v>
      </c>
      <c r="H47">
        <f>_xll.acq_options_binomial_american_greeks(H$31,$F47,$C$5,$C$6,$C$8,$C$9,$C$7,FALSE)</f>
        <v>-0.9999999999998721</v>
      </c>
      <c r="I47">
        <f>_xll.acq_options_binomial_american_greeks(I$31,$F47,$C$5,$C$6,$C$8,$C$9,$C$7,FALSE)</f>
        <v>-1.27897692436818E-11</v>
      </c>
      <c r="J47">
        <f>_xll.acq_options_binomial_american_greeks(J$31,$F47,$C$5,$C$6,$C$8,$C$9,$C$7,FALSE)</f>
        <v>-6.0396132539608464E-10</v>
      </c>
      <c r="K47">
        <f>_xll.acq_options_binomial_american_greeks(K$31,$F47,$C$5,$C$6,$C$8,$C$9,$C$7,FALSE)</f>
        <v>1.6356693777197506E-5</v>
      </c>
      <c r="L47">
        <f>_xll.acq_options_binomial_american_greeks(L$31,$F47,$C$5,$C$6,$C$8,$C$9,$C$7,FALSE)</f>
        <v>-2.4868995751603507E-8</v>
      </c>
      <c r="M47">
        <f>_xll.acq_options_binomial_american_greeks(M$31,$F47,$C$5,$C$6,$C$8,$C$9,$C$7,FALSE)</f>
        <v>0</v>
      </c>
      <c r="N47">
        <f>_xll.acq_options_binomial_american_greeks(N$31,$F47,$C$5,$C$6,$C$8,$C$9,$C$7,FALSE)</f>
        <v>-2.4442670110147446E-9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46" x14ac:dyDescent="0.25">
      <c r="F48" s="13">
        <v>110</v>
      </c>
      <c r="G48">
        <f>_xll.acq_options_binomial_american_greeks(G$31,$F48,$C$5,$C$6,$C$8,$C$9,$C$7,FALSE)</f>
        <v>40.231502142120917</v>
      </c>
      <c r="H48">
        <f>_xll.acq_options_binomial_american_greeks(H$31,$F48,$C$5,$C$6,$C$8,$C$9,$C$7,FALSE)</f>
        <v>-0.90987473018028131</v>
      </c>
      <c r="I48">
        <f>_xll.acq_options_binomial_american_greeks(I$31,$F48,$C$5,$C$6,$C$8,$C$9,$C$7,FALSE)</f>
        <v>3.4627434574815183E-3</v>
      </c>
      <c r="J48">
        <f>_xll.acq_options_binomial_american_greeks(J$31,$F48,$C$5,$C$6,$C$8,$C$9,$C$7,FALSE)</f>
        <v>18.406934804751511</v>
      </c>
      <c r="K48">
        <f>_xll.acq_options_binomial_american_greeks(K$31,$F48,$C$5,$C$6,$C$8,$C$9,$C$7,FALSE)</f>
        <v>873.34175073294773</v>
      </c>
      <c r="L48">
        <f>_xll.acq_options_binomial_american_greeks(L$31,$F48,$C$5,$C$6,$C$8,$C$9,$C$7,FALSE)</f>
        <v>7.1569381336900051</v>
      </c>
      <c r="M48">
        <f>_xll.acq_options_binomial_american_greeks(M$31,$F48,$C$5,$C$6,$C$8,$C$9,$C$7,FALSE)</f>
        <v>-30.812220154164294</v>
      </c>
      <c r="N48">
        <f>_xll.acq_options_binomial_american_greeks(N$31,$F48,$C$5,$C$6,$C$8,$C$9,$C$7,FALSE)</f>
        <v>-0.29567208315484095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_xll.acq_options_binomial_american_greeks(G$31,$F49,$C$5,$C$6,$C$8,$C$9,$C$7,FALSE)</f>
        <v>32.171645652267202</v>
      </c>
      <c r="H49">
        <f>_xll.acq_options_binomial_american_greeks(H$31,$F49,$C$5,$C$6,$C$8,$C$9,$C$7,FALSE)</f>
        <v>-0.7220906634614721</v>
      </c>
      <c r="I49">
        <f>_xll.acq_options_binomial_american_greeks(I$31,$F49,$C$5,$C$6,$C$8,$C$9,$C$7,FALSE)</f>
        <v>7.4909230206464551E-3</v>
      </c>
      <c r="J49">
        <f>_xll.acq_options_binomial_american_greeks(J$31,$F49,$C$5,$C$6,$C$8,$C$9,$C$7,FALSE)</f>
        <v>50.689647329619405</v>
      </c>
      <c r="K49">
        <f>_xll.acq_options_binomial_american_greeks(K$31,$F49,$C$5,$C$6,$C$8,$C$9,$C$7,FALSE)</f>
        <v>119.8706003293637</v>
      </c>
      <c r="L49">
        <f>_xll.acq_options_binomial_american_greeks(L$31,$F49,$C$5,$C$6,$C$8,$C$9,$C$7,FALSE)</f>
        <v>1.1280762013399226</v>
      </c>
      <c r="M49">
        <f>_xll.acq_options_binomial_american_greeks(M$31,$F49,$C$5,$C$6,$C$8,$C$9,$C$7,FALSE)</f>
        <v>-76.928191555303727</v>
      </c>
      <c r="N49">
        <f>_xll.acq_options_binomial_american_greeks(N$31,$F49,$C$5,$C$6,$C$8,$C$9,$C$7,FALSE)</f>
        <v>-0.92539108119638058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_xll.acq_options_binomial_american_greeks(G$31,$F50,$C$5,$C$6,$C$8,$C$9,$C$7,FALSE)</f>
        <v>25.708592404822586</v>
      </c>
      <c r="H50">
        <f>_xll.acq_options_binomial_american_greeks(H$31,$F50,$C$5,$C$6,$C$8,$C$9,$C$7,FALSE)</f>
        <v>-0.58342210390560301</v>
      </c>
      <c r="I50">
        <f>_xll.acq_options_binomial_american_greeks(I$31,$F50,$C$5,$C$6,$C$8,$C$9,$C$7,FALSE)</f>
        <v>1.1193959009850235E-2</v>
      </c>
      <c r="J50">
        <f>_xll.acq_options_binomial_american_greeks(J$31,$F50,$C$5,$C$6,$C$8,$C$9,$C$7,FALSE)</f>
        <v>69.019607605815324</v>
      </c>
      <c r="K50">
        <f>_xll.acq_options_binomial_american_greeks(K$31,$F50,$C$5,$C$6,$C$8,$C$9,$C$7,FALSE)</f>
        <v>143.99398478559533</v>
      </c>
      <c r="L50">
        <f>_xll.acq_options_binomial_american_greeks(L$31,$F50,$C$5,$C$6,$C$8,$C$9,$C$7,FALSE)</f>
        <v>1.355260949686965</v>
      </c>
      <c r="M50">
        <f>_xll.acq_options_binomial_american_greeks(M$31,$F50,$C$5,$C$6,$C$8,$C$9,$C$7,FALSE)</f>
        <v>-97.693498495376119</v>
      </c>
      <c r="N50">
        <f>_xll.acq_options_binomial_american_greeks(N$31,$F50,$C$5,$C$6,$C$8,$C$9,$C$7,FALSE)</f>
        <v>-1.4121944331115799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_xll.acq_options_binomial_american_greeks(G$31,$F51,$C$5,$C$6,$C$8,$C$9,$C$7,FALSE)</f>
        <v>20.529319339336379</v>
      </c>
      <c r="H51">
        <f>_xll.acq_options_binomial_american_greeks(H$31,$F51,$C$5,$C$6,$C$8,$C$9,$C$7,FALSE)</f>
        <v>-0.45755880360593332</v>
      </c>
      <c r="I51">
        <f>_xll.acq_options_binomial_american_greeks(I$31,$F51,$C$5,$C$6,$C$8,$C$9,$C$7,FALSE)</f>
        <v>1.7545605667132987E-2</v>
      </c>
      <c r="J51">
        <f>_xll.acq_options_binomial_american_greeks(J$31,$F51,$C$5,$C$6,$C$8,$C$9,$C$7,FALSE)</f>
        <v>79.537114264825277</v>
      </c>
      <c r="K51">
        <f>_xll.acq_options_binomial_american_greeks(K$31,$F51,$C$5,$C$6,$C$8,$C$9,$C$7,FALSE)</f>
        <v>46.342422983514098</v>
      </c>
      <c r="L51">
        <f>_xll.acq_options_binomial_american_greeks(L$31,$F51,$C$5,$C$6,$C$8,$C$9,$C$7,FALSE)</f>
        <v>1.4873137432758199</v>
      </c>
      <c r="M51">
        <f>_xll.acq_options_binomial_american_greeks(M$31,$F51,$C$5,$C$6,$C$8,$C$9,$C$7,FALSE)</f>
        <v>-103.82610656881575</v>
      </c>
      <c r="N51">
        <f>_xll.acq_options_binomial_american_greeks(N$31,$F51,$C$5,$C$6,$C$8,$C$9,$C$7,FALSE)</f>
        <v>-1.8152021949688901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_xll.acq_options_binomial_american_greeks(G$31,$F52,$C$5,$C$6,$C$8,$C$9,$C$7,FALSE)</f>
        <v>16.378604252576686</v>
      </c>
      <c r="H52">
        <f>_xll.acq_options_binomial_american_greeks(H$31,$F52,$C$5,$C$6,$C$8,$C$9,$C$7,FALSE)</f>
        <v>-0.37349516746284434</v>
      </c>
      <c r="I52">
        <f>_xll.acq_options_binomial_american_greeks(I$31,$F52,$C$5,$C$6,$C$8,$C$9,$C$7,FALSE)</f>
        <v>8.10973922840377E-2</v>
      </c>
      <c r="J52">
        <f>_xll.acq_options_binomial_american_greeks(J$31,$F52,$C$5,$C$6,$C$8,$C$9,$C$7,FALSE)</f>
        <v>83.01222734064055</v>
      </c>
      <c r="K52">
        <f>_xll.acq_options_binomial_american_greeks(K$31,$F52,$C$5,$C$6,$C$8,$C$9,$C$7,FALSE)</f>
        <v>17.750951514017288</v>
      </c>
      <c r="L52">
        <f>_xll.acq_options_binomial_american_greeks(L$31,$F52,$C$5,$C$6,$C$8,$C$9,$C$7,FALSE)</f>
        <v>0.11649096531840542</v>
      </c>
      <c r="M52">
        <f>_xll.acq_options_binomial_american_greeks(M$31,$F52,$C$5,$C$6,$C$8,$C$9,$C$7,FALSE)</f>
        <v>-101.43057264356514</v>
      </c>
      <c r="N52">
        <f>_xll.acq_options_binomial_american_greeks(N$31,$F52,$C$5,$C$6,$C$8,$C$9,$C$7,FALSE)</f>
        <v>-2.0426651712917021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_xll.acq_options_binomial_american_greeks(G$31,$F53,$C$5,$C$6,$C$8,$C$9,$C$7,FALSE)</f>
        <v>13.064178901247107</v>
      </c>
      <c r="H53">
        <f>_xll.acq_options_binomial_american_greeks(H$31,$F53,$C$5,$C$6,$C$8,$C$9,$C$7,FALSE)</f>
        <v>-0.3015324714407519</v>
      </c>
      <c r="I53">
        <f>_xll.acq_options_binomial_american_greeks(I$31,$F53,$C$5,$C$6,$C$8,$C$9,$C$7,FALSE)</f>
        <v>3.1186186272291749E-3</v>
      </c>
      <c r="J53">
        <f>_xll.acq_options_binomial_american_greeks(J$31,$F53,$C$5,$C$6,$C$8,$C$9,$C$7,FALSE)</f>
        <v>82.758584433465217</v>
      </c>
      <c r="K53">
        <f>_xll.acq_options_binomial_american_greeks(K$31,$F53,$C$5,$C$6,$C$8,$C$9,$C$7,FALSE)</f>
        <v>37.902429166791762</v>
      </c>
      <c r="L53">
        <f>_xll.acq_options_binomial_american_greeks(L$31,$F53,$C$5,$C$6,$C$8,$C$9,$C$7,FALSE)</f>
        <v>-6.4971204860597709E-2</v>
      </c>
      <c r="M53">
        <f>_xll.acq_options_binomial_american_greeks(M$31,$F53,$C$5,$C$6,$C$8,$C$9,$C$7,FALSE)</f>
        <v>-94.61045354549924</v>
      </c>
      <c r="N53">
        <f>_xll.acq_options_binomial_american_greeks(N$31,$F53,$C$5,$C$6,$C$8,$C$9,$C$7,FALSE)</f>
        <v>-2.1744266617886865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_xll.acq_options_binomial_american_greeks(G$31,$F54,$C$5,$C$6,$C$8,$C$9,$C$7,FALSE)</f>
        <v>10.414585486521755</v>
      </c>
      <c r="H54">
        <f>_xll.acq_options_binomial_american_greeks(H$31,$F54,$C$5,$C$6,$C$8,$C$9,$C$7,FALSE)</f>
        <v>-0.23658976884919225</v>
      </c>
      <c r="I54">
        <f>_xll.acq_options_binomial_american_greeks(I$31,$F54,$C$5,$C$6,$C$8,$C$9,$C$7,FALSE)</f>
        <v>2.3684641677966601E-3</v>
      </c>
      <c r="J54">
        <f>_xll.acq_options_binomial_american_greeks(J$31,$F54,$C$5,$C$6,$C$8,$C$9,$C$7,FALSE)</f>
        <v>79.233865331409461</v>
      </c>
      <c r="K54">
        <f>_xll.acq_options_binomial_american_greeks(K$31,$F54,$C$5,$C$6,$C$8,$C$9,$C$7,FALSE)</f>
        <v>65.744231370956641</v>
      </c>
      <c r="L54">
        <f>_xll.acq_options_binomial_american_greeks(L$31,$F54,$C$5,$C$6,$C$8,$C$9,$C$7,FALSE)</f>
        <v>-0.14957109595314932</v>
      </c>
      <c r="M54">
        <f>_xll.acq_options_binomial_american_greeks(M$31,$F54,$C$5,$C$6,$C$8,$C$9,$C$7,FALSE)</f>
        <v>-85.493522714020102</v>
      </c>
      <c r="N54">
        <f>_xll.acq_options_binomial_american_greeks(N$31,$F54,$C$5,$C$6,$C$8,$C$9,$C$7,FALSE)</f>
        <v>-2.1901279545879504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_xll.acq_options_binomial_american_greeks(G$31,$F55,$C$5,$C$6,$C$8,$C$9,$C$7,FALSE)</f>
        <v>8.2906052849119263</v>
      </c>
      <c r="H55">
        <f>_xll.acq_options_binomial_american_greeks(H$31,$F55,$C$5,$C$6,$C$8,$C$9,$C$7,FALSE)</f>
        <v>-0.18388404707029909</v>
      </c>
      <c r="I55">
        <f>_xll.acq_options_binomial_american_greeks(I$31,$F55,$C$5,$C$6,$C$8,$C$9,$C$7,FALSE)</f>
        <v>1.9879113209874E-3</v>
      </c>
      <c r="J55">
        <f>_xll.acq_options_binomial_american_greeks(J$31,$F55,$C$5,$C$6,$C$8,$C$9,$C$7,FALSE)</f>
        <v>73.472132861984221</v>
      </c>
      <c r="K55">
        <f>_xll.acq_options_binomial_american_greeks(K$31,$F55,$C$5,$C$6,$C$8,$C$9,$C$7,FALSE)</f>
        <v>98.51208101707698</v>
      </c>
      <c r="L55">
        <f>_xll.acq_options_binomial_american_greeks(L$31,$F55,$C$5,$C$6,$C$8,$C$9,$C$7,FALSE)</f>
        <v>-0.22954692724397319</v>
      </c>
      <c r="M55">
        <f>_xll.acq_options_binomial_american_greeks(M$31,$F55,$C$5,$C$6,$C$8,$C$9,$C$7,FALSE)</f>
        <v>-75.487511383808936</v>
      </c>
      <c r="N55">
        <f>_xll.acq_options_binomial_american_greeks(N$31,$F55,$C$5,$C$6,$C$8,$C$9,$C$7,FALSE)</f>
        <v>-2.1112875738502623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_xll.acq_options_binomial_american_greeks(G$31,$F56,$C$5,$C$6,$C$8,$C$9,$C$7,FALSE)</f>
        <v>6.6081901894160353</v>
      </c>
      <c r="H56">
        <f>_xll.acq_options_binomial_american_greeks(H$31,$F56,$C$5,$C$6,$C$8,$C$9,$C$7,FALSE)</f>
        <v>-0.15228467425900086</v>
      </c>
      <c r="I56">
        <f>_xll.acq_options_binomial_american_greeks(I$31,$F56,$C$5,$C$6,$C$8,$C$9,$C$7,FALSE)</f>
        <v>1.0738727936558503E-3</v>
      </c>
      <c r="J56">
        <f>_xll.acq_options_binomial_american_greeks(J$31,$F56,$C$5,$C$6,$C$8,$C$9,$C$7,FALSE)</f>
        <v>68.407449410813499</v>
      </c>
      <c r="K56">
        <f>_xll.acq_options_binomial_american_greeks(K$31,$F56,$C$5,$C$6,$C$8,$C$9,$C$7,FALSE)</f>
        <v>120.4651042243654</v>
      </c>
      <c r="L56">
        <f>_xll.acq_options_binomial_american_greeks(L$31,$F56,$C$5,$C$6,$C$8,$C$9,$C$7,FALSE)</f>
        <v>-0.2339520708272147</v>
      </c>
      <c r="M56">
        <f>_xll.acq_options_binomial_american_greeks(M$31,$F56,$C$5,$C$6,$C$8,$C$9,$C$7,FALSE)</f>
        <v>-65.739523841137341</v>
      </c>
      <c r="N56">
        <f>_xll.acq_options_binomial_american_greeks(N$31,$F56,$C$5,$C$6,$C$8,$C$9,$C$7,FALSE)</f>
        <v>-2.0618542795149963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_xll.acq_options_binomial_american_greeks(G$31,$F57,$C$5,$C$6,$C$8,$C$9,$C$7,FALSE)</f>
        <v>5.2592397761285765</v>
      </c>
      <c r="H57">
        <f>_xll.acq_options_binomial_american_greeks(H$31,$F57,$C$5,$C$6,$C$8,$C$9,$C$7,FALSE)</f>
        <v>-0.1155444655295601</v>
      </c>
      <c r="I57">
        <f>_xll.acq_options_binomial_american_greeks(I$31,$F57,$C$5,$C$6,$C$8,$C$9,$C$7,FALSE)</f>
        <v>1.4439596922155571E-3</v>
      </c>
      <c r="J57">
        <f>_xll.acq_options_binomial_american_greeks(J$31,$F57,$C$5,$C$6,$C$8,$C$9,$C$7,FALSE)</f>
        <v>60.565883962435173</v>
      </c>
      <c r="K57">
        <f>_xll.acq_options_binomial_american_greeks(K$31,$F57,$C$5,$C$6,$C$8,$C$9,$C$7,FALSE)</f>
        <v>164.33558030115591</v>
      </c>
      <c r="L57">
        <f>_xll.acq_options_binomial_american_greeks(L$31,$F57,$C$5,$C$6,$C$8,$C$9,$C$7,FALSE)</f>
        <v>-0.323655884315599</v>
      </c>
      <c r="M57">
        <f>_xll.acq_options_binomial_american_greeks(M$31,$F57,$C$5,$C$6,$C$8,$C$9,$C$7,FALSE)</f>
        <v>-56.4812235501293</v>
      </c>
      <c r="N57">
        <f>_xll.acq_options_binomial_american_greeks(N$31,$F57,$C$5,$C$6,$C$8,$C$9,$C$7,FALSE)</f>
        <v>-1.8621640523202032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06DC-E156-44EA-9FFD-8AC3A3C029D9}">
  <dimension ref="A1:AB57"/>
  <sheetViews>
    <sheetView topLeftCell="E1" workbookViewId="0">
      <selection activeCell="K32" sqref="K32:K41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7" t="s">
        <v>162</v>
      </c>
      <c r="B1" s="57"/>
      <c r="C1" s="57"/>
      <c r="D1" s="57"/>
      <c r="E1" s="57"/>
      <c r="F1" s="57"/>
      <c r="G1" s="57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6" t="s">
        <v>171</v>
      </c>
      <c r="G3" s="56"/>
      <c r="H3" s="56"/>
      <c r="I3" s="56" t="s">
        <v>163</v>
      </c>
      <c r="J3" s="56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_xll.acq_options_trinomial_american_price($C$4,F5,$C$6,$C$8,$C$9,$C$7,TRUE)</f>
        <v>70.000000000000213</v>
      </c>
      <c r="H5">
        <f>_xll.acq_options_trinomial_american_price($C$4,F5,$C$6,$C$8,$C$9,$C$7,FALSE)</f>
        <v>1.9838432261221024E-8</v>
      </c>
      <c r="I5">
        <f>_xll.acq_options_binomial_american_price($C$4,F5,$C$6,$C$8,$C$9,$C$7,TRUE)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_xll.acq_options_trinomial_american_price(M$4,$C$5,$L5,$C$8,$C$9,$C$7,TRUE)</f>
        <v>6.5811661543634011E-5</v>
      </c>
      <c r="N5">
        <f>_xll.acq_options_trinomial_american_price(N$4,$C$5,$L5,$C$8,$C$9,$C$7,TRUE)</f>
        <v>1.4853320495123949E-2</v>
      </c>
      <c r="O5">
        <f>_xll.acq_options_trinomial_american_price(O$4,$C$5,$L5,$C$8,$C$9,$C$7,TRUE)</f>
        <v>0.46364045278828864</v>
      </c>
      <c r="P5">
        <f>_xll.acq_options_trinomial_american_price(P$4,$C$5,$L5,$C$8,$C$9,$C$7,TRUE)</f>
        <v>3.52862579254663</v>
      </c>
      <c r="Q5">
        <f>_xll.acq_options_trinomial_american_price(Q$4,$C$5,$L5,$C$8,$C$9,$C$7,TRUE)</f>
        <v>10.855040838271535</v>
      </c>
      <c r="R5">
        <f>_xll.acq_options_trinomial_american_price(R$4,$C$5,$L5,$C$8,$C$9,$C$7,TRUE)</f>
        <v>20.398509866481888</v>
      </c>
      <c r="S5">
        <f>_xll.acq_options_trinomial_american_price(S$4,$C$5,$L5,$C$8,$C$9,$C$7,TRUE)</f>
        <v>30.36047809121526</v>
      </c>
      <c r="U5" s="45">
        <v>0.05</v>
      </c>
      <c r="V5">
        <f>_xll.acq_options_trinomial_american_price(V$4,$C$5,$U5,$C$8,$C$9,$C$7,FALSE)</f>
        <v>30.000000000000085</v>
      </c>
      <c r="W5">
        <f>_xll.acq_options_trinomial_american_price(W$4,$C$5,$U5,$C$8,$C$9,$C$7,FALSE)</f>
        <v>19.999999999999972</v>
      </c>
      <c r="X5">
        <f>_xll.acq_options_trinomial_american_price(X$4,$C$5,$U5,$C$8,$C$9,$C$7,FALSE)</f>
        <v>10.226197462781149</v>
      </c>
      <c r="Y5">
        <f>_xll.acq_options_trinomial_american_price(Y$4,$C$5,$U5,$C$8,$C$9,$C$7,FALSE)</f>
        <v>3.1795489421630068</v>
      </c>
      <c r="Z5">
        <f>_xll.acq_options_trinomial_american_price(Z$4,$C$5,$U5,$C$8,$C$9,$C$7,FALSE)</f>
        <v>0.48808970976072674</v>
      </c>
      <c r="AA5">
        <f>_xll.acq_options_trinomial_american_price(AA$4,$C$5,$U5,$C$8,$C$9,$C$7,FALSE)</f>
        <v>3.4278303552810786E-2</v>
      </c>
      <c r="AB5">
        <f>_xll.acq_options_trinomial_american_price(AB$4,$C$5,$U5,$C$8,$C$9,$C$7,FALSE)</f>
        <v>1.1327941221592392E-3</v>
      </c>
    </row>
    <row r="6" spans="1:28" x14ac:dyDescent="0.25">
      <c r="B6" t="s">
        <v>88</v>
      </c>
      <c r="C6" s="5">
        <v>2.5</v>
      </c>
      <c r="F6">
        <v>20</v>
      </c>
      <c r="G6">
        <f>_xll.acq_options_trinomial_american_price($C$4,F6,$C$6,$C$8,$C$9,$C$7,TRUE)</f>
        <v>60.847772819259603</v>
      </c>
      <c r="H6">
        <f>_xll.acq_options_trinomial_american_price($C$4,F6,$C$6,$C$8,$C$9,$C$7,FALSE)</f>
        <v>2.2423861839803312E-4</v>
      </c>
      <c r="I6">
        <f>_xll.acq_options_binomial_american_price($C$4,F6,$C$6,$C$8,$C$9,$C$7,TRUE)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_xll.acq_options_trinomial_american_price(M$4,$C$5,$L6,$C$8,$C$9,$C$7,TRUE)</f>
        <v>9.1645857129566896E-3</v>
      </c>
      <c r="N6">
        <f>_xll.acq_options_trinomial_american_price(N$4,$C$5,$L6,$C$8,$C$9,$C$7,TRUE)</f>
        <v>0.17915071269295163</v>
      </c>
      <c r="O6">
        <f>_xll.acq_options_trinomial_american_price(O$4,$C$5,$L6,$C$8,$C$9,$C$7,TRUE)</f>
        <v>1.3489992315588435</v>
      </c>
      <c r="P6">
        <f>_xll.acq_options_trinomial_american_price(P$4,$C$5,$L6,$C$8,$C$9,$C$7,TRUE)</f>
        <v>5.0950595830636516</v>
      </c>
      <c r="Q6">
        <f>_xll.acq_options_trinomial_american_price(Q$4,$C$5,$L6,$C$8,$C$9,$C$7,TRUE)</f>
        <v>12.008590642158183</v>
      </c>
      <c r="R6">
        <f>_xll.acq_options_trinomial_american_price(R$4,$C$5,$L6,$C$8,$C$9,$C$7,TRUE)</f>
        <v>20.988581791503378</v>
      </c>
      <c r="S6">
        <f>_xll.acq_options_trinomial_american_price(S$4,$C$5,$L6,$C$8,$C$9,$C$7,TRUE)</f>
        <v>30.755912659617906</v>
      </c>
      <c r="U6" s="45">
        <v>0.1</v>
      </c>
      <c r="V6">
        <f>_xll.acq_options_trinomial_american_price(V$4,$C$5,$U6,$C$8,$C$9,$C$7,FALSE)</f>
        <v>30.000000000000199</v>
      </c>
      <c r="W6">
        <f>_xll.acq_options_trinomial_american_price(W$4,$C$5,$U6,$C$8,$C$9,$C$7,FALSE)</f>
        <v>20.000000000000085</v>
      </c>
      <c r="X6">
        <f>_xll.acq_options_trinomial_american_price(X$4,$C$5,$U6,$C$8,$C$9,$C$7,FALSE)</f>
        <v>10.79701560439727</v>
      </c>
      <c r="Y6">
        <f>_xll.acq_options_trinomial_american_price(Y$4,$C$5,$U6,$C$8,$C$9,$C$7,FALSE)</f>
        <v>4.4035301670215343</v>
      </c>
      <c r="Z6">
        <f>_xll.acq_options_trinomial_american_price(Z$4,$C$5,$U6,$C$8,$C$9,$C$7,FALSE)</f>
        <v>1.2826416600147355</v>
      </c>
      <c r="AA6">
        <f>_xll.acq_options_trinomial_american_price(AA$4,$C$5,$U6,$C$8,$C$9,$C$7,FALSE)</f>
        <v>0.26293782528294918</v>
      </c>
      <c r="AB6">
        <f>_xll.acq_options_trinomial_american_price(AB$4,$C$5,$U6,$C$8,$C$9,$C$7,FALSE)</f>
        <v>3.8715834382848799E-2</v>
      </c>
    </row>
    <row r="7" spans="1:28" x14ac:dyDescent="0.25">
      <c r="B7" t="s">
        <v>89</v>
      </c>
      <c r="C7" s="5">
        <v>0.25</v>
      </c>
      <c r="F7">
        <v>30</v>
      </c>
      <c r="G7">
        <f>_xll.acq_options_trinomial_american_price($C$4,F7,$C$6,$C$8,$C$9,$C$7,TRUE)</f>
        <v>52.220007038152701</v>
      </c>
      <c r="H7">
        <f>_xll.acq_options_trinomial_american_price($C$4,F7,$C$6,$C$8,$C$9,$C$7,FALSE)</f>
        <v>1.3987024133038886E-2</v>
      </c>
      <c r="I7">
        <f>_xll.acq_options_binomial_american_price($C$4,F7,$C$6,$C$8,$C$9,$C$7,TRUE)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_xll.acq_options_trinomial_american_price(M$4,$C$5,$L7,$C$8,$C$9,$C$7,TRUE)</f>
        <v>5.8281683919017446E-2</v>
      </c>
      <c r="N7">
        <f>_xll.acq_options_trinomial_american_price(N$4,$C$5,$L7,$C$8,$C$9,$C$7,TRUE)</f>
        <v>0.49227592435631862</v>
      </c>
      <c r="O7">
        <f>_xll.acq_options_trinomial_american_price(O$4,$C$5,$L7,$C$8,$C$9,$C$7,TRUE)</f>
        <v>2.2217511615056793</v>
      </c>
      <c r="P7">
        <f>_xll.acq_options_trinomial_american_price(P$4,$C$5,$L7,$C$8,$C$9,$C$7,TRUE)</f>
        <v>6.3369373653533154</v>
      </c>
      <c r="Q7">
        <f>_xll.acq_options_trinomial_american_price(Q$4,$C$5,$L7,$C$8,$C$9,$C$7,TRUE)</f>
        <v>13.081304380957619</v>
      </c>
      <c r="R7">
        <f>_xll.acq_options_trinomial_american_price(R$4,$C$5,$L7,$C$8,$C$9,$C$7,TRUE)</f>
        <v>21.691030346711067</v>
      </c>
      <c r="S7">
        <f>_xll.acq_options_trinomial_american_price(S$4,$C$5,$L7,$C$8,$C$9,$C$7,TRUE)</f>
        <v>31.223155382457456</v>
      </c>
      <c r="U7" s="45">
        <v>0.15</v>
      </c>
      <c r="V7">
        <f>_xll.acq_options_trinomial_american_price(V$4,$C$5,$U7,$C$8,$C$9,$C$7,FALSE)</f>
        <v>29.999999999999929</v>
      </c>
      <c r="W7">
        <f>_xll.acq_options_trinomial_american_price(W$4,$C$5,$U7,$C$8,$C$9,$C$7,FALSE)</f>
        <v>20.027540247320772</v>
      </c>
      <c r="X7">
        <f>_xll.acq_options_trinomial_american_price(X$4,$C$5,$U7,$C$8,$C$9,$C$7,FALSE)</f>
        <v>11.354718221411151</v>
      </c>
      <c r="Y7">
        <f>_xll.acq_options_trinomial_american_price(Y$4,$C$5,$U7,$C$8,$C$9,$C$7,FALSE)</f>
        <v>5.3069876502496989</v>
      </c>
      <c r="Z7">
        <f>_xll.acq_options_trinomial_american_price(Z$4,$C$5,$U7,$C$8,$C$9,$C$7,FALSE)</f>
        <v>2.0019992873387218</v>
      </c>
      <c r="AA7">
        <f>_xll.acq_options_trinomial_american_price(AA$4,$C$5,$U7,$C$8,$C$9,$C$7,FALSE)</f>
        <v>0.6077206433870892</v>
      </c>
      <c r="AB7">
        <f>_xll.acq_options_trinomial_american_price(AB$4,$C$5,$U7,$C$8,$C$9,$C$7,FALSE)</f>
        <v>0.15017888415235259</v>
      </c>
    </row>
    <row r="8" spans="1:28" x14ac:dyDescent="0.25">
      <c r="B8" t="s">
        <v>90</v>
      </c>
      <c r="C8" s="51">
        <v>0.06</v>
      </c>
      <c r="F8">
        <v>40</v>
      </c>
      <c r="G8">
        <f>_xll.acq_options_trinomial_american_price($C$4,F8,$C$6,$C$8,$C$9,$C$7,TRUE)</f>
        <v>43.738567226021786</v>
      </c>
      <c r="H8">
        <f>_xll.acq_options_trinomial_american_price($C$4,F8,$C$6,$C$8,$C$9,$C$7,FALSE)</f>
        <v>0.15100831911655299</v>
      </c>
      <c r="I8">
        <f>_xll.acq_options_binomial_american_price($C$4,F8,$C$6,$C$8,$C$9,$C$7,TRUE)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_xll.acq_options_trinomial_american_price(M$4,$C$5,$L8,$C$8,$C$9,$C$7,TRUE)</f>
        <v>0.16162470623883596</v>
      </c>
      <c r="N8">
        <f>_xll.acq_options_trinomial_american_price(N$4,$C$5,$L8,$C$8,$C$9,$C$7,TRUE)</f>
        <v>0.88580745487160639</v>
      </c>
      <c r="O8">
        <f>_xll.acq_options_trinomial_american_price(O$4,$C$5,$L8,$C$8,$C$9,$C$7,TRUE)</f>
        <v>3.0451872574515662</v>
      </c>
      <c r="P8">
        <f>_xll.acq_options_trinomial_american_price(P$4,$C$5,$L8,$C$8,$C$9,$C$7,TRUE)</f>
        <v>7.410041073481759</v>
      </c>
      <c r="Q8">
        <f>_xll.acq_options_trinomial_american_price(Q$4,$C$5,$L8,$C$8,$C$9,$C$7,TRUE)</f>
        <v>14.066117154378297</v>
      </c>
      <c r="R8">
        <f>_xll.acq_options_trinomial_american_price(R$4,$C$5,$L8,$C$8,$C$9,$C$7,TRUE)</f>
        <v>22.425386783360366</v>
      </c>
      <c r="S8">
        <f>_xll.acq_options_trinomial_american_price(S$4,$C$5,$L8,$C$8,$C$9,$C$7,TRUE)</f>
        <v>31.746623210254739</v>
      </c>
      <c r="U8" s="45">
        <v>0.2</v>
      </c>
      <c r="V8">
        <f>_xll.acq_options_trinomial_american_price(V$4,$C$5,$U8,$C$8,$C$9,$C$7,FALSE)</f>
        <v>30.000000000000185</v>
      </c>
      <c r="W8">
        <f>_xll.acq_options_trinomial_american_price(W$4,$C$5,$U8,$C$8,$C$9,$C$7,FALSE)</f>
        <v>20.130233975096523</v>
      </c>
      <c r="X8">
        <f>_xll.acq_options_trinomial_american_price(X$4,$C$5,$U8,$C$8,$C$9,$C$7,FALSE)</f>
        <v>11.863670749603795</v>
      </c>
      <c r="Y8">
        <f>_xll.acq_options_trinomial_american_price(Y$4,$C$5,$U8,$C$8,$C$9,$C$7,FALSE)</f>
        <v>6.044955471754049</v>
      </c>
      <c r="Z8">
        <f>_xll.acq_options_trinomial_american_price(Z$4,$C$5,$U8,$C$8,$C$9,$C$7,FALSE)</f>
        <v>2.6381652660452843</v>
      </c>
      <c r="AA8">
        <f>_xll.acq_options_trinomial_american_price(AA$4,$C$5,$U8,$C$8,$C$9,$C$7,FALSE)</f>
        <v>0.9881934849560724</v>
      </c>
      <c r="AB8">
        <f>_xll.acq_options_trinomial_american_price(AB$4,$C$5,$U8,$C$8,$C$9,$C$7,FALSE)</f>
        <v>0.32032745154300857</v>
      </c>
    </row>
    <row r="9" spans="1:28" x14ac:dyDescent="0.25">
      <c r="B9" t="s">
        <v>123</v>
      </c>
      <c r="C9" s="52">
        <v>0.01</v>
      </c>
      <c r="F9">
        <v>50</v>
      </c>
      <c r="G9">
        <f>_xll.acq_options_trinomial_american_price($C$4,F9,$C$6,$C$8,$C$9,$C$7,TRUE)</f>
        <v>35.643398083535715</v>
      </c>
      <c r="H9">
        <f>_xll.acq_options_trinomial_american_price($C$4,F9,$C$6,$C$8,$C$9,$C$7,FALSE)</f>
        <v>0.70986511847276779</v>
      </c>
      <c r="I9">
        <f>_xll.acq_options_binomial_american_price($C$4,F9,$C$6,$C$8,$C$9,$C$7,TRUE)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_xll.acq_options_trinomial_american_price(M$4,$C$5,$L9,$C$8,$C$9,$C$7,TRUE)</f>
        <v>0.3144110871789122</v>
      </c>
      <c r="N9">
        <f>_xll.acq_options_trinomial_american_price(N$4,$C$5,$L9,$C$8,$C$9,$C$7,TRUE)</f>
        <v>1.3202894559431182</v>
      </c>
      <c r="O9">
        <f>_xll.acq_options_trinomial_american_price(O$4,$C$5,$L9,$C$8,$C$9,$C$7,TRUE)</f>
        <v>3.8223393462141626</v>
      </c>
      <c r="P9">
        <f>_xll.acq_options_trinomial_american_price(P$4,$C$5,$L9,$C$8,$C$9,$C$7,TRUE)</f>
        <v>8.3747711030235124</v>
      </c>
      <c r="Q9">
        <f>_xll.acq_options_trinomial_american_price(Q$4,$C$5,$L9,$C$8,$C$9,$C$7,TRUE)</f>
        <v>14.98326650509347</v>
      </c>
      <c r="R9">
        <f>_xll.acq_options_trinomial_american_price(R$4,$C$5,$L9,$C$8,$C$9,$C$7,TRUE)</f>
        <v>23.161128676621686</v>
      </c>
      <c r="S9">
        <f>_xll.acq_options_trinomial_american_price(S$4,$C$5,$L9,$C$8,$C$9,$C$7,TRUE)</f>
        <v>32.303747768878551</v>
      </c>
      <c r="U9" s="45">
        <v>0.25</v>
      </c>
      <c r="V9">
        <f>_xll.acq_options_trinomial_american_price(V$4,$C$5,$U9,$C$8,$C$9,$C$7,FALSE)</f>
        <v>29.999999999999986</v>
      </c>
      <c r="W9">
        <f>_xll.acq_options_trinomial_american_price(W$4,$C$5,$U9,$C$8,$C$9,$C$7,FALSE)</f>
        <v>20.273840359172304</v>
      </c>
      <c r="X9">
        <f>_xll.acq_options_trinomial_american_price(X$4,$C$5,$U9,$C$8,$C$9,$C$7,FALSE)</f>
        <v>12.32738795120579</v>
      </c>
      <c r="Y9">
        <f>_xll.acq_options_trinomial_american_price(Y$4,$C$5,$U9,$C$8,$C$9,$C$7,FALSE)</f>
        <v>6.6774308747271025</v>
      </c>
      <c r="Z9">
        <f>_xll.acq_options_trinomial_american_price(Z$4,$C$5,$U9,$C$8,$C$9,$C$7,FALSE)</f>
        <v>3.2103894257139354</v>
      </c>
      <c r="AA9">
        <f>_xll.acq_options_trinomial_american_price(AA$4,$C$5,$U9,$C$8,$C$9,$C$7,FALSE)</f>
        <v>1.3735511064280412</v>
      </c>
      <c r="AB9">
        <f>_xll.acq_options_trinomial_american_price(AB$4,$C$5,$U9,$C$8,$C$9,$C$7,FALSE)</f>
        <v>0.52673195031613174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_xll.acq_options_trinomial_american_price($C$4,F10,$C$6,$C$8,$C$9,$C$7,TRUE)</f>
        <v>28.280674045228338</v>
      </c>
      <c r="H10">
        <f>_xll.acq_options_trinomial_american_price($C$4,F10,$C$6,$C$8,$C$9,$C$7,FALSE)</f>
        <v>2.1047198985511906</v>
      </c>
      <c r="I10">
        <f>_xll.acq_options_binomial_american_price($C$4,F10,$C$6,$C$8,$C$9,$C$7,TRUE)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_xll.acq_options_trinomial_american_price(M$4,$C$5,$L10,$C$8,$C$9,$C$7,TRUE)</f>
        <v>0.50769104269142729</v>
      </c>
      <c r="N10">
        <f>_xll.acq_options_trinomial_american_price(N$4,$C$5,$L10,$C$8,$C$9,$C$7,TRUE)</f>
        <v>1.7778387760123833</v>
      </c>
      <c r="O10">
        <f>_xll.acq_options_trinomial_american_price(O$4,$C$5,$L10,$C$8,$C$9,$C$7,TRUE)</f>
        <v>4.5568106134532087</v>
      </c>
      <c r="P10">
        <f>_xll.acq_options_trinomial_american_price(P$4,$C$5,$L10,$C$8,$C$9,$C$7,TRUE)</f>
        <v>9.2621341511634725</v>
      </c>
      <c r="Q10">
        <f>_xll.acq_options_trinomial_american_price(Q$4,$C$5,$L10,$C$8,$C$9,$C$7,TRUE)</f>
        <v>15.84578688418004</v>
      </c>
      <c r="R10">
        <f>_xll.acq_options_trinomial_american_price(R$4,$C$5,$L10,$C$8,$C$9,$C$7,TRUE)</f>
        <v>23.888147977210355</v>
      </c>
      <c r="S10">
        <f>_xll.acq_options_trinomial_american_price(S$4,$C$5,$L10,$C$8,$C$9,$C$7,TRUE)</f>
        <v>32.879919741836993</v>
      </c>
      <c r="U10" s="45">
        <v>0.3</v>
      </c>
      <c r="V10">
        <f>_xll.acq_options_trinomial_american_price(V$4,$C$5,$U10,$C$8,$C$9,$C$7,FALSE)</f>
        <v>29.999999999999787</v>
      </c>
      <c r="W10">
        <f>_xll.acq_options_trinomial_american_price(W$4,$C$5,$U10,$C$8,$C$9,$C$7,FALSE)</f>
        <v>20.439543416987355</v>
      </c>
      <c r="X10">
        <f>_xll.acq_options_trinomial_american_price(X$4,$C$5,$U10,$C$8,$C$9,$C$7,FALSE)</f>
        <v>12.750485718427022</v>
      </c>
      <c r="Y10">
        <f>_xll.acq_options_trinomial_american_price(Y$4,$C$5,$U10,$C$8,$C$9,$C$7,FALSE)</f>
        <v>7.2351698299700491</v>
      </c>
      <c r="Z10">
        <f>_xll.acq_options_trinomial_american_price(Z$4,$C$5,$U10,$C$8,$C$9,$C$7,FALSE)</f>
        <v>3.7312282242018417</v>
      </c>
      <c r="AA10">
        <f>_xll.acq_options_trinomial_american_price(AA$4,$C$5,$U10,$C$8,$C$9,$C$7,FALSE)</f>
        <v>1.7531906557883647</v>
      </c>
      <c r="AB10">
        <f>_xll.acq_options_trinomial_american_price(AB$4,$C$5,$U10,$C$8,$C$9,$C$7,FALSE)</f>
        <v>0.75481701955429736</v>
      </c>
    </row>
    <row r="11" spans="1:28" x14ac:dyDescent="0.25">
      <c r="B11" t="s">
        <v>161</v>
      </c>
      <c r="C11" s="50">
        <f>C8-C9</f>
        <v>4.9999999999999996E-2</v>
      </c>
      <c r="F11">
        <v>70</v>
      </c>
      <c r="G11">
        <f>_xll.acq_options_trinomial_american_price($C$4,F11,$C$6,$C$8,$C$9,$C$7,TRUE)</f>
        <v>21.914633440579323</v>
      </c>
      <c r="H11">
        <f>_xll.acq_options_trinomial_american_price($C$4,F11,$C$6,$C$8,$C$9,$C$7,FALSE)</f>
        <v>4.7021645271668788</v>
      </c>
      <c r="I11">
        <f>_xll.acq_options_binomial_american_price($C$4,F11,$C$6,$C$8,$C$9,$C$7,TRUE)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_xll.acq_options_trinomial_american_price(M$4,$C$5,$L11,$C$8,$C$9,$C$7,TRUE)</f>
        <v>0.73200756785021959</v>
      </c>
      <c r="N11">
        <f>_xll.acq_options_trinomial_american_price(N$4,$C$5,$L11,$C$8,$C$9,$C$7,TRUE)</f>
        <v>2.2434682547766864</v>
      </c>
      <c r="O11">
        <f>_xll.acq_options_trinomial_american_price(O$4,$C$5,$L11,$C$8,$C$9,$C$7,TRUE)</f>
        <v>5.2624726780933635</v>
      </c>
      <c r="P11">
        <f>_xll.acq_options_trinomial_american_price(P$4,$C$5,$L11,$C$8,$C$9,$C$7,TRUE)</f>
        <v>10.09056724897367</v>
      </c>
      <c r="Q11">
        <f>_xll.acq_options_trinomial_american_price(Q$4,$C$5,$L11,$C$8,$C$9,$C$7,TRUE)</f>
        <v>16.658474618777213</v>
      </c>
      <c r="R11">
        <f>_xll.acq_options_trinomial_american_price(R$4,$C$5,$L11,$C$8,$C$9,$C$7,TRUE)</f>
        <v>24.599123925907669</v>
      </c>
      <c r="S11">
        <f>_xll.acq_options_trinomial_american_price(S$4,$C$5,$L11,$C$8,$C$9,$C$7,TRUE)</f>
        <v>33.46654740232654</v>
      </c>
      <c r="U11" s="45">
        <v>0.35</v>
      </c>
      <c r="V11">
        <f>_xll.acq_options_trinomial_american_price(V$4,$C$5,$U11,$C$8,$C$9,$C$7,FALSE)</f>
        <v>29.999999999999986</v>
      </c>
      <c r="W11">
        <f>_xll.acq_options_trinomial_american_price(W$4,$C$5,$U11,$C$8,$C$9,$C$7,FALSE)</f>
        <v>20.614603025128417</v>
      </c>
      <c r="X11">
        <f>_xll.acq_options_trinomial_american_price(X$4,$C$5,$U11,$C$8,$C$9,$C$7,FALSE)</f>
        <v>13.14453255743474</v>
      </c>
      <c r="Y11">
        <f>_xll.acq_options_trinomial_american_price(Y$4,$C$5,$U11,$C$8,$C$9,$C$7,FALSE)</f>
        <v>7.7364178380503752</v>
      </c>
      <c r="Z11">
        <f>_xll.acq_options_trinomial_american_price(Z$4,$C$5,$U11,$C$8,$C$9,$C$7,FALSE)</f>
        <v>4.2058509474301715</v>
      </c>
      <c r="AA11">
        <f>_xll.acq_options_trinomial_american_price(AA$4,$C$5,$U11,$C$8,$C$9,$C$7,FALSE)</f>
        <v>2.1199121590359757</v>
      </c>
      <c r="AB11">
        <f>_xll.acq_options_trinomial_american_price(AB$4,$C$5,$U11,$C$8,$C$9,$C$7,FALSE)</f>
        <v>0.99582543304032711</v>
      </c>
    </row>
    <row r="12" spans="1:28" x14ac:dyDescent="0.25">
      <c r="F12">
        <v>80</v>
      </c>
      <c r="G12">
        <f>_xll.acq_options_trinomial_american_price($C$4,F12,$C$6,$C$8,$C$9,$C$7,TRUE)</f>
        <v>16.649674523995238</v>
      </c>
      <c r="H12">
        <f>_xll.acq_options_trinomial_american_price($C$4,F12,$C$6,$C$8,$C$9,$C$7,FALSE)</f>
        <v>8.7349163794104179</v>
      </c>
      <c r="I12">
        <f>_xll.acq_options_binomial_american_price($C$4,F12,$C$6,$C$8,$C$9,$C$7,TRUE)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_xll.acq_options_trinomial_american_price(M$4,$C$5,$L12,$C$8,$C$9,$C$7,TRUE)</f>
        <v>0.9813774091381352</v>
      </c>
      <c r="N12">
        <f>_xll.acq_options_trinomial_american_price(N$4,$C$5,$L12,$C$8,$C$9,$C$7,TRUE)</f>
        <v>2.7131387166277898</v>
      </c>
      <c r="O12">
        <f>_xll.acq_options_trinomial_american_price(O$4,$C$5,$L12,$C$8,$C$9,$C$7,TRUE)</f>
        <v>5.9334231686976135</v>
      </c>
      <c r="P12">
        <f>_xll.acq_options_trinomial_american_price(P$4,$C$5,$L12,$C$8,$C$9,$C$7,TRUE)</f>
        <v>10.872094731398171</v>
      </c>
      <c r="Q12">
        <f>_xll.acq_options_trinomial_american_price(Q$4,$C$5,$L12,$C$8,$C$9,$C$7,TRUE)</f>
        <v>17.437397535649815</v>
      </c>
      <c r="R12">
        <f>_xll.acq_options_trinomial_american_price(R$4,$C$5,$L12,$C$8,$C$9,$C$7,TRUE)</f>
        <v>25.293880453192248</v>
      </c>
      <c r="S12">
        <f>_xll.acq_options_trinomial_american_price(S$4,$C$5,$L12,$C$8,$C$9,$C$7,TRUE)</f>
        <v>34.053948990328934</v>
      </c>
      <c r="U12" s="45">
        <v>0.4</v>
      </c>
      <c r="V12">
        <f>_xll.acq_options_trinomial_american_price(V$4,$C$5,$U12,$C$8,$C$9,$C$7,FALSE)</f>
        <v>29.999999999999915</v>
      </c>
      <c r="W12">
        <f>_xll.acq_options_trinomial_american_price(W$4,$C$5,$U12,$C$8,$C$9,$C$7,FALSE)</f>
        <v>20.794210982378068</v>
      </c>
      <c r="X12">
        <f>_xll.acq_options_trinomial_american_price(X$4,$C$5,$U12,$C$8,$C$9,$C$7,FALSE)</f>
        <v>13.506746451173825</v>
      </c>
      <c r="Y12">
        <f>_xll.acq_options_trinomial_american_price(Y$4,$C$5,$U12,$C$8,$C$9,$C$7,FALSE)</f>
        <v>8.193054851452036</v>
      </c>
      <c r="Z12">
        <f>_xll.acq_options_trinomial_american_price(Z$4,$C$5,$U12,$C$8,$C$9,$C$7,FALSE)</f>
        <v>4.6485930564004097</v>
      </c>
      <c r="AA12">
        <f>_xll.acq_options_trinomial_american_price(AA$4,$C$5,$U12,$C$8,$C$9,$C$7,FALSE)</f>
        <v>2.4732539536102323</v>
      </c>
      <c r="AB12">
        <f>_xll.acq_options_trinomial_american_price(AB$4,$C$5,$U12,$C$8,$C$9,$C$7,FALSE)</f>
        <v>1.2402186145546668</v>
      </c>
    </row>
    <row r="13" spans="1:28" x14ac:dyDescent="0.25">
      <c r="F13">
        <v>90</v>
      </c>
      <c r="G13">
        <f>_xll.acq_options_trinomial_american_price($C$4,F13,$C$6,$C$8,$C$9,$C$7,TRUE)</f>
        <v>12.464444291200209</v>
      </c>
      <c r="H13">
        <f>_xll.acq_options_trinomial_american_price($C$4,F13,$C$6,$C$8,$C$9,$C$7,FALSE)</f>
        <v>14.31290857991136</v>
      </c>
      <c r="I13">
        <f>_xll.acq_options_binomial_american_price($C$4,F13,$C$6,$C$8,$C$9,$C$7,TRUE)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_xll.acq_options_trinomial_american_price(M$4,$C$5,$L13,$C$8,$C$9,$C$7,TRUE)</f>
        <v>1.2472535004205145</v>
      </c>
      <c r="N13">
        <f>_xll.acq_options_trinomial_american_price(N$4,$C$5,$L13,$C$8,$C$9,$C$7,TRUE)</f>
        <v>3.1831883229925362</v>
      </c>
      <c r="O13">
        <f>_xll.acq_options_trinomial_american_price(O$4,$C$5,$L13,$C$8,$C$9,$C$7,TRUE)</f>
        <v>6.5841069245434483</v>
      </c>
      <c r="P13">
        <f>_xll.acq_options_trinomial_american_price(P$4,$C$5,$L13,$C$8,$C$9,$C$7,TRUE)</f>
        <v>11.615076887740763</v>
      </c>
      <c r="Q13">
        <f>_xll.acq_options_trinomial_american_price(Q$4,$C$5,$L13,$C$8,$C$9,$C$7,TRUE)</f>
        <v>18.177924210000896</v>
      </c>
      <c r="R13">
        <f>_xll.acq_options_trinomial_american_price(R$4,$C$5,$L13,$C$8,$C$9,$C$7,TRUE)</f>
        <v>25.970486507851582</v>
      </c>
      <c r="S13">
        <f>_xll.acq_options_trinomial_american_price(S$4,$C$5,$L13,$C$8,$C$9,$C$7,TRUE)</f>
        <v>34.640512376596902</v>
      </c>
      <c r="U13" s="45">
        <v>0.45</v>
      </c>
      <c r="V13">
        <f>_xll.acq_options_trinomial_american_price(V$4,$C$5,$U13,$C$8,$C$9,$C$7,FALSE)</f>
        <v>30.000000000000085</v>
      </c>
      <c r="W13">
        <f>_xll.acq_options_trinomial_american_price(W$4,$C$5,$U13,$C$8,$C$9,$C$7,FALSE)</f>
        <v>20.974340280969333</v>
      </c>
      <c r="X13">
        <f>_xll.acq_options_trinomial_american_price(X$4,$C$5,$U13,$C$8,$C$9,$C$7,FALSE)</f>
        <v>13.848681992043405</v>
      </c>
      <c r="Y13">
        <f>_xll.acq_options_trinomial_american_price(Y$4,$C$5,$U13,$C$8,$C$9,$C$7,FALSE)</f>
        <v>8.6133342712048773</v>
      </c>
      <c r="Z13">
        <f>_xll.acq_options_trinomial_american_price(Z$4,$C$5,$U13,$C$8,$C$9,$C$7,FALSE)</f>
        <v>5.0564549694806367</v>
      </c>
      <c r="AA13">
        <f>_xll.acq_options_trinomial_american_price(AA$4,$C$5,$U13,$C$8,$C$9,$C$7,FALSE)</f>
        <v>2.8113460425379544</v>
      </c>
      <c r="AB13">
        <f>_xll.acq_options_trinomial_american_price(AB$4,$C$5,$U13,$C$8,$C$9,$C$7,FALSE)</f>
        <v>1.486229690212765</v>
      </c>
    </row>
    <row r="14" spans="1:28" x14ac:dyDescent="0.25">
      <c r="F14">
        <v>100</v>
      </c>
      <c r="G14">
        <f>_xll.acq_options_trinomial_american_price($C$4,F14,$C$6,$C$8,$C$9,$C$7,TRUE)</f>
        <v>9.2181348448034655</v>
      </c>
      <c r="H14">
        <f>_xll.acq_options_trinomial_american_price($C$4,F14,$C$6,$C$8,$C$9,$C$7,FALSE)</f>
        <v>21.444518542802879</v>
      </c>
      <c r="I14">
        <f>_xll.acq_options_binomial_american_price($C$4,F14,$C$6,$C$8,$C$9,$C$7,TRUE)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_xll.acq_options_trinomial_american_price(M$4,$C$5,$L14,$C$8,$C$9,$C$7,TRUE)</f>
        <v>1.5287253875168982</v>
      </c>
      <c r="N14">
        <f>_xll.acq_options_trinomial_american_price(N$4,$C$5,$L14,$C$8,$C$9,$C$7,TRUE)</f>
        <v>3.6491186060817009</v>
      </c>
      <c r="O14">
        <f>_xll.acq_options_trinomial_american_price(O$4,$C$5,$L14,$C$8,$C$9,$C$7,TRUE)</f>
        <v>7.2076233428993639</v>
      </c>
      <c r="P14">
        <f>_xll.acq_options_trinomial_american_price(P$4,$C$5,$L14,$C$8,$C$9,$C$7,TRUE)</f>
        <v>12.325606827651828</v>
      </c>
      <c r="Q14">
        <f>_xll.acq_options_trinomial_american_price(Q$4,$C$5,$L14,$C$8,$C$9,$C$7,TRUE)</f>
        <v>18.89462979220572</v>
      </c>
      <c r="R14">
        <f>_xll.acq_options_trinomial_american_price(R$4,$C$5,$L14,$C$8,$C$9,$C$7,TRUE)</f>
        <v>26.631899354962698</v>
      </c>
      <c r="S14">
        <f>_xll.acq_options_trinomial_american_price(S$4,$C$5,$L14,$C$8,$C$9,$C$7,TRUE)</f>
        <v>35.224391677704858</v>
      </c>
      <c r="U14" s="45">
        <v>0.5</v>
      </c>
      <c r="V14">
        <f>_xll.acq_options_trinomial_american_price(V$4,$C$5,$U14,$C$8,$C$9,$C$7,FALSE)</f>
        <v>30.013545368803594</v>
      </c>
      <c r="W14">
        <f>_xll.acq_options_trinomial_american_price(W$4,$C$5,$U14,$C$8,$C$9,$C$7,FALSE)</f>
        <v>21.152161544240702</v>
      </c>
      <c r="X14">
        <f>_xll.acq_options_trinomial_american_price(X$4,$C$5,$U14,$C$8,$C$9,$C$7,FALSE)</f>
        <v>14.166514058300155</v>
      </c>
      <c r="Y14">
        <f>_xll.acq_options_trinomial_american_price(Y$4,$C$5,$U14,$C$8,$C$9,$C$7,FALSE)</f>
        <v>9.0032543875590356</v>
      </c>
      <c r="Z14">
        <f>_xll.acq_options_trinomial_american_price(Z$4,$C$5,$U14,$C$8,$C$9,$C$7,FALSE)</f>
        <v>5.4424867184655321</v>
      </c>
      <c r="AA14">
        <f>_xll.acq_options_trinomial_american_price(AA$4,$C$5,$U14,$C$8,$C$9,$C$7,FALSE)</f>
        <v>3.136415507454358</v>
      </c>
      <c r="AB14">
        <f>_xll.acq_options_trinomial_american_price(AB$4,$C$5,$U14,$C$8,$C$9,$C$7,FALSE)</f>
        <v>1.7318514187597791</v>
      </c>
    </row>
    <row r="15" spans="1:28" x14ac:dyDescent="0.25">
      <c r="B15">
        <f>_xll.acq_options_trinomial_american_price($C$4,$C$5,$C$6,$C$8,$C$9,$C$7,TRUE, 300)</f>
        <v>1.8819893179672582</v>
      </c>
      <c r="F15">
        <v>110</v>
      </c>
      <c r="G15">
        <f>_xll.acq_options_trinomial_american_price($C$4,F15,$C$6,$C$8,$C$9,$C$7,TRUE)</f>
        <v>6.7647070362570041</v>
      </c>
      <c r="H15">
        <f>_xll.acq_options_trinomial_american_price($C$4,F15,$C$6,$C$8,$C$9,$C$7,FALSE)</f>
        <v>30.106132662548632</v>
      </c>
      <c r="I15">
        <f>_xll.acq_options_binomial_american_price($C$4,F15,$C$6,$C$8,$C$9,$C$7,TRUE)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_xll.acq_options_trinomial_american_price(M$4,$C$5,$L15,$C$8,$C$9,$C$7,TRUE)</f>
        <v>1.8209760071377428</v>
      </c>
      <c r="N15">
        <f>_xll.acq_options_trinomial_american_price(N$4,$C$5,$L15,$C$8,$C$9,$C$7,TRUE)</f>
        <v>4.1126919491819951</v>
      </c>
      <c r="O15">
        <f>_xll.acq_options_trinomial_american_price(O$4,$C$5,$L15,$C$8,$C$9,$C$7,TRUE)</f>
        <v>7.8125694168181159</v>
      </c>
      <c r="P15">
        <f>_xll.acq_options_trinomial_american_price(P$4,$C$5,$L15,$C$8,$C$9,$C$7,TRUE)</f>
        <v>13.008288991784449</v>
      </c>
      <c r="Q15">
        <f>_xll.acq_options_trinomial_american_price(Q$4,$C$5,$L15,$C$8,$C$9,$C$7,TRUE)</f>
        <v>19.585941273565467</v>
      </c>
      <c r="R15">
        <f>_xll.acq_options_trinomial_american_price(R$4,$C$5,$L15,$C$8,$C$9,$C$7,TRUE)</f>
        <v>27.278966171773764</v>
      </c>
      <c r="S15">
        <f>_xll.acq_options_trinomial_american_price(S$4,$C$5,$L15,$C$8,$C$9,$C$7,TRUE)</f>
        <v>35.803008532176044</v>
      </c>
      <c r="U15" s="45">
        <v>0.55000000000000004</v>
      </c>
      <c r="V15">
        <f>_xll.acq_options_trinomial_american_price(V$4,$C$5,$U15,$C$8,$C$9,$C$7,FALSE)</f>
        <v>30.03576256700498</v>
      </c>
      <c r="W15">
        <f>_xll.acq_options_trinomial_american_price(W$4,$C$5,$U15,$C$8,$C$9,$C$7,FALSE)</f>
        <v>21.328112207718107</v>
      </c>
      <c r="X15">
        <f>_xll.acq_options_trinomial_american_price(X$4,$C$5,$U15,$C$8,$C$9,$C$7,FALSE)</f>
        <v>14.466499112626494</v>
      </c>
      <c r="Y15">
        <f>_xll.acq_options_trinomial_american_price(Y$4,$C$5,$U15,$C$8,$C$9,$C$7,FALSE)</f>
        <v>9.367345618019586</v>
      </c>
      <c r="Z15">
        <f>_xll.acq_options_trinomial_american_price(Z$4,$C$5,$U15,$C$8,$C$9,$C$7,FALSE)</f>
        <v>5.8051905416523635</v>
      </c>
      <c r="AA15">
        <f>_xll.acq_options_trinomial_american_price(AA$4,$C$5,$U15,$C$8,$C$9,$C$7,FALSE)</f>
        <v>3.4497239531103734</v>
      </c>
      <c r="AB15">
        <f>_xll.acq_options_trinomial_american_price(AB$4,$C$5,$U15,$C$8,$C$9,$C$7,FALSE)</f>
        <v>1.9745881557370428</v>
      </c>
    </row>
    <row r="16" spans="1:28" x14ac:dyDescent="0.25">
      <c r="B16">
        <f>_xll.acq_options_binomial_american_price($C$4,$C$5,$C$6,$C$8,$C$9,$C$7,TRUE, 300)</f>
        <v>1.8779824571938908</v>
      </c>
      <c r="F16">
        <v>120</v>
      </c>
      <c r="G16">
        <f>_xll.acq_options_trinomial_american_price($C$4,F16,$C$6,$C$8,$C$9,$C$7,TRUE)</f>
        <v>4.9329615476996596</v>
      </c>
      <c r="H16">
        <f>_xll.acq_options_trinomial_american_price($C$4,F16,$C$6,$C$8,$C$9,$C$7,FALSE)</f>
        <v>39.999999999999787</v>
      </c>
      <c r="I16">
        <f>_xll.acq_options_binomial_american_price($C$4,F16,$C$6,$C$8,$C$9,$C$7,TRUE)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_xll.acq_options_trinomial_american_price(M$4,$C$5,$L16,$C$8,$C$9,$C$7,TRUE)</f>
        <v>2.1234951785731639</v>
      </c>
      <c r="N16">
        <f>_xll.acq_options_trinomial_american_price(N$4,$C$5,$L16,$C$8,$C$9,$C$7,TRUE)</f>
        <v>4.5728983512540378</v>
      </c>
      <c r="O16">
        <f>_xll.acq_options_trinomial_american_price(O$4,$C$5,$L16,$C$8,$C$9,$C$7,TRUE)</f>
        <v>8.4033307680652563</v>
      </c>
      <c r="P16">
        <f>_xll.acq_options_trinomial_american_price(P$4,$C$5,$L16,$C$8,$C$9,$C$7,TRUE)</f>
        <v>13.666704240566206</v>
      </c>
      <c r="Q16">
        <f>_xll.acq_options_trinomial_american_price(Q$4,$C$5,$L16,$C$8,$C$9,$C$7,TRUE)</f>
        <v>20.252499181244154</v>
      </c>
      <c r="R16">
        <f>_xll.acq_options_trinomial_american_price(R$4,$C$5,$L16,$C$8,$C$9,$C$7,TRUE)</f>
        <v>27.909426021077948</v>
      </c>
      <c r="S16">
        <f>_xll.acq_options_trinomial_american_price(S$4,$C$5,$L16,$C$8,$C$9,$C$7,TRUE)</f>
        <v>36.37315451072493</v>
      </c>
      <c r="U16" s="45">
        <v>0.6</v>
      </c>
      <c r="V16">
        <f>_xll.acq_options_trinomial_american_price(V$4,$C$5,$U16,$C$8,$C$9,$C$7,FALSE)</f>
        <v>30.070449497612046</v>
      </c>
      <c r="W16">
        <f>_xll.acq_options_trinomial_american_price(W$4,$C$5,$U16,$C$8,$C$9,$C$7,FALSE)</f>
        <v>21.500783676224103</v>
      </c>
      <c r="X16">
        <f>_xll.acq_options_trinomial_american_price(X$4,$C$5,$U16,$C$8,$C$9,$C$7,FALSE)</f>
        <v>14.752799744370524</v>
      </c>
      <c r="Y16">
        <f>_xll.acq_options_trinomial_american_price(Y$4,$C$5,$U16,$C$8,$C$9,$C$7,FALSE)</f>
        <v>9.7091203060293996</v>
      </c>
      <c r="Z16">
        <f>_xll.acq_options_trinomial_american_price(Z$4,$C$5,$U16,$C$8,$C$9,$C$7,FALSE)</f>
        <v>6.1458740039881707</v>
      </c>
      <c r="AA16">
        <f>_xll.acq_options_trinomial_american_price(AA$4,$C$5,$U16,$C$8,$C$9,$C$7,FALSE)</f>
        <v>3.7487370511884319</v>
      </c>
      <c r="AB16">
        <f>_xll.acq_options_trinomial_american_price(AB$4,$C$5,$U16,$C$8,$C$9,$C$7,FALSE)</f>
        <v>2.2114314848058378</v>
      </c>
    </row>
    <row r="17" spans="2:28" x14ac:dyDescent="0.25">
      <c r="B17">
        <f>_xll.acq_options_blackscholes_price($C$4,$C$5,$C$6,$C$8,$C$9,$C$7,TRUE)</f>
        <v>1.8828483800754015</v>
      </c>
      <c r="C17">
        <f>B17-B16</f>
        <v>4.8659228815106648E-3</v>
      </c>
      <c r="F17">
        <v>130</v>
      </c>
      <c r="G17">
        <f>_xll.acq_options_trinomial_american_price($C$4,F17,$C$6,$C$8,$C$9,$C$7,TRUE)</f>
        <v>3.5851315157926913</v>
      </c>
      <c r="H17">
        <f>_xll.acq_options_trinomial_american_price($C$4,F17,$C$6,$C$8,$C$9,$C$7,FALSE)</f>
        <v>49.999999999999787</v>
      </c>
      <c r="I17">
        <f>_xll.acq_options_binomial_american_price($C$4,F17,$C$6,$C$8,$C$9,$C$7,TRUE)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_xll.acq_options_trinomial_american_price(M$4,$C$5,$L17,$C$8,$C$9,$C$7,TRUE)</f>
        <v>2.4319574896866096</v>
      </c>
      <c r="N17">
        <f>_xll.acq_options_trinomial_american_price(N$4,$C$5,$L17,$C$8,$C$9,$C$7,TRUE)</f>
        <v>5.0265246893881601</v>
      </c>
      <c r="O17">
        <f>_xll.acq_options_trinomial_american_price(O$4,$C$5,$L17,$C$8,$C$9,$C$7,TRUE)</f>
        <v>8.9757073428435952</v>
      </c>
      <c r="P17">
        <f>_xll.acq_options_trinomial_american_price(P$4,$C$5,$L17,$C$8,$C$9,$C$7,TRUE)</f>
        <v>14.303703217881996</v>
      </c>
      <c r="Q17">
        <f>_xll.acq_options_trinomial_american_price(Q$4,$C$5,$L17,$C$8,$C$9,$C$7,TRUE)</f>
        <v>20.897217373389466</v>
      </c>
      <c r="R17">
        <f>_xll.acq_options_trinomial_american_price(R$4,$C$5,$L17,$C$8,$C$9,$C$7,TRUE)</f>
        <v>28.526507777263145</v>
      </c>
      <c r="S17">
        <f>_xll.acq_options_trinomial_american_price(S$4,$C$5,$L17,$C$8,$C$9,$C$7,TRUE)</f>
        <v>36.940055704721907</v>
      </c>
      <c r="U17" s="45">
        <v>0.65</v>
      </c>
      <c r="V17">
        <f>_xll.acq_options_trinomial_american_price(V$4,$C$5,$U17,$C$8,$C$9,$C$7,FALSE)</f>
        <v>30.110778381439893</v>
      </c>
      <c r="W17">
        <f>_xll.acq_options_trinomial_american_price(W$4,$C$5,$U17,$C$8,$C$9,$C$7,FALSE)</f>
        <v>21.668939174685313</v>
      </c>
      <c r="X17">
        <f>_xll.acq_options_trinomial_american_price(X$4,$C$5,$U17,$C$8,$C$9,$C$7,FALSE)</f>
        <v>15.0230727218702</v>
      </c>
      <c r="Y17">
        <f>_xll.acq_options_trinomial_american_price(Y$4,$C$5,$U17,$C$8,$C$9,$C$7,FALSE)</f>
        <v>10.031376332045106</v>
      </c>
      <c r="Z17">
        <f>_xll.acq_options_trinomial_american_price(Z$4,$C$5,$U17,$C$8,$C$9,$C$7,FALSE)</f>
        <v>6.4674483565323921</v>
      </c>
      <c r="AA17">
        <f>_xll.acq_options_trinomial_american_price(AA$4,$C$5,$U17,$C$8,$C$9,$C$7,FALSE)</f>
        <v>4.0369511471850306</v>
      </c>
      <c r="AB17">
        <f>_xll.acq_options_trinomial_american_price(AB$4,$C$5,$U17,$C$8,$C$9,$C$7,FALSE)</f>
        <v>2.446533098951865</v>
      </c>
    </row>
    <row r="18" spans="2:28" x14ac:dyDescent="0.25">
      <c r="F18">
        <v>140</v>
      </c>
      <c r="G18">
        <f>_xll.acq_options_trinomial_american_price($C$4,F18,$C$6,$C$8,$C$9,$C$7,TRUE)</f>
        <v>2.598824223946921</v>
      </c>
      <c r="H18">
        <f>_xll.acq_options_trinomial_american_price($C$4,F18,$C$6,$C$8,$C$9,$C$7,FALSE)</f>
        <v>59.999999999999787</v>
      </c>
      <c r="I18">
        <f>_xll.acq_options_binomial_american_price($C$4,F18,$C$6,$C$8,$C$9,$C$7,TRUE)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_xll.acq_options_trinomial_american_price(M$4,$C$5,$L18,$C$8,$C$9,$C$7,TRUE)</f>
        <v>2.7423611663493102</v>
      </c>
      <c r="N18">
        <f>_xll.acq_options_trinomial_american_price(N$4,$C$5,$L18,$C$8,$C$9,$C$7,TRUE)</f>
        <v>5.475387119694064</v>
      </c>
      <c r="O18">
        <f>_xll.acq_options_trinomial_american_price(O$4,$C$5,$L18,$C$8,$C$9,$C$7,TRUE)</f>
        <v>9.5316844068933282</v>
      </c>
      <c r="P18">
        <f>_xll.acq_options_trinomial_american_price(P$4,$C$5,$L18,$C$8,$C$9,$C$7,TRUE)</f>
        <v>14.921599673929084</v>
      </c>
      <c r="Q18">
        <f>_xll.acq_options_trinomial_american_price(Q$4,$C$5,$L18,$C$8,$C$9,$C$7,TRUE)</f>
        <v>21.527877070829462</v>
      </c>
      <c r="R18">
        <f>_xll.acq_options_trinomial_american_price(R$4,$C$5,$L18,$C$8,$C$9,$C$7,TRUE)</f>
        <v>29.132772281869769</v>
      </c>
      <c r="S18">
        <f>_xll.acq_options_trinomial_american_price(S$4,$C$5,$L18,$C$8,$C$9,$C$7,TRUE)</f>
        <v>37.497998804995014</v>
      </c>
      <c r="U18" s="45">
        <v>0.7</v>
      </c>
      <c r="V18">
        <f>_xll.acq_options_trinomial_american_price(V$4,$C$5,$U18,$C$8,$C$9,$C$7,FALSE)</f>
        <v>30.15422480921308</v>
      </c>
      <c r="W18">
        <f>_xll.acq_options_trinomial_american_price(W$4,$C$5,$U18,$C$8,$C$9,$C$7,FALSE)</f>
        <v>21.832781415895354</v>
      </c>
      <c r="X18">
        <f>_xll.acq_options_trinomial_american_price(X$4,$C$5,$U18,$C$8,$C$9,$C$7,FALSE)</f>
        <v>15.279049379557438</v>
      </c>
      <c r="Y18">
        <f>_xll.acq_options_trinomial_american_price(Y$4,$C$5,$U18,$C$8,$C$9,$C$7,FALSE)</f>
        <v>10.336377229691012</v>
      </c>
      <c r="Z18">
        <f>_xll.acq_options_trinomial_american_price(Z$4,$C$5,$U18,$C$8,$C$9,$C$7,FALSE)</f>
        <v>6.7764598574079526</v>
      </c>
      <c r="AA18">
        <f>_xll.acq_options_trinomial_american_price(AA$4,$C$5,$U18,$C$8,$C$9,$C$7,FALSE)</f>
        <v>4.3157748488366323</v>
      </c>
      <c r="AB18">
        <f>_xll.acq_options_trinomial_american_price(AB$4,$C$5,$U18,$C$8,$C$9,$C$7,FALSE)</f>
        <v>2.6754122199919839</v>
      </c>
    </row>
    <row r="19" spans="2:28" x14ac:dyDescent="0.25">
      <c r="F19">
        <v>150</v>
      </c>
      <c r="G19">
        <f>_xll.acq_options_trinomial_american_price($C$4,F19,$C$6,$C$8,$C$9,$C$7,TRUE)</f>
        <v>1.8805691390641348</v>
      </c>
      <c r="H19">
        <f>_xll.acq_options_trinomial_american_price($C$4,F19,$C$6,$C$8,$C$9,$C$7,FALSE)</f>
        <v>69.999999999999787</v>
      </c>
      <c r="I19">
        <f>_xll.acq_options_binomial_american_price($C$4,F19,$C$6,$C$8,$C$9,$C$7,TRUE)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_xll.acq_options_trinomial_american_price(M$4,$C$5,$L19,$C$8,$C$9,$C$7,TRUE)</f>
        <v>3.0596286209019583</v>
      </c>
      <c r="N19">
        <f>_xll.acq_options_trinomial_american_price(N$4,$C$5,$L19,$C$8,$C$9,$C$7,TRUE)</f>
        <v>5.9215278184834119</v>
      </c>
      <c r="O19">
        <f>_xll.acq_options_trinomial_american_price(O$4,$C$5,$L19,$C$8,$C$9,$C$7,TRUE)</f>
        <v>10.072899543474943</v>
      </c>
      <c r="P19">
        <f>_xll.acq_options_trinomial_american_price(P$4,$C$5,$L19,$C$8,$C$9,$C$7,TRUE)</f>
        <v>15.522302538555655</v>
      </c>
      <c r="Q19">
        <f>_xll.acq_options_trinomial_american_price(Q$4,$C$5,$L19,$C$8,$C$9,$C$7,TRUE)</f>
        <v>22.143363447304566</v>
      </c>
      <c r="R19">
        <f>_xll.acq_options_trinomial_american_price(R$4,$C$5,$L19,$C$8,$C$9,$C$7,TRUE)</f>
        <v>29.72233813234277</v>
      </c>
      <c r="S19">
        <f>_xll.acq_options_trinomial_american_price(S$4,$C$5,$L19,$C$8,$C$9,$C$7,TRUE)</f>
        <v>38.050072937571791</v>
      </c>
      <c r="U19" s="45">
        <v>0.75</v>
      </c>
      <c r="V19">
        <f>_xll.acq_options_trinomial_american_price(V$4,$C$5,$U19,$C$8,$C$9,$C$7,FALSE)</f>
        <v>30.205314798010569</v>
      </c>
      <c r="W19">
        <f>_xll.acq_options_trinomial_american_price(W$4,$C$5,$U19,$C$8,$C$9,$C$7,FALSE)</f>
        <v>21.99388458885857</v>
      </c>
      <c r="X19">
        <f>_xll.acq_options_trinomial_american_price(X$4,$C$5,$U19,$C$8,$C$9,$C$7,FALSE)</f>
        <v>15.522235398116582</v>
      </c>
      <c r="Y19">
        <f>_xll.acq_options_trinomial_american_price(Y$4,$C$5,$U19,$C$8,$C$9,$C$7,FALSE)</f>
        <v>10.625983539647924</v>
      </c>
      <c r="Z19">
        <f>_xll.acq_options_trinomial_american_price(Z$4,$C$5,$U19,$C$8,$C$9,$C$7,FALSE)</f>
        <v>7.0717711673632886</v>
      </c>
      <c r="AA19">
        <f>_xll.acq_options_trinomial_american_price(AA$4,$C$5,$U19,$C$8,$C$9,$C$7,FALSE)</f>
        <v>4.5808542287965164</v>
      </c>
      <c r="AB19">
        <f>_xll.acq_options_trinomial_american_price(AB$4,$C$5,$U19,$C$8,$C$9,$C$7,FALSE)</f>
        <v>2.9000037845180962</v>
      </c>
    </row>
    <row r="20" spans="2:28" x14ac:dyDescent="0.25">
      <c r="F20">
        <v>160</v>
      </c>
      <c r="G20">
        <f>_xll.acq_options_trinomial_american_price($C$4,F20,$C$6,$C$8,$C$9,$C$7,TRUE)</f>
        <v>1.3627839917292055</v>
      </c>
      <c r="H20">
        <f>_xll.acq_options_trinomial_american_price($C$4,F20,$C$6,$C$8,$C$9,$C$7,FALSE)</f>
        <v>79.999999999999787</v>
      </c>
      <c r="I20">
        <f>_xll.acq_options_binomial_american_price($C$4,F20,$C$6,$C$8,$C$9,$C$7,TRUE)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_xll.acq_options_trinomial_american_price(M$4,$C$5,$L20,$C$8,$C$9,$C$7,TRUE)</f>
        <v>3.377712621546193</v>
      </c>
      <c r="N20">
        <f>_xll.acq_options_trinomial_american_price(N$4,$C$5,$L20,$C$8,$C$9,$C$7,TRUE)</f>
        <v>6.3574472872294248</v>
      </c>
      <c r="O20">
        <f>_xll.acq_options_trinomial_american_price(O$4,$C$5,$L20,$C$8,$C$9,$C$7,TRUE)</f>
        <v>10.606733832110859</v>
      </c>
      <c r="P20">
        <f>_xll.acq_options_trinomial_american_price(P$4,$C$5,$L20,$C$8,$C$9,$C$7,TRUE)</f>
        <v>16.107408920277372</v>
      </c>
      <c r="Q20">
        <f>_xll.acq_options_trinomial_american_price(Q$4,$C$5,$L20,$C$8,$C$9,$C$7,TRUE)</f>
        <v>22.742626888061849</v>
      </c>
      <c r="R20">
        <f>_xll.acq_options_trinomial_american_price(R$4,$C$5,$L20,$C$8,$C$9,$C$7,TRUE)</f>
        <v>30.30298999460868</v>
      </c>
      <c r="S20">
        <f>_xll.acq_options_trinomial_american_price(S$4,$C$5,$L20,$C$8,$C$9,$C$7,TRUE)</f>
        <v>38.592375787324663</v>
      </c>
      <c r="U20" s="45">
        <v>0.8</v>
      </c>
      <c r="V20">
        <f>_xll.acq_options_trinomial_american_price(V$4,$C$5,$U20,$C$8,$C$9,$C$7,FALSE)</f>
        <v>30.258897738385873</v>
      </c>
      <c r="W20">
        <f>_xll.acq_options_trinomial_american_price(W$4,$C$5,$U20,$C$8,$C$9,$C$7,FALSE)</f>
        <v>22.148406933264198</v>
      </c>
      <c r="X20">
        <f>_xll.acq_options_trinomial_american_price(X$4,$C$5,$U20,$C$8,$C$9,$C$7,FALSE)</f>
        <v>15.7573674435593</v>
      </c>
      <c r="Y20">
        <f>_xll.acq_options_trinomial_american_price(Y$4,$C$5,$U20,$C$8,$C$9,$C$7,FALSE)</f>
        <v>10.901748693979878</v>
      </c>
      <c r="Z20">
        <f>_xll.acq_options_trinomial_american_price(Z$4,$C$5,$U20,$C$8,$C$9,$C$7,FALSE)</f>
        <v>7.3530412425421865</v>
      </c>
      <c r="AA20">
        <f>_xll.acq_options_trinomial_american_price(AA$4,$C$5,$U20,$C$8,$C$9,$C$7,FALSE)</f>
        <v>4.8389953565423944</v>
      </c>
      <c r="AB20">
        <f>_xll.acq_options_trinomial_american_price(AB$4,$C$5,$U20,$C$8,$C$9,$C$7,FALSE)</f>
        <v>3.1176560481668254</v>
      </c>
    </row>
    <row r="21" spans="2:28" x14ac:dyDescent="0.25">
      <c r="F21">
        <v>170</v>
      </c>
      <c r="G21">
        <f>_xll.acq_options_trinomial_american_price($C$4,F21,$C$6,$C$8,$C$9,$C$7,TRUE)</f>
        <v>0.98708096087435337</v>
      </c>
      <c r="H21">
        <f>_xll.acq_options_trinomial_american_price($C$4,F21,$C$6,$C$8,$C$9,$C$7,FALSE)</f>
        <v>89.999999999999787</v>
      </c>
      <c r="I21">
        <f>_xll.acq_options_binomial_american_price($C$4,F21,$C$6,$C$8,$C$9,$C$7,TRUE)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_xll.acq_options_trinomial_american_price(M$4,$C$5,$L21,$C$8,$C$9,$C$7,TRUE)</f>
        <v>3.6988609643387336</v>
      </c>
      <c r="N21">
        <f>_xll.acq_options_trinomial_american_price(N$4,$C$5,$L21,$C$8,$C$9,$C$7,TRUE)</f>
        <v>6.7922466976789302</v>
      </c>
      <c r="O21">
        <f>_xll.acq_options_trinomial_american_price(O$4,$C$5,$L21,$C$8,$C$9,$C$7,TRUE)</f>
        <v>11.129920872180199</v>
      </c>
      <c r="P21">
        <f>_xll.acq_options_trinomial_american_price(P$4,$C$5,$L21,$C$8,$C$9,$C$7,TRUE)</f>
        <v>16.678271297680944</v>
      </c>
      <c r="Q21">
        <f>_xll.acq_options_trinomial_american_price(Q$4,$C$5,$L21,$C$8,$C$9,$C$7,TRUE)</f>
        <v>23.327078170482487</v>
      </c>
      <c r="R21">
        <f>_xll.acq_options_trinomial_american_price(R$4,$C$5,$L21,$C$8,$C$9,$C$7,TRUE)</f>
        <v>30.875008314547358</v>
      </c>
      <c r="S21">
        <f>_xll.acq_options_trinomial_american_price(S$4,$C$5,$L21,$C$8,$C$9,$C$7,TRUE)</f>
        <v>39.132270532085521</v>
      </c>
      <c r="U21" s="45">
        <v>0.85</v>
      </c>
      <c r="V21">
        <f>_xll.acq_options_trinomial_american_price(V$4,$C$5,$U21,$C$8,$C$9,$C$7,FALSE)</f>
        <v>30.314364771486144</v>
      </c>
      <c r="W21">
        <f>_xll.acq_options_trinomial_american_price(W$4,$C$5,$U21,$C$8,$C$9,$C$7,FALSE)</f>
        <v>22.30043356710938</v>
      </c>
      <c r="X21">
        <f>_xll.acq_options_trinomial_american_price(X$4,$C$5,$U21,$C$8,$C$9,$C$7,FALSE)</f>
        <v>15.983320002080154</v>
      </c>
      <c r="Y21">
        <f>_xll.acq_options_trinomial_american_price(Y$4,$C$5,$U21,$C$8,$C$9,$C$7,FALSE)</f>
        <v>11.164990421439432</v>
      </c>
      <c r="Z21">
        <f>_xll.acq_options_trinomial_american_price(Z$4,$C$5,$U21,$C$8,$C$9,$C$7,FALSE)</f>
        <v>7.6216483642098627</v>
      </c>
      <c r="AA21">
        <f>_xll.acq_options_trinomial_american_price(AA$4,$C$5,$U21,$C$8,$C$9,$C$7,FALSE)</f>
        <v>5.0896662429304138</v>
      </c>
      <c r="AB21">
        <f>_xll.acq_options_trinomial_american_price(AB$4,$C$5,$U21,$C$8,$C$9,$C$7,FALSE)</f>
        <v>3.3337944563526767</v>
      </c>
    </row>
    <row r="22" spans="2:28" x14ac:dyDescent="0.25">
      <c r="L22" s="45">
        <v>0.9</v>
      </c>
      <c r="M22">
        <f>_xll.acq_options_trinomial_american_price(M$4,$C$5,$L22,$C$8,$C$9,$C$7,TRUE)</f>
        <v>4.0187730914102104</v>
      </c>
      <c r="N22">
        <f>_xll.acq_options_trinomial_american_price(N$4,$C$5,$L22,$C$8,$C$9,$C$7,TRUE)</f>
        <v>7.2232497993720903</v>
      </c>
      <c r="O22">
        <f>_xll.acq_options_trinomial_american_price(O$4,$C$5,$L22,$C$8,$C$9,$C$7,TRUE)</f>
        <v>11.641625326660755</v>
      </c>
      <c r="P22">
        <f>_xll.acq_options_trinomial_american_price(P$4,$C$5,$L22,$C$8,$C$9,$C$7,TRUE)</f>
        <v>17.236047155237124</v>
      </c>
      <c r="Q22">
        <f>_xll.acq_options_trinomial_american_price(Q$4,$C$5,$L22,$C$8,$C$9,$C$7,TRUE)</f>
        <v>23.897924587490674</v>
      </c>
      <c r="R22">
        <f>_xll.acq_options_trinomial_american_price(R$4,$C$5,$L22,$C$8,$C$9,$C$7,TRUE)</f>
        <v>31.433860990685353</v>
      </c>
      <c r="S22">
        <f>_xll.acq_options_trinomial_american_price(S$4,$C$5,$L22,$C$8,$C$9,$C$7,TRUE)</f>
        <v>39.660265349982012</v>
      </c>
      <c r="U22" s="45">
        <v>0.9</v>
      </c>
      <c r="V22">
        <f>_xll.acq_options_trinomial_american_price(V$4,$C$5,$U22,$C$8,$C$9,$C$7,FALSE)</f>
        <v>30.370154317091071</v>
      </c>
      <c r="W22">
        <f>_xll.acq_options_trinomial_american_price(W$4,$C$5,$U22,$C$8,$C$9,$C$7,FALSE)</f>
        <v>22.449347565665555</v>
      </c>
      <c r="X22">
        <f>_xll.acq_options_trinomial_american_price(X$4,$C$5,$U22,$C$8,$C$9,$C$7,FALSE)</f>
        <v>16.199627554181735</v>
      </c>
      <c r="Y22">
        <f>_xll.acq_options_trinomial_american_price(Y$4,$C$5,$U22,$C$8,$C$9,$C$7,FALSE)</f>
        <v>11.416836324546995</v>
      </c>
      <c r="Z22">
        <f>_xll.acq_options_trinomial_american_price(Z$4,$C$5,$U22,$C$8,$C$9,$C$7,FALSE)</f>
        <v>7.8787502763538821</v>
      </c>
      <c r="AA22">
        <f>_xll.acq_options_trinomial_american_price(AA$4,$C$5,$U22,$C$8,$C$9,$C$7,FALSE)</f>
        <v>5.3296520173920685</v>
      </c>
      <c r="AB22">
        <f>_xll.acq_options_trinomial_american_price(AB$4,$C$5,$U22,$C$8,$C$9,$C$7,FALSE)</f>
        <v>3.5408385783852774</v>
      </c>
    </row>
    <row r="23" spans="2:28" x14ac:dyDescent="0.25">
      <c r="L23" s="45">
        <v>0.95</v>
      </c>
      <c r="M23">
        <f>_xll.acq_options_trinomial_american_price(M$4,$C$5,$L23,$C$8,$C$9,$C$7,TRUE)</f>
        <v>4.3439204329741301</v>
      </c>
      <c r="N23">
        <f>_xll.acq_options_trinomial_american_price(N$4,$C$5,$L23,$C$8,$C$9,$C$7,TRUE)</f>
        <v>7.6459810650407132</v>
      </c>
      <c r="O23">
        <f>_xll.acq_options_trinomial_american_price(O$4,$C$5,$L23,$C$8,$C$9,$C$7,TRUE)</f>
        <v>12.142722348539298</v>
      </c>
      <c r="P23">
        <f>_xll.acq_options_trinomial_american_price(P$4,$C$5,$L23,$C$8,$C$9,$C$7,TRUE)</f>
        <v>17.781736364446303</v>
      </c>
      <c r="Q23">
        <f>_xll.acq_options_trinomial_american_price(Q$4,$C$5,$L23,$C$8,$C$9,$C$7,TRUE)</f>
        <v>24.456208961715241</v>
      </c>
      <c r="R23">
        <f>_xll.acq_options_trinomial_american_price(R$4,$C$5,$L23,$C$8,$C$9,$C$7,TRUE)</f>
        <v>31.980559082436645</v>
      </c>
      <c r="S23">
        <f>_xll.acq_options_trinomial_american_price(S$4,$C$5,$L23,$C$8,$C$9,$C$7,TRUE)</f>
        <v>40.183866823005502</v>
      </c>
      <c r="U23" s="45">
        <v>0.95</v>
      </c>
      <c r="V23">
        <f>_xll.acq_options_trinomial_american_price(V$4,$C$5,$U23,$C$8,$C$9,$C$7,FALSE)</f>
        <v>30.429769375896086</v>
      </c>
      <c r="W23">
        <f>_xll.acq_options_trinomial_american_price(W$4,$C$5,$U23,$C$8,$C$9,$C$7,FALSE)</f>
        <v>22.592831006861239</v>
      </c>
      <c r="X23">
        <f>_xll.acq_options_trinomial_american_price(X$4,$C$5,$U23,$C$8,$C$9,$C$7,FALSE)</f>
        <v>16.407043908634048</v>
      </c>
      <c r="Y23">
        <f>_xll.acq_options_trinomial_american_price(Y$4,$C$5,$U23,$C$8,$C$9,$C$7,FALSE)</f>
        <v>11.658261143779338</v>
      </c>
      <c r="Z23">
        <f>_xll.acq_options_trinomial_american_price(Z$4,$C$5,$U23,$C$8,$C$9,$C$7,FALSE)</f>
        <v>8.125342307055849</v>
      </c>
      <c r="AA23">
        <f>_xll.acq_options_trinomial_american_price(AA$4,$C$5,$U23,$C$8,$C$9,$C$7,FALSE)</f>
        <v>5.5599858892775815</v>
      </c>
      <c r="AB23">
        <f>_xll.acq_options_trinomial_american_price(AB$4,$C$5,$U23,$C$8,$C$9,$C$7,FALSE)</f>
        <v>3.7453949504567454</v>
      </c>
    </row>
    <row r="24" spans="2:28" x14ac:dyDescent="0.25">
      <c r="L24" s="45">
        <v>1</v>
      </c>
      <c r="M24">
        <f>_xll.acq_options_trinomial_american_price(M$4,$C$5,$L24,$C$8,$C$9,$C$7,TRUE)</f>
        <v>4.6637879592649334</v>
      </c>
      <c r="N24">
        <f>_xll.acq_options_trinomial_american_price(N$4,$C$5,$L24,$C$8,$C$9,$C$7,TRUE)</f>
        <v>8.0610353803135979</v>
      </c>
      <c r="O24">
        <f>_xll.acq_options_trinomial_american_price(O$4,$C$5,$L24,$C$8,$C$9,$C$7,TRUE)</f>
        <v>12.633974090032925</v>
      </c>
      <c r="P24">
        <f>_xll.acq_options_trinomial_american_price(P$4,$C$5,$L24,$C$8,$C$9,$C$7,TRUE)</f>
        <v>18.316209819326453</v>
      </c>
      <c r="Q24">
        <f>_xll.acq_options_trinomial_american_price(Q$4,$C$5,$L24,$C$8,$C$9,$C$7,TRUE)</f>
        <v>25.002839531353743</v>
      </c>
      <c r="R24">
        <f>_xll.acq_options_trinomial_american_price(R$4,$C$5,$L24,$C$8,$C$9,$C$7,TRUE)</f>
        <v>32.519978034256717</v>
      </c>
      <c r="S24">
        <f>_xll.acq_options_trinomial_american_price(S$4,$C$5,$L24,$C$8,$C$9,$C$7,TRUE)</f>
        <v>40.702684343035457</v>
      </c>
      <c r="U24" s="45">
        <v>1</v>
      </c>
      <c r="V24">
        <f>_xll.acq_options_trinomial_american_price(V$4,$C$5,$U24,$C$8,$C$9,$C$7,FALSE)</f>
        <v>30.489756753274509</v>
      </c>
      <c r="W24">
        <f>_xll.acq_options_trinomial_american_price(W$4,$C$5,$U24,$C$8,$C$9,$C$7,FALSE)</f>
        <v>22.731126851217205</v>
      </c>
      <c r="X24">
        <f>_xll.acq_options_trinomial_american_price(X$4,$C$5,$U24,$C$8,$C$9,$C$7,FALSE)</f>
        <v>16.606298437651652</v>
      </c>
      <c r="Y24">
        <f>_xll.acq_options_trinomial_american_price(Y$4,$C$5,$U24,$C$8,$C$9,$C$7,FALSE)</f>
        <v>11.89009645996618</v>
      </c>
      <c r="Z24">
        <f>_xll.acq_options_trinomial_american_price(Z$4,$C$5,$U24,$C$8,$C$9,$C$7,FALSE)</f>
        <v>8.362375008278832</v>
      </c>
      <c r="AA24">
        <f>_xll.acq_options_trinomial_american_price(AA$4,$C$5,$U24,$C$8,$C$9,$C$7,FALSE)</f>
        <v>5.7849296587682364</v>
      </c>
      <c r="AB24">
        <f>_xll.acq_options_trinomial_american_price(AB$4,$C$5,$U24,$C$8,$C$9,$C$7,FALSE)</f>
        <v>3.9462563741490442</v>
      </c>
    </row>
    <row r="26" spans="2:28" x14ac:dyDescent="0.25">
      <c r="V26" s="46"/>
      <c r="W26" s="46"/>
      <c r="X26" s="46"/>
      <c r="Y26" s="46"/>
    </row>
    <row r="27" spans="2:28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</row>
    <row r="28" spans="2:28" x14ac:dyDescent="0.25">
      <c r="V28" s="46"/>
      <c r="W28" s="46"/>
      <c r="X28" s="46"/>
      <c r="Y28" s="46"/>
      <c r="Z28" s="46"/>
    </row>
    <row r="29" spans="2:28" x14ac:dyDescent="0.25">
      <c r="V29" s="46"/>
      <c r="W29" s="46"/>
      <c r="X29" s="46"/>
      <c r="Y29" s="46"/>
      <c r="Z29" s="46"/>
    </row>
    <row r="30" spans="2:28" ht="15.75" thickBot="1" x14ac:dyDescent="0.3">
      <c r="G30" s="56" t="s">
        <v>172</v>
      </c>
      <c r="H30" s="56"/>
      <c r="I30" s="56"/>
      <c r="J30" s="56"/>
      <c r="K30" s="56"/>
      <c r="L30" s="56"/>
      <c r="M30" s="56"/>
      <c r="N30" s="56"/>
      <c r="S30" s="56" t="s">
        <v>167</v>
      </c>
      <c r="T30" s="56"/>
      <c r="U30" s="56"/>
      <c r="V30" s="56"/>
      <c r="W30" s="56"/>
      <c r="X30" s="56"/>
      <c r="Y30" s="56"/>
      <c r="Z30" s="56"/>
    </row>
    <row r="31" spans="2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2:28" x14ac:dyDescent="0.25">
      <c r="F32" s="13">
        <v>100</v>
      </c>
      <c r="G32">
        <f>_xll.acq_options_trinomial_american_greeks(G$31,$F32,$C$5,$C$6,$C$8,$C$9,$C$7,TRUE)</f>
        <v>6.1662019346244614</v>
      </c>
      <c r="H32">
        <f>_xll.acq_options_trinomial_american_greeks(H$31,$F32,$C$5,$C$6,$C$8,$C$9,$C$7,TRUE)</f>
        <v>0.2908231015278151</v>
      </c>
      <c r="I32">
        <f>_xll.acq_options_trinomial_american_greeks(I$31,$F32,$C$5,$C$6,$C$8,$C$9,$C$7,TRUE)</f>
        <v>4.1566750041965854E-11</v>
      </c>
      <c r="J32">
        <f>_xll.acq_options_trinomial_american_greeks(J$31,$F32,$C$5,$C$6,$C$8,$C$9,$C$7,TRUE)</f>
        <v>52.99200276047462</v>
      </c>
      <c r="K32">
        <f>_xll.acq_options_trinomial_american_greeks(K$31,$F32,$C$5,$C$6,$C$8,$C$9,$C$7,TRUE)</f>
        <v>-124.86084624363514</v>
      </c>
      <c r="L32">
        <f>_xll.acq_options_trinomial_american_greeks(L$31,$F32,$C$5,$C$6,$C$8,$C$9,$C$7,TRUE)</f>
        <v>-0.16045572825973409</v>
      </c>
      <c r="M32">
        <f>_xll.acq_options_trinomial_american_greeks(M$31,$F32,$C$5,$C$6,$C$8,$C$9,$C$7,TRUE)</f>
        <v>58.76336925066461</v>
      </c>
      <c r="N32">
        <f>_xll.acq_options_trinomial_american_greeks(N$31,$F32,$C$5,$C$6,$C$8,$C$9,$C$7,TRUE)</f>
        <v>-3.763398406362306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</row>
    <row r="33" spans="6:28" x14ac:dyDescent="0.25">
      <c r="F33" s="13">
        <v>110</v>
      </c>
      <c r="G33">
        <f>_xll.acq_options_trinomial_american_greeks(G$31,$F33,$C$5,$C$6,$C$8,$C$9,$C$7,TRUE)</f>
        <v>9.5713220235677099</v>
      </c>
      <c r="H33">
        <f>_xll.acq_options_trinomial_american_greeks(H$31,$F33,$C$5,$C$6,$C$8,$C$9,$C$7,TRUE)</f>
        <v>0.38139367158475002</v>
      </c>
      <c r="I33">
        <f>_xll.acq_options_trinomial_american_greeks(I$31,$F33,$C$5,$C$6,$C$8,$C$9,$C$7,TRUE)</f>
        <v>5.8722540145462823E-11</v>
      </c>
      <c r="J33">
        <f>_xll.acq_options_trinomial_american_greeks(J$31,$F33,$C$5,$C$6,$C$8,$C$9,$C$7,TRUE)</f>
        <v>64.949991296236519</v>
      </c>
      <c r="K33">
        <f>_xll.acq_options_trinomial_american_greeks(K$31,$F33,$C$5,$C$6,$C$8,$C$9,$C$7,TRUE)</f>
        <v>-113.20838067874206</v>
      </c>
      <c r="L33">
        <f>_xll.acq_options_trinomial_american_greeks(L$31,$F33,$C$5,$C$6,$C$8,$C$9,$C$7,TRUE)</f>
        <v>-0.17769684790280849</v>
      </c>
      <c r="M33">
        <f>_xll.acq_options_trinomial_american_greeks(M$31,$F33,$C$5,$C$6,$C$8,$C$9,$C$7,TRUE)</f>
        <v>81.532816544747533</v>
      </c>
      <c r="N33">
        <f>_xll.acq_options_trinomial_american_greeks(N$31,$F33,$C$5,$C$6,$C$8,$C$9,$C$7,TRUE)</f>
        <v>-4.7827450419415385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</row>
    <row r="34" spans="6:28" x14ac:dyDescent="0.25">
      <c r="F34" s="13">
        <v>120</v>
      </c>
      <c r="G34">
        <f>_xll.acq_options_trinomial_american_greeks(G$31,$F34,$C$5,$C$6,$C$8,$C$9,$C$7,TRUE)</f>
        <v>13.82720226720512</v>
      </c>
      <c r="H34">
        <f>_xll.acq_options_trinomial_american_greeks(H$31,$F34,$C$5,$C$6,$C$8,$C$9,$C$7,TRUE)</f>
        <v>0.47848197390088687</v>
      </c>
      <c r="I34">
        <f>_xll.acq_options_trinomial_american_greeks(I$31,$F34,$C$5,$C$6,$C$8,$C$9,$C$7,TRUE)</f>
        <v>2.2771907816200434E-10</v>
      </c>
      <c r="J34">
        <f>_xll.acq_options_trinomial_american_greeks(J$31,$F34,$C$5,$C$6,$C$8,$C$9,$C$7,TRUE)</f>
        <v>74.852091676898809</v>
      </c>
      <c r="K34">
        <f>_xll.acq_options_trinomial_american_greeks(K$31,$F34,$C$5,$C$6,$C$8,$C$9,$C$7,TRUE)</f>
        <v>-88.392597945130547</v>
      </c>
      <c r="L34">
        <f>_xll.acq_options_trinomial_american_greeks(L$31,$F34,$C$5,$C$6,$C$8,$C$9,$C$7,TRUE)</f>
        <v>-0.18458280548472317</v>
      </c>
      <c r="M34">
        <f>_xll.acq_options_trinomial_american_greeks(M$31,$F34,$C$5,$C$6,$C$8,$C$9,$C$7,TRUE)</f>
        <v>105.7794469868707</v>
      </c>
      <c r="N34">
        <f>_xll.acq_options_trinomial_american_greeks(N$31,$F34,$C$5,$C$6,$C$8,$C$9,$C$7,TRUE)</f>
        <v>-5.7203410286241763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</row>
    <row r="35" spans="6:28" x14ac:dyDescent="0.25">
      <c r="F35" s="13">
        <v>130</v>
      </c>
      <c r="G35">
        <f>_xll.acq_options_trinomial_american_greeks(G$31,$F35,$C$5,$C$6,$C$8,$C$9,$C$7,TRUE)</f>
        <v>18.910900777762919</v>
      </c>
      <c r="H35">
        <f>_xll.acq_options_trinomial_american_greeks(H$31,$F35,$C$5,$C$6,$C$8,$C$9,$C$7,TRUE)</f>
        <v>0.55201185821982346</v>
      </c>
      <c r="I35">
        <f>_xll.acq_options_trinomial_american_greeks(I$31,$F35,$C$5,$C$6,$C$8,$C$9,$C$7,TRUE)</f>
        <v>5.8104737326654342E-10</v>
      </c>
      <c r="J35">
        <f>_xll.acq_options_trinomial_american_greeks(J$31,$F35,$C$5,$C$6,$C$8,$C$9,$C$7,TRUE)</f>
        <v>79.481068669899386</v>
      </c>
      <c r="K35">
        <f>_xll.acq_options_trinomial_american_greeks(K$31,$F35,$C$5,$C$6,$C$8,$C$9,$C$7,TRUE)</f>
        <v>-53.355814188194017</v>
      </c>
      <c r="L35">
        <f>_xll.acq_options_trinomial_american_greeks(L$31,$F35,$C$5,$C$6,$C$8,$C$9,$C$7,TRUE)</f>
        <v>-0.18210767560589147</v>
      </c>
      <c r="M35">
        <f>_xll.acq_options_trinomial_american_greeks(M$31,$F35,$C$5,$C$6,$C$8,$C$9,$C$7,TRUE)</f>
        <v>130.31398520029569</v>
      </c>
      <c r="N35">
        <f>_xll.acq_options_trinomial_american_greeks(N$31,$F35,$C$5,$C$6,$C$8,$C$9,$C$7,TRUE)</f>
        <v>-6.3917393571273351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</row>
    <row r="36" spans="6:28" x14ac:dyDescent="0.25">
      <c r="F36" s="13">
        <v>140</v>
      </c>
      <c r="G36">
        <f>_xll.acq_options_trinomial_american_greeks(G$31,$F36,$C$5,$C$6,$C$8,$C$9,$C$7,TRUE)</f>
        <v>24.736221086274632</v>
      </c>
      <c r="H36">
        <f>_xll.acq_options_trinomial_american_greeks(H$31,$F36,$C$5,$C$6,$C$8,$C$9,$C$7,TRUE)</f>
        <v>0.62326296426118732</v>
      </c>
      <c r="I36">
        <f>_xll.acq_options_trinomial_american_greeks(I$31,$F36,$C$5,$C$6,$C$8,$C$9,$C$7,TRUE)</f>
        <v>2.0830502855497629E-9</v>
      </c>
      <c r="J36">
        <f>_xll.acq_options_trinomial_american_greeks(J$31,$F36,$C$5,$C$6,$C$8,$C$9,$C$7,TRUE)</f>
        <v>81.555348545597468</v>
      </c>
      <c r="K36">
        <f>_xll.acq_options_trinomial_american_greeks(K$31,$F36,$C$5,$C$6,$C$8,$C$9,$C$7,TRUE)</f>
        <v>-16.105285467915564</v>
      </c>
      <c r="L36">
        <f>_xll.acq_options_trinomial_american_greeks(L$31,$F36,$C$5,$C$6,$C$8,$C$9,$C$7,TRUE)</f>
        <v>-0.17331131552111856</v>
      </c>
      <c r="M36">
        <f>_xll.acq_options_trinomial_american_greeks(M$31,$F36,$C$5,$C$6,$C$8,$C$9,$C$7,TRUE)</f>
        <v>154.1532184908867</v>
      </c>
      <c r="N36">
        <f>_xll.acq_options_trinomial_american_greeks(N$31,$F36,$C$5,$C$6,$C$8,$C$9,$C$7,TRUE)</f>
        <v>-6.9140677929624417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</row>
    <row r="37" spans="6:28" x14ac:dyDescent="0.25">
      <c r="F37" s="13">
        <v>150</v>
      </c>
      <c r="G37">
        <f>_xll.acq_options_trinomial_american_greeks(G$31,$F37,$C$5,$C$6,$C$8,$C$9,$C$7,TRUE)</f>
        <v>31.218139732490769</v>
      </c>
      <c r="H37">
        <f>_xll.acq_options_trinomial_american_greeks(H$31,$F37,$C$5,$C$6,$C$8,$C$9,$C$7,TRUE)</f>
        <v>0.67909357487404054</v>
      </c>
      <c r="I37">
        <f>_xll.acq_options_trinomial_american_greeks(I$31,$F37,$C$5,$C$6,$C$8,$C$9,$C$7,TRUE)</f>
        <v>0.14372810144259854</v>
      </c>
      <c r="J37">
        <f>_xll.acq_options_trinomial_american_greeks(J$31,$F37,$C$5,$C$6,$C$8,$C$9,$C$7,TRUE)</f>
        <v>80.84702764518596</v>
      </c>
      <c r="K37">
        <f>_xll.acq_options_trinomial_american_greeks(K$31,$F37,$C$5,$C$6,$C$8,$C$9,$C$7,TRUE)</f>
        <v>19.713966153744877</v>
      </c>
      <c r="L37">
        <f>_xll.acq_options_trinomial_american_greeks(L$31,$F37,$C$5,$C$6,$C$8,$C$9,$C$7,TRUE)</f>
        <v>-0.16173432548782785</v>
      </c>
      <c r="M37">
        <f>_xll.acq_options_trinomial_american_greeks(M$31,$F37,$C$5,$C$6,$C$8,$C$9,$C$7,TRUE)</f>
        <v>176.61404577466831</v>
      </c>
      <c r="N37">
        <f>_xll.acq_options_trinomial_american_greeks(N$31,$F37,$C$5,$C$6,$C$8,$C$9,$C$7,TRUE)</f>
        <v>-7.2631118331116795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</row>
    <row r="38" spans="6:28" x14ac:dyDescent="0.25">
      <c r="F38" s="13">
        <v>160</v>
      </c>
      <c r="G38">
        <f>_xll.acq_options_trinomial_american_greeks(G$31,$F38,$C$5,$C$6,$C$8,$C$9,$C$7,TRUE)</f>
        <v>38.292345819275447</v>
      </c>
      <c r="H38">
        <f>_xll.acq_options_trinomial_american_greeks(H$31,$F38,$C$5,$C$6,$C$8,$C$9,$C$7,TRUE)</f>
        <v>0.73074294636117365</v>
      </c>
      <c r="I38">
        <f>_xll.acq_options_trinomial_american_greeks(I$31,$F38,$C$5,$C$6,$C$8,$C$9,$C$7,TRUE)</f>
        <v>6.2649885279597584E-9</v>
      </c>
      <c r="J38">
        <f>_xll.acq_options_trinomial_american_greeks(J$31,$F38,$C$5,$C$6,$C$8,$C$9,$C$7,TRUE)</f>
        <v>78.353014527664229</v>
      </c>
      <c r="K38">
        <f>_xll.acq_options_trinomial_american_greeks(K$31,$F38,$C$5,$C$6,$C$8,$C$9,$C$7,TRUE)</f>
        <v>51.448812442345115</v>
      </c>
      <c r="L38">
        <f>_xll.acq_options_trinomial_american_greeks(L$31,$F38,$C$5,$C$6,$C$8,$C$9,$C$7,TRUE)</f>
        <v>-0.14731081598995388</v>
      </c>
      <c r="M38">
        <f>_xll.acq_options_trinomial_american_greeks(M$31,$F38,$C$5,$C$6,$C$8,$C$9,$C$7,TRUE)</f>
        <v>197.16610791654787</v>
      </c>
      <c r="N38">
        <f>_xll.acq_options_trinomial_american_greeks(N$31,$F38,$C$5,$C$6,$C$8,$C$9,$C$7,TRUE)</f>
        <v>-7.4787564680676155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</row>
    <row r="39" spans="6:28" x14ac:dyDescent="0.25">
      <c r="F39" s="13">
        <v>170</v>
      </c>
      <c r="G39">
        <f>_xll.acq_options_trinomial_american_greeks(G$31,$F39,$C$5,$C$6,$C$8,$C$9,$C$7,TRUE)</f>
        <v>45.837473168332053</v>
      </c>
      <c r="H39">
        <f>_xll.acq_options_trinomial_american_greeks(H$31,$F39,$C$5,$C$6,$C$8,$C$9,$C$7,TRUE)</f>
        <v>0.7784244787043092</v>
      </c>
      <c r="I39">
        <f>_xll.acq_options_trinomial_american_greeks(I$31,$F39,$C$5,$C$6,$C$8,$C$9,$C$7,TRUE)</f>
        <v>8.581713649411199E-2</v>
      </c>
      <c r="J39">
        <f>_xll.acq_options_trinomial_american_greeks(J$31,$F39,$C$5,$C$6,$C$8,$C$9,$C$7,TRUE)</f>
        <v>73.832047638319338</v>
      </c>
      <c r="K39">
        <f>_xll.acq_options_trinomial_american_greeks(K$31,$F39,$C$5,$C$6,$C$8,$C$9,$C$7,TRUE)</f>
        <v>1075.315653878306</v>
      </c>
      <c r="L39">
        <f>_xll.acq_options_trinomial_american_greeks(L$31,$F39,$C$5,$C$6,$C$8,$C$9,$C$7,TRUE)</f>
        <v>-8.847101984343908</v>
      </c>
      <c r="M39">
        <f>_xll.acq_options_trinomial_american_greeks(M$31,$F39,$C$5,$C$6,$C$8,$C$9,$C$7,TRUE)</f>
        <v>215.71592047807542</v>
      </c>
      <c r="N39">
        <f>_xll.acq_options_trinomial_american_greeks(N$31,$F39,$C$5,$C$6,$C$8,$C$9,$C$7,TRUE)</f>
        <v>-7.5233023337517579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</row>
    <row r="40" spans="6:28" x14ac:dyDescent="0.25">
      <c r="F40" s="13">
        <v>180</v>
      </c>
      <c r="G40">
        <f>_xll.acq_options_trinomial_american_greeks(G$31,$F40,$C$5,$C$6,$C$8,$C$9,$C$7,TRUE)</f>
        <v>53.809616845565508</v>
      </c>
      <c r="H40">
        <f>_xll.acq_options_trinomial_american_greeks(H$31,$F40,$C$5,$C$6,$C$8,$C$9,$C$7,TRUE)</f>
        <v>0.81779818235775781</v>
      </c>
      <c r="I40">
        <f>_xll.acq_options_trinomial_american_greeks(I$31,$F40,$C$5,$C$6,$C$8,$C$9,$C$7,TRUE)</f>
        <v>1.9250444859574567E-8</v>
      </c>
      <c r="J40">
        <f>_xll.acq_options_trinomial_american_greeks(J$31,$F40,$C$5,$C$6,$C$8,$C$9,$C$7,TRUE)</f>
        <v>68.434666958395894</v>
      </c>
      <c r="K40">
        <f>_xll.acq_options_trinomial_american_greeks(K$31,$F40,$C$5,$C$6,$C$8,$C$9,$C$7,TRUE)</f>
        <v>96.434884412133215</v>
      </c>
      <c r="L40">
        <f>_xll.acq_options_trinomial_american_greeks(L$31,$F40,$C$5,$C$6,$C$8,$C$9,$C$7,TRUE)</f>
        <v>-0.11328195093085469</v>
      </c>
      <c r="M40">
        <f>_xll.acq_options_trinomial_american_greeks(M$31,$F40,$C$5,$C$6,$C$8,$C$9,$C$7,TRUE)</f>
        <v>232.03763664032451</v>
      </c>
      <c r="N40">
        <f>_xll.acq_options_trinomial_american_greeks(N$31,$F40,$C$5,$C$6,$C$8,$C$9,$C$7,TRUE)</f>
        <v>-7.5251362879811268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</row>
    <row r="41" spans="6:28" x14ac:dyDescent="0.25">
      <c r="F41" s="13">
        <v>190</v>
      </c>
      <c r="G41">
        <f>_xll.acq_options_trinomial_american_greeks(G$31,$F41,$C$5,$C$6,$C$8,$C$9,$C$7,TRUE)</f>
        <v>62.116364964224886</v>
      </c>
      <c r="H41">
        <f>_xll.acq_options_trinomial_american_greeks(H$31,$F41,$C$5,$C$6,$C$8,$C$9,$C$7,TRUE)</f>
        <v>0.84611319290691478</v>
      </c>
      <c r="I41">
        <f>_xll.acq_options_trinomial_american_greeks(I$31,$F41,$C$5,$C$6,$C$8,$C$9,$C$7,TRUE)</f>
        <v>2.9191300038941955E-8</v>
      </c>
      <c r="J41">
        <f>_xll.acq_options_trinomial_american_greeks(J$31,$F41,$C$5,$C$6,$C$8,$C$9,$C$7,TRUE)</f>
        <v>62.907195937505321</v>
      </c>
      <c r="K41">
        <f>_xll.acq_options_trinomial_american_greeks(K$31,$F41,$C$5,$C$6,$C$8,$C$9,$C$7,TRUE)</f>
        <v>110.49322016276619</v>
      </c>
      <c r="L41">
        <f>_xll.acq_options_trinomial_american_greeks(L$31,$F41,$C$5,$C$6,$C$8,$C$9,$C$7,TRUE)</f>
        <v>-9.9153728783107908E-2</v>
      </c>
      <c r="M41">
        <f>_xll.acq_options_trinomial_american_greeks(M$31,$F41,$C$5,$C$6,$C$8,$C$9,$C$7,TRUE)</f>
        <v>246.29950503892672</v>
      </c>
      <c r="N41">
        <f>_xll.acq_options_trinomial_american_greeks(N$31,$F41,$C$5,$C$6,$C$8,$C$9,$C$7,TRUE)</f>
        <v>-7.450945374046114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</row>
    <row r="42" spans="6:28" x14ac:dyDescent="0.25">
      <c r="F42" s="13">
        <v>200</v>
      </c>
      <c r="G42">
        <f>_xll.acq_options_trinomial_american_greeks(G$31,$F42,$C$5,$C$6,$C$8,$C$9,$C$7,TRUE)</f>
        <v>70.701685113070141</v>
      </c>
      <c r="H42">
        <f>_xll.acq_options_trinomial_american_greeks(H$31,$F42,$C$5,$C$6,$C$8,$C$9,$C$7,TRUE)</f>
        <v>0.87070972634769817</v>
      </c>
      <c r="I42">
        <f>_xll.acq_options_trinomial_american_greeks(I$31,$F42,$C$5,$C$6,$C$8,$C$9,$C$7,TRUE)</f>
        <v>5.1476689577611965E-8</v>
      </c>
      <c r="J42">
        <f>_xll.acq_options_trinomial_american_greeks(J$31,$F42,$C$5,$C$6,$C$8,$C$9,$C$7,TRUE)</f>
        <v>56.955360588460685</v>
      </c>
      <c r="K42">
        <f>_xll.acq_options_trinomial_american_greeks(K$31,$F42,$C$5,$C$6,$C$8,$C$9,$C$7,TRUE)</f>
        <v>118.79238434175932</v>
      </c>
      <c r="L42">
        <f>_xll.acq_options_trinomial_american_greeks(L$31,$F42,$C$5,$C$6,$C$8,$C$9,$C$7,TRUE)</f>
        <v>-8.5399495475257936E-2</v>
      </c>
      <c r="M42">
        <f>_xll.acq_options_trinomial_american_greeks(M$31,$F42,$C$5,$C$6,$C$8,$C$9,$C$7,TRUE)</f>
        <v>258.60972247978253</v>
      </c>
      <c r="N42">
        <f>_xll.acq_options_trinomial_american_greeks(N$31,$F42,$C$5,$C$6,$C$8,$C$9,$C$7,TRUE)</f>
        <v>-7.313717833113742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6" t="s">
        <v>173</v>
      </c>
      <c r="H45" s="56"/>
      <c r="I45" s="56"/>
      <c r="J45" s="56"/>
      <c r="K45" s="56"/>
      <c r="L45" s="56"/>
      <c r="M45" s="56"/>
      <c r="N45" s="56"/>
      <c r="S45" s="56" t="s">
        <v>166</v>
      </c>
      <c r="T45" s="56"/>
      <c r="U45" s="56"/>
      <c r="V45" s="56"/>
      <c r="W45" s="56"/>
      <c r="X45" s="56"/>
      <c r="Y45" s="56"/>
      <c r="Z45" s="56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_xll.acq_options_trinomial_american_greeks(G$31,$F47,$C$5,$C$6,$C$8,$C$9,$C$7,FALSE)</f>
        <v>50.000000000000156</v>
      </c>
      <c r="H47">
        <f>_xll.acq_options_trinomial_american_greeks(H$31,$F47,$C$5,$C$6,$C$8,$C$9,$C$7,FALSE)</f>
        <v>-1.0000000000003695</v>
      </c>
      <c r="I47">
        <f>_xll.acq_options_trinomial_american_greeks(I$31,$F47,$C$5,$C$6,$C$8,$C$9,$C$7,FALSE)</f>
        <v>-4.8316906031686806E-11</v>
      </c>
      <c r="J47">
        <f>_xll.acq_options_trinomial_american_greeks(J$31,$F47,$C$5,$C$6,$C$8,$C$9,$C$7,FALSE)</f>
        <v>-7.1054273576009954E-11</v>
      </c>
      <c r="K47">
        <f>_xll.acq_options_trinomial_american_greeks(K$31,$F47,$C$5,$C$6,$C$8,$C$9,$C$7,FALSE)</f>
        <v>-2.8421709430404007E-7</v>
      </c>
      <c r="L47">
        <f>_xll.acq_options_trinomial_american_greeks(L$31,$F47,$C$5,$C$6,$C$8,$C$9,$C$7,FALSE)</f>
        <v>3.1974423109204508E-8</v>
      </c>
      <c r="M47">
        <f>_xll.acq_options_trinomial_american_greeks(M$31,$F47,$C$5,$C$6,$C$8,$C$9,$C$7,FALSE)</f>
        <v>0</v>
      </c>
      <c r="N47">
        <f>_xll.acq_options_trinomial_american_greeks(N$31,$F47,$C$5,$C$6,$C$8,$C$9,$C$7,FALSE)</f>
        <v>-1.1368683772161603E-10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_xll.acq_options_trinomial_american_greeks(G$31,$F48,$C$5,$C$6,$C$8,$C$9,$C$7,FALSE)</f>
        <v>40.227288075886058</v>
      </c>
      <c r="H48">
        <f>_xll.acq_options_trinomial_american_greeks(H$31,$F48,$C$5,$C$6,$C$8,$C$9,$C$7,FALSE)</f>
        <v>-0.8894063411423887</v>
      </c>
      <c r="I48">
        <f>_xll.acq_options_trinomial_american_greeks(I$31,$F48,$C$5,$C$6,$C$8,$C$9,$C$7,FALSE)</f>
        <v>1.5489309560954767E-2</v>
      </c>
      <c r="J48">
        <f>_xll.acq_options_trinomial_american_greeks(J$31,$F48,$C$5,$C$6,$C$8,$C$9,$C$7,FALSE)</f>
        <v>22.119322474541271</v>
      </c>
      <c r="K48">
        <f>_xll.acq_options_trinomial_american_greeks(K$31,$F48,$C$5,$C$6,$C$8,$C$9,$C$7,FALSE)</f>
        <v>550.71893198999078</v>
      </c>
      <c r="L48">
        <f>_xll.acq_options_trinomial_american_greeks(L$31,$F48,$C$5,$C$6,$C$8,$C$9,$C$7,FALSE)</f>
        <v>3.1272784966063227</v>
      </c>
      <c r="M48">
        <f>_xll.acq_options_trinomial_american_greeks(M$31,$F48,$C$5,$C$6,$C$8,$C$9,$C$7,FALSE)</f>
        <v>-36.629314813083624</v>
      </c>
      <c r="N48">
        <f>_xll.acq_options_trinomial_american_greeks(N$31,$F48,$C$5,$C$6,$C$8,$C$9,$C$7,FALSE)</f>
        <v>-0.33502480132341361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_xll.acq_options_trinomial_american_greeks(G$31,$F49,$C$5,$C$6,$C$8,$C$9,$C$7,FALSE)</f>
        <v>32.166777814204401</v>
      </c>
      <c r="H49">
        <f>_xll.acq_options_trinomial_american_greeks(H$31,$F49,$C$5,$C$6,$C$8,$C$9,$C$7,FALSE)</f>
        <v>-0.71665054220713864</v>
      </c>
      <c r="I49">
        <f>_xll.acq_options_trinomial_american_greeks(I$31,$F49,$C$5,$C$6,$C$8,$C$9,$C$7,FALSE)</f>
        <v>9.9891035384066153E-3</v>
      </c>
      <c r="J49">
        <f>_xll.acq_options_trinomial_american_greeks(J$31,$F49,$C$5,$C$6,$C$8,$C$9,$C$7,FALSE)</f>
        <v>51.357774368955901</v>
      </c>
      <c r="K49">
        <f>_xll.acq_options_trinomial_american_greeks(K$31,$F49,$C$5,$C$6,$C$8,$C$9,$C$7,FALSE)</f>
        <v>142.84724407787053</v>
      </c>
      <c r="L49">
        <f>_xll.acq_options_trinomial_american_greeks(L$31,$F49,$C$5,$C$6,$C$8,$C$9,$C$7,FALSE)</f>
        <v>1.8020900931503547</v>
      </c>
      <c r="M49">
        <f>_xll.acq_options_trinomial_american_greeks(M$31,$F49,$C$5,$C$6,$C$8,$C$9,$C$7,FALSE)</f>
        <v>-77.487185436513784</v>
      </c>
      <c r="N49">
        <f>_xll.acq_options_trinomial_american_greeks(N$31,$F49,$C$5,$C$6,$C$8,$C$9,$C$7,FALSE)</f>
        <v>-0.9473947105718139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_xll.acq_options_trinomial_american_greeks(G$31,$F50,$C$5,$C$6,$C$8,$C$9,$C$7,FALSE)</f>
        <v>25.709356904086903</v>
      </c>
      <c r="H50">
        <f>_xll.acq_options_trinomial_american_greeks(H$31,$F50,$C$5,$C$6,$C$8,$C$9,$C$7,FALSE)</f>
        <v>-0.57499768124133022</v>
      </c>
      <c r="I50">
        <f>_xll.acq_options_trinomial_american_greeks(I$31,$F50,$C$5,$C$6,$C$8,$C$9,$C$7,FALSE)</f>
        <v>7.0907435719474695E-3</v>
      </c>
      <c r="J50">
        <f>_xll.acq_options_trinomial_american_greeks(J$31,$F50,$C$5,$C$6,$C$8,$C$9,$C$7,FALSE)</f>
        <v>69.647618032519119</v>
      </c>
      <c r="K50">
        <f>_xll.acq_options_trinomial_american_greeks(K$31,$F50,$C$5,$C$6,$C$8,$C$9,$C$7,FALSE)</f>
        <v>45.032961764945867</v>
      </c>
      <c r="L50">
        <f>_xll.acq_options_trinomial_american_greeks(L$31,$F50,$C$5,$C$6,$C$8,$C$9,$C$7,FALSE)</f>
        <v>0.78662725311318127</v>
      </c>
      <c r="M50">
        <f>_xll.acq_options_trinomial_american_greeks(M$31,$F50,$C$5,$C$6,$C$8,$C$9,$C$7,FALSE)</f>
        <v>-97.67336474380528</v>
      </c>
      <c r="N50">
        <f>_xll.acq_options_trinomial_american_greeks(N$31,$F50,$C$5,$C$6,$C$8,$C$9,$C$7,FALSE)</f>
        <v>-1.4440318355113391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_xll.acq_options_trinomial_american_greeks(G$31,$F51,$C$5,$C$6,$C$8,$C$9,$C$7,FALSE)</f>
        <v>20.530861355560823</v>
      </c>
      <c r="H51">
        <f>_xll.acq_options_trinomial_american_greeks(H$31,$F51,$C$5,$C$6,$C$8,$C$9,$C$7,FALSE)</f>
        <v>-0.45915599071855789</v>
      </c>
      <c r="I51">
        <f>_xll.acq_options_trinomial_american_greeks(I$31,$F51,$C$5,$C$6,$C$8,$C$9,$C$7,FALSE)</f>
        <v>6.6847323435378506E-3</v>
      </c>
      <c r="J51">
        <f>_xll.acq_options_trinomial_american_greeks(J$31,$F51,$C$5,$C$6,$C$8,$C$9,$C$7,FALSE)</f>
        <v>79.502171362486536</v>
      </c>
      <c r="K51">
        <f>_xll.acq_options_trinomial_american_greeks(K$31,$F51,$C$5,$C$6,$C$8,$C$9,$C$7,FALSE)</f>
        <v>20.519248977279858</v>
      </c>
      <c r="L51">
        <f>_xll.acq_options_trinomial_american_greeks(L$31,$F51,$C$5,$C$6,$C$8,$C$9,$C$7,FALSE)</f>
        <v>0.51084190388905881</v>
      </c>
      <c r="M51">
        <f>_xll.acq_options_trinomial_american_greeks(M$31,$F51,$C$5,$C$6,$C$8,$C$9,$C$7,FALSE)</f>
        <v>-104.04927047039791</v>
      </c>
      <c r="N51">
        <f>_xll.acq_options_trinomial_american_greeks(N$31,$F51,$C$5,$C$6,$C$8,$C$9,$C$7,FALSE)</f>
        <v>-1.8081481572984615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_xll.acq_options_trinomial_american_greeks(G$31,$F52,$C$5,$C$6,$C$8,$C$9,$C$7,FALSE)</f>
        <v>16.377968211394698</v>
      </c>
      <c r="H52">
        <f>_xll.acq_options_trinomial_american_greeks(H$31,$F52,$C$5,$C$6,$C$8,$C$9,$C$7,FALSE)</f>
        <v>-0.37176889697108828</v>
      </c>
      <c r="I52">
        <f>_xll.acq_options_trinomial_american_greeks(I$31,$F52,$C$5,$C$6,$C$8,$C$9,$C$7,FALSE)</f>
        <v>6.7661235440949791E-2</v>
      </c>
      <c r="J52">
        <f>_xll.acq_options_trinomial_american_greeks(J$31,$F52,$C$5,$C$6,$C$8,$C$9,$C$7,FALSE)</f>
        <v>83.03101706208686</v>
      </c>
      <c r="K52">
        <f>_xll.acq_options_trinomial_american_greeks(K$31,$F52,$C$5,$C$6,$C$8,$C$9,$C$7,FALSE)</f>
        <v>17.390221472624035</v>
      </c>
      <c r="L52">
        <f>_xll.acq_options_trinomial_american_greeks(L$31,$F52,$C$5,$C$6,$C$8,$C$9,$C$7,FALSE)</f>
        <v>0.13579878199720952</v>
      </c>
      <c r="M52">
        <f>_xll.acq_options_trinomial_american_greeks(M$31,$F52,$C$5,$C$6,$C$8,$C$9,$C$7,FALSE)</f>
        <v>-101.53289379418418</v>
      </c>
      <c r="N52">
        <f>_xll.acq_options_trinomial_american_greeks(N$31,$F52,$C$5,$C$6,$C$8,$C$9,$C$7,FALSE)</f>
        <v>-2.0410383686773059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_xll.acq_options_trinomial_american_greeks(G$31,$F53,$C$5,$C$6,$C$8,$C$9,$C$7,FALSE)</f>
        <v>13.062883099918247</v>
      </c>
      <c r="H53">
        <f>_xll.acq_options_trinomial_american_greeks(H$31,$F53,$C$5,$C$6,$C$8,$C$9,$C$7,FALSE)</f>
        <v>-0.29691488871357308</v>
      </c>
      <c r="I53">
        <f>_xll.acq_options_trinomial_american_greeks(I$31,$F53,$C$5,$C$6,$C$8,$C$9,$C$7,FALSE)</f>
        <v>3.4732161689754459E-3</v>
      </c>
      <c r="J53">
        <f>_xll.acq_options_trinomial_american_greeks(J$31,$F53,$C$5,$C$6,$C$8,$C$9,$C$7,FALSE)</f>
        <v>82.565425729446957</v>
      </c>
      <c r="K53">
        <f>_xll.acq_options_trinomial_american_greeks(K$31,$F53,$C$5,$C$6,$C$8,$C$9,$C$7,FALSE)</f>
        <v>36.572952396340952</v>
      </c>
      <c r="L53">
        <f>_xll.acq_options_trinomial_american_greeks(L$31,$F53,$C$5,$C$6,$C$8,$C$9,$C$7,FALSE)</f>
        <v>-0.11357795859368025</v>
      </c>
      <c r="M53">
        <f>_xll.acq_options_trinomial_american_greeks(M$31,$F53,$C$5,$C$6,$C$8,$C$9,$C$7,FALSE)</f>
        <v>-94.622479997800824</v>
      </c>
      <c r="N53">
        <f>_xll.acq_options_trinomial_american_greeks(N$31,$F53,$C$5,$C$6,$C$8,$C$9,$C$7,FALSE)</f>
        <v>-2.1647265994300113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_xll.acq_options_trinomial_american_greeks(G$31,$F54,$C$5,$C$6,$C$8,$C$9,$C$7,FALSE)</f>
        <v>10.403962898100559</v>
      </c>
      <c r="H54">
        <f>_xll.acq_options_trinomial_american_greeks(H$31,$F54,$C$5,$C$6,$C$8,$C$9,$C$7,FALSE)</f>
        <v>-0.23704518330002264</v>
      </c>
      <c r="I54">
        <f>_xll.acq_options_trinomial_american_greeks(I$31,$F54,$C$5,$C$6,$C$8,$C$9,$C$7,FALSE)</f>
        <v>4.8244400420729104E-2</v>
      </c>
      <c r="J54">
        <f>_xll.acq_options_trinomial_american_greeks(J$31,$F54,$C$5,$C$6,$C$8,$C$9,$C$7,FALSE)</f>
        <v>79.160519891699295</v>
      </c>
      <c r="K54">
        <f>_xll.acq_options_trinomial_american_greeks(K$31,$F54,$C$5,$C$6,$C$8,$C$9,$C$7,FALSE)</f>
        <v>580.55057075634409</v>
      </c>
      <c r="L54">
        <f>_xll.acq_options_trinomial_american_greeks(L$31,$F54,$C$5,$C$6,$C$8,$C$9,$C$7,FALSE)</f>
        <v>-4.6480733431053523</v>
      </c>
      <c r="M54">
        <f>_xll.acq_options_trinomial_american_greeks(M$31,$F54,$C$5,$C$6,$C$8,$C$9,$C$7,FALSE)</f>
        <v>-85.359082955794634</v>
      </c>
      <c r="N54">
        <f>_xll.acq_options_trinomial_american_greeks(N$31,$F54,$C$5,$C$6,$C$8,$C$9,$C$7,FALSE)</f>
        <v>-2.1767534966805613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_xll.acq_options_trinomial_american_greeks(G$31,$F55,$C$5,$C$6,$C$8,$C$9,$C$7,FALSE)</f>
        <v>8.2909842221380146</v>
      </c>
      <c r="H55">
        <f>_xll.acq_options_trinomial_american_greeks(H$31,$F55,$C$5,$C$6,$C$8,$C$9,$C$7,FALSE)</f>
        <v>-0.18632222442169283</v>
      </c>
      <c r="I55">
        <f>_xll.acq_options_trinomial_american_greeks(I$31,$F55,$C$5,$C$6,$C$8,$C$9,$C$7,FALSE)</f>
        <v>1.8937878489531542E-3</v>
      </c>
      <c r="J55">
        <f>_xll.acq_options_trinomial_american_greeks(J$31,$F55,$C$5,$C$6,$C$8,$C$9,$C$7,FALSE)</f>
        <v>73.799974646326419</v>
      </c>
      <c r="K55">
        <f>_xll.acq_options_trinomial_american_greeks(K$31,$F55,$C$5,$C$6,$C$8,$C$9,$C$7,FALSE)</f>
        <v>97.753212308759885</v>
      </c>
      <c r="L55">
        <f>_xll.acq_options_trinomial_american_greeks(L$31,$F55,$C$5,$C$6,$C$8,$C$9,$C$7,FALSE)</f>
        <v>-0.23102755175585798</v>
      </c>
      <c r="M55">
        <f>_xll.acq_options_trinomial_american_greeks(M$31,$F55,$C$5,$C$6,$C$8,$C$9,$C$7,FALSE)</f>
        <v>-75.509750560629911</v>
      </c>
      <c r="N55">
        <f>_xll.acq_options_trinomial_american_greeks(N$31,$F55,$C$5,$C$6,$C$8,$C$9,$C$7,FALSE)</f>
        <v>-2.1273655174596229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_xll.acq_options_trinomial_american_greeks(G$31,$F56,$C$5,$C$6,$C$8,$C$9,$C$7,FALSE)</f>
        <v>6.6048920021230355</v>
      </c>
      <c r="H56">
        <f>_xll.acq_options_trinomial_american_greeks(H$31,$F56,$C$5,$C$6,$C$8,$C$9,$C$7,FALSE)</f>
        <v>-0.14954415215775801</v>
      </c>
      <c r="I56">
        <f>_xll.acq_options_trinomial_american_greeks(I$31,$F56,$C$5,$C$6,$C$8,$C$9,$C$7,FALSE)</f>
        <v>1.5443315182402057E-3</v>
      </c>
      <c r="J56">
        <f>_xll.acq_options_trinomial_american_greeks(J$31,$F56,$C$5,$C$6,$C$8,$C$9,$C$7,FALSE)</f>
        <v>67.898838839230478</v>
      </c>
      <c r="K56">
        <f>_xll.acq_options_trinomial_american_greeks(K$31,$F56,$C$5,$C$6,$C$8,$C$9,$C$7,FALSE)</f>
        <v>132.37811138644417</v>
      </c>
      <c r="L56">
        <f>_xll.acq_options_trinomial_american_greeks(L$31,$F56,$C$5,$C$6,$C$8,$C$9,$C$7,FALSE)</f>
        <v>-0.31105670683650999</v>
      </c>
      <c r="M56">
        <f>_xll.acq_options_trinomial_american_greeks(M$31,$F56,$C$5,$C$6,$C$8,$C$9,$C$7,FALSE)</f>
        <v>-65.716297827119959</v>
      </c>
      <c r="N56">
        <f>_xll.acq_options_trinomial_american_greeks(N$31,$F56,$C$5,$C$6,$C$8,$C$9,$C$7,FALSE)</f>
        <v>-2.0370295627349932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_xll.acq_options_trinomial_american_greeks(G$31,$F57,$C$5,$C$6,$C$8,$C$9,$C$7,FALSE)</f>
        <v>5.261799746378073</v>
      </c>
      <c r="H57">
        <f>_xll.acq_options_trinomial_american_greeks(H$31,$F57,$C$5,$C$6,$C$8,$C$9,$C$7,FALSE)</f>
        <v>-0.11934416277745274</v>
      </c>
      <c r="I57">
        <f>_xll.acq_options_trinomial_american_greeks(I$31,$F57,$C$5,$C$6,$C$8,$C$9,$C$7,FALSE)</f>
        <v>1.021320175809137E-3</v>
      </c>
      <c r="J57">
        <f>_xll.acq_options_trinomial_american_greeks(J$31,$F57,$C$5,$C$6,$C$8,$C$9,$C$7,FALSE)</f>
        <v>61.460196580122641</v>
      </c>
      <c r="K57">
        <f>_xll.acq_options_trinomial_american_greeks(K$31,$F57,$C$5,$C$6,$C$8,$C$9,$C$7,FALSE)</f>
        <v>149.0794894696279</v>
      </c>
      <c r="L57">
        <f>_xll.acq_options_trinomial_american_greeks(L$31,$F57,$C$5,$C$6,$C$8,$C$9,$C$7,FALSE)</f>
        <v>-0.27238517552596875</v>
      </c>
      <c r="M57">
        <f>_xll.acq_options_trinomial_american_greeks(M$31,$F57,$C$5,$C$6,$C$8,$C$9,$C$7,FALSE)</f>
        <v>-56.524295826722245</v>
      </c>
      <c r="N57">
        <f>_xll.acq_options_trinomial_american_greeks(N$31,$F57,$C$5,$C$6,$C$8,$C$9,$C$7,FALSE)</f>
        <v>-1.9059481586447546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CA9D-20A9-4DB7-AD8A-F59DC22CC79A}">
  <dimension ref="A1:AA57"/>
  <sheetViews>
    <sheetView topLeftCell="B1" workbookViewId="0">
      <selection activeCell="K1" sqref="K1"/>
    </sheetView>
  </sheetViews>
  <sheetFormatPr defaultRowHeight="15" x14ac:dyDescent="0.25"/>
  <cols>
    <col min="2" max="2" width="14.28515625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2" width="12.7109375" customWidth="1"/>
    <col min="13" max="15" width="12" bestFit="1" customWidth="1"/>
    <col min="24" max="24" width="12" bestFit="1" customWidth="1"/>
    <col min="33" max="33" width="12.7109375" bestFit="1" customWidth="1"/>
  </cols>
  <sheetData>
    <row r="1" spans="1:27" ht="20.25" thickBot="1" x14ac:dyDescent="0.35">
      <c r="A1" s="57" t="s">
        <v>162</v>
      </c>
      <c r="B1" s="57"/>
      <c r="C1" s="57"/>
      <c r="D1" s="57"/>
      <c r="E1" s="57"/>
      <c r="F1" s="57"/>
      <c r="G1" s="57"/>
      <c r="I1">
        <f>_xll.acq_options_binomial_american_price($C$5,F14,$C$7,$C$9,$C$10,$C$8,FALSE,6)</f>
        <v>20.986795441796307</v>
      </c>
    </row>
    <row r="2" spans="1:27" ht="15.75" thickTop="1" x14ac:dyDescent="0.25"/>
    <row r="3" spans="1:27" ht="15.75" thickBot="1" x14ac:dyDescent="0.3">
      <c r="B3" s="3" t="s">
        <v>170</v>
      </c>
      <c r="C3" s="3"/>
      <c r="F3" s="56" t="s">
        <v>139</v>
      </c>
      <c r="G3" s="56"/>
      <c r="H3" s="56"/>
      <c r="I3" s="56" t="s">
        <v>163</v>
      </c>
      <c r="J3" s="56"/>
      <c r="K3" s="56" t="s">
        <v>171</v>
      </c>
      <c r="L3" s="56"/>
      <c r="M3" s="56" t="s">
        <v>137</v>
      </c>
      <c r="N3" s="56"/>
      <c r="P3" s="56" t="s">
        <v>139</v>
      </c>
      <c r="Q3" s="56"/>
      <c r="R3" s="56"/>
      <c r="S3" s="56" t="s">
        <v>163</v>
      </c>
      <c r="T3" s="56"/>
      <c r="U3" s="56" t="s">
        <v>137</v>
      </c>
      <c r="V3" s="56"/>
      <c r="W3" s="56" t="s">
        <v>171</v>
      </c>
      <c r="X3" s="56"/>
    </row>
    <row r="4" spans="1:27" x14ac:dyDescent="0.25">
      <c r="B4" t="s">
        <v>168</v>
      </c>
      <c r="C4" s="5" t="s">
        <v>99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K4" t="s">
        <v>91</v>
      </c>
      <c r="L4" t="s">
        <v>138</v>
      </c>
      <c r="M4" t="s">
        <v>91</v>
      </c>
      <c r="N4" t="s">
        <v>138</v>
      </c>
      <c r="P4" t="s">
        <v>88</v>
      </c>
      <c r="Q4" t="s">
        <v>91</v>
      </c>
      <c r="R4" t="s">
        <v>138</v>
      </c>
      <c r="S4" t="s">
        <v>91</v>
      </c>
      <c r="T4" t="s">
        <v>138</v>
      </c>
      <c r="U4" t="s">
        <v>91</v>
      </c>
      <c r="V4" t="s">
        <v>138</v>
      </c>
      <c r="W4" t="s">
        <v>91</v>
      </c>
      <c r="X4" t="s">
        <v>138</v>
      </c>
    </row>
    <row r="5" spans="1:27" x14ac:dyDescent="0.25">
      <c r="B5" t="s">
        <v>124</v>
      </c>
      <c r="C5" s="5">
        <v>80</v>
      </c>
      <c r="F5">
        <v>10</v>
      </c>
      <c r="G5">
        <f>_xll.acq_options_bjerksund_greeks($C$4,$C$5,F5,$C$7,$C$9,$C$10,$C$8,TRUE)</f>
        <v>70</v>
      </c>
      <c r="H5">
        <f>_xll.acq_options_bjerksund_greeks($C$4,$C$5,F5,$C$7,$C$9,$C$10,$C$8,FALSE)</f>
        <v>9.1802121460204944E-12</v>
      </c>
      <c r="I5">
        <f>_xll.acq_options_binomial_american_greeks($C$4,$C$5,F5,$C$7,$C$9,$C$10,$C$8,TRUE,500)</f>
        <v>70.00000000000118</v>
      </c>
      <c r="J5">
        <f>_xll.acq_options_binomial_american_greeks($C$4,$C$5,F5,$C$7,$C$9,$C$10,$C$8,FALSE)</f>
        <v>6.7346288312237292E-12</v>
      </c>
      <c r="K5">
        <f>_xll.acq_options_trinomial_american_greeks($C$4,$C$5,F5,$C$7,$C$9,$C$10,$C$8,TRUE,500)</f>
        <v>69.999999999999986</v>
      </c>
      <c r="L5">
        <f>_xll.acq_options_trinomial_american_greeks($C$4,$C$5,F5,$C$7,$C$9,$C$10,$C$8,FALSE,500)</f>
        <v>7.7531407749717081E-12</v>
      </c>
      <c r="M5">
        <f>_xll.acq_options_blackscholes_greeks($C$4,$C$5,F5,$C$7,$C$9,$C$10,$C$8,TRUE)</f>
        <v>63.779913678635367</v>
      </c>
      <c r="N5">
        <f>_xll.acq_options_blackscholes_greeks($C$4,$C$5,F5,$C$7,$C$9,$C$10,$C$8,FALSE)</f>
        <v>9.1842814948206544E-12</v>
      </c>
      <c r="P5">
        <v>0.1</v>
      </c>
      <c r="Q5">
        <f>_xll.acq_options_bjerksund_greeks($C$4,$C$5,$C$6,$P5,$C$9,$C$10,$C$8,TRUE)</f>
        <v>3.335177460144223E-4</v>
      </c>
      <c r="R5">
        <f>_xll.acq_options_bjerksund_greeks($C$4,$C$5,$C$6,P5,$C$9,$C$10,$C$8,FALSE)</f>
        <v>20</v>
      </c>
      <c r="S5">
        <f>_xll.acq_options_binomial_american_greeks($C$4,$C$5,$C$6,P5,$C$9,$C$10,$C$8,TRUE,500)</f>
        <v>3.2540922869439743E-4</v>
      </c>
      <c r="T5">
        <f>_xll.acq_options_binomial_american_greeks($C$4,$C$5,$C$6,P5,$C$9,$C$10,$C$8,FALSE)</f>
        <v>20.000000000002345</v>
      </c>
      <c r="U5">
        <f>_xll.acq_options_blackscholes_greeks($C$4,$C$5,$C$6,P5,$C$9,$C$10,$C$8,TRUE)</f>
        <v>3.3351774601797848E-4</v>
      </c>
      <c r="V5">
        <f>_xll.acq_options_blackscholes_greeks($C$4,$C$5,$C$6,P5,$C$9,$C$10,$C$8,FALSE)</f>
        <v>19.721490775620225</v>
      </c>
      <c r="W5">
        <f>_xll.acq_options_trinomial_american_greeks($C$4,$C$5,$C$6,P5,$C$9,$C$10,$C$8,TRUE,500)</f>
        <v>3.2878225846039481E-4</v>
      </c>
      <c r="X5">
        <f>_xll.acq_options_trinomial_american_greeks($C$4,$C$5,$C$6,P5,$C$9,$C$10,$C$8,FALSE)</f>
        <v>20.000000000000043</v>
      </c>
      <c r="Z5">
        <f>K5-L5 +(F5-$C$5 *EXP(-$C$7*($C$10-$C$9)))*EXP(-$C$7*$C$9)</f>
        <v>6.2200863213660327</v>
      </c>
    </row>
    <row r="6" spans="1:27" x14ac:dyDescent="0.25">
      <c r="B6" t="s">
        <v>87</v>
      </c>
      <c r="C6" s="5">
        <v>100</v>
      </c>
      <c r="F6">
        <v>20</v>
      </c>
      <c r="G6">
        <f>_xll.acq_options_bjerksund_greeks($C$4,$C$5,F6,$C$7,$C$9,$C$10,$C$8,TRUE)</f>
        <v>60</v>
      </c>
      <c r="H6">
        <f>_xll.acq_options_bjerksund_greeks($C$4,$C$5,F6,$C$7,$C$9,$C$10,$C$8,FALSE)</f>
        <v>6.2439020780402643E-6</v>
      </c>
      <c r="I6">
        <f>_xll.acq_options_binomial_american_greeks($C$4,$C$5,F6,$C$7,$C$9,$C$10,$C$8,TRUE,500)</f>
        <v>60.00000000000118</v>
      </c>
      <c r="J6">
        <f>_xll.acq_options_binomial_american_greeks($C$4,$C$5,F6,$C$7,$C$9,$C$10,$C$8,FALSE)</f>
        <v>5.8263507221031199E-6</v>
      </c>
      <c r="K6">
        <f>_xll.acq_options_trinomial_american_greeks($C$4,$C$5,F6,$C$7,$C$9,$C$10,$C$8,TRUE,500)</f>
        <v>59.999999999999986</v>
      </c>
      <c r="L6">
        <f>_xll.acq_options_trinomial_american_greeks($C$4,$C$5,F6,$C$7,$C$9,$C$10,$C$8,FALSE,500)</f>
        <v>6.1198396917104289E-6</v>
      </c>
      <c r="M6">
        <f>_xll.acq_options_blackscholes_greeks($C$4,$C$5,F6,$C$7,$C$9,$C$10,$C$8,TRUE)</f>
        <v>55.172840147299368</v>
      </c>
      <c r="N6">
        <f>_xll.acq_options_blackscholes_greeks($C$4,$C$5,F6,$C$7,$C$9,$C$10,$C$8,FALSE)</f>
        <v>6.2329237730476437E-6</v>
      </c>
      <c r="P6">
        <v>0.25</v>
      </c>
      <c r="Q6">
        <f>_xll.acq_options_bjerksund_greeks($C$4,$C$5,$C$6,$P6,$C$9,$C$10,$C$8,TRUE)</f>
        <v>4.5456678892776381E-2</v>
      </c>
      <c r="R6">
        <f>_xll.acq_options_bjerksund_greeks($C$4,$C$5,$C$6,P6,$C$9,$C$10,$C$8,FALSE)</f>
        <v>20</v>
      </c>
      <c r="S6">
        <f>_xll.acq_options_binomial_american_greeks($C$4,$C$5,$C$6,P6,$C$9,$C$10,$C$8,TRUE,500)</f>
        <v>4.5078317313361912E-2</v>
      </c>
      <c r="T6">
        <f>_xll.acq_options_binomial_american_greeks($C$4,$C$5,$C$6,P6,$C$9,$C$10,$C$8,FALSE)</f>
        <v>19.999999999999176</v>
      </c>
      <c r="U6">
        <f>_xll.acq_options_blackscholes_greeks($C$4,$C$5,$C$6,P6,$C$9,$C$10,$C$8,TRUE)</f>
        <v>4.5456678892759728E-2</v>
      </c>
      <c r="V6">
        <f>_xll.acq_options_blackscholes_greeks($C$4,$C$5,$C$6,P6,$C$9,$C$10,$C$8,FALSE)</f>
        <v>19.352663939265554</v>
      </c>
      <c r="W6">
        <f>_xll.acq_options_trinomial_american_greeks($C$4,$C$5,$C$6,P6,$C$9,$C$10,$C$8,TRUE,500)</f>
        <v>4.5362907552770448E-2</v>
      </c>
      <c r="X6">
        <f>_xll.acq_options_trinomial_american_greeks($C$4,$C$5,$C$6,P6,$C$9,$C$10,$C$8,FALSE)</f>
        <v>19.999999999999872</v>
      </c>
      <c r="Z6">
        <f t="shared" ref="Z6:Z21" si="0">K6-L6 +(F6-$C$5 *EXP(-$C$7*($C$10-$C$9)))*EXP(-$C$7*$C$9)</f>
        <v>4.8271599657846807</v>
      </c>
    </row>
    <row r="7" spans="1:27" x14ac:dyDescent="0.25">
      <c r="B7" t="s">
        <v>88</v>
      </c>
      <c r="C7" s="5">
        <v>2.5</v>
      </c>
      <c r="F7">
        <v>30</v>
      </c>
      <c r="G7">
        <f>_xll.acq_options_bjerksund_greeks($C$4,$C$5,F7,$C$7,$C$9,$C$10,$C$8,TRUE)</f>
        <v>50</v>
      </c>
      <c r="H7">
        <f>_xll.acq_options_bjerksund_greeks($C$4,$C$5,F7,$C$7,$C$9,$C$10,$C$8,FALSE)</f>
        <v>2.0157900578396948E-3</v>
      </c>
      <c r="I7">
        <f>_xll.acq_options_binomial_american_greeks($C$4,$C$5,F7,$C$7,$C$9,$C$10,$C$8,TRUE,500)</f>
        <v>50.00000000000118</v>
      </c>
      <c r="J7">
        <f>_xll.acq_options_binomial_american_greeks($C$4,$C$5,F7,$C$7,$C$9,$C$10,$C$8,FALSE)</f>
        <v>2.0164891238280643E-3</v>
      </c>
      <c r="K7">
        <f>_xll.acq_options_trinomial_american_greeks($C$4,$C$5,F7,$C$7,$C$9,$C$10,$C$8,TRUE,500)</f>
        <v>49.999999999999986</v>
      </c>
      <c r="L7">
        <f>_xll.acq_options_trinomial_american_greeks($C$4,$C$5,F7,$C$7,$C$9,$C$10,$C$8,FALSE,500)</f>
        <v>2.0202104753871985E-3</v>
      </c>
      <c r="M7">
        <f>_xll.acq_options_blackscholes_greeks($C$4,$C$5,F7,$C$7,$C$9,$C$10,$C$8,TRUE)</f>
        <v>46.567757798347316</v>
      </c>
      <c r="N7">
        <f>_xll.acq_options_blackscholes_greeks($C$4,$C$5,F7,$C$7,$C$9,$C$10,$C$8,FALSE)</f>
        <v>2.003648222303353E-3</v>
      </c>
      <c r="P7">
        <v>0.5</v>
      </c>
      <c r="Q7">
        <f>_xll.acq_options_bjerksund_greeks($C$4,$C$5,$C$6,$P7,$C$9,$C$10,$C$8,TRUE)</f>
        <v>0.35505451568060664</v>
      </c>
      <c r="R7">
        <f>_xll.acq_options_bjerksund_greeks($C$4,$C$5,$C$6,P7,$C$9,$C$10,$C$8,FALSE)</f>
        <v>20</v>
      </c>
      <c r="S7">
        <f>_xll.acq_options_binomial_american_greeks($C$4,$C$5,$C$6,P7,$C$9,$C$10,$C$8,TRUE,500)</f>
        <v>0.35501734744452784</v>
      </c>
      <c r="T7">
        <f>_xll.acq_options_binomial_american_greeks($C$4,$C$5,$C$6,P7,$C$9,$C$10,$C$8,FALSE)</f>
        <v>20.000000000000711</v>
      </c>
      <c r="U7">
        <f>_xll.acq_options_blackscholes_greeks($C$4,$C$5,$C$6,P7,$C$9,$C$10,$C$8,TRUE)</f>
        <v>0.35505450869495725</v>
      </c>
      <c r="V7">
        <f>_xll.acq_options_blackscholes_greeks($C$4,$C$5,$C$6,P7,$C$9,$C$10,$C$8,FALSE)</f>
        <v>18.98371399900536</v>
      </c>
      <c r="W7">
        <f>_xll.acq_options_trinomial_american_greeks($C$4,$C$5,$C$6,P7,$C$9,$C$10,$C$8,TRUE,500)</f>
        <v>0.35446037434305855</v>
      </c>
      <c r="X7">
        <f>_xll.acq_options_trinomial_american_greeks($C$4,$C$5,$C$6,P7,$C$9,$C$10,$C$8,FALSE)</f>
        <v>19.999999999999858</v>
      </c>
      <c r="Z7">
        <f t="shared" si="0"/>
        <v>3.4322256393995616</v>
      </c>
    </row>
    <row r="8" spans="1:27" x14ac:dyDescent="0.25">
      <c r="B8" t="s">
        <v>89</v>
      </c>
      <c r="C8" s="5">
        <v>0.2</v>
      </c>
      <c r="F8">
        <v>40</v>
      </c>
      <c r="G8">
        <f>_xll.acq_options_bjerksund_greeks($C$4,$C$5,F8,$C$7,$C$9,$C$10,$C$8,TRUE)</f>
        <v>40</v>
      </c>
      <c r="H8">
        <f>_xll.acq_options_bjerksund_greeks($C$4,$C$5,F8,$C$7,$C$9,$C$10,$C$8,FALSE)</f>
        <v>5.0063267512371112E-2</v>
      </c>
      <c r="I8">
        <f>_xll.acq_options_binomial_american_greeks($C$4,$C$5,F8,$C$7,$C$9,$C$10,$C$8,TRUE,500)</f>
        <v>40.00000000000118</v>
      </c>
      <c r="J8">
        <f>_xll.acq_options_binomial_american_greeks($C$4,$C$5,F8,$C$7,$C$9,$C$10,$C$8,FALSE)</f>
        <v>5.0724140906864779E-2</v>
      </c>
      <c r="K8">
        <f>_xll.acq_options_trinomial_american_greeks($C$4,$C$5,F8,$C$7,$C$9,$C$10,$C$8,TRUE,500)</f>
        <v>39.999999999999986</v>
      </c>
      <c r="L8">
        <f>_xll.acq_options_trinomial_american_greeks($C$4,$C$5,F8,$C$7,$C$9,$C$10,$C$8,FALSE,500)</f>
        <v>5.0745317142587704E-2</v>
      </c>
      <c r="M8">
        <f>_xll.acq_options_blackscholes_greeks($C$4,$C$5,F8,$C$7,$C$9,$C$10,$C$8,TRUE)</f>
        <v>38.008037548963244</v>
      </c>
      <c r="N8">
        <f>_xll.acq_options_blackscholes_greeks($C$4,$C$5,F8,$C$7,$C$9,$C$10,$C$8,FALSE)</f>
        <v>4.9363163088802509E-2</v>
      </c>
      <c r="P8">
        <v>1</v>
      </c>
      <c r="Q8">
        <f>_xll.acq_options_bjerksund_greeks($C$4,$C$5,$C$6,$P8,$C$9,$C$10,$C$8,TRUE)</f>
        <v>1.3714112161997178</v>
      </c>
      <c r="R8">
        <f>_xll.acq_options_bjerksund_greeks($C$4,$C$5,$C$6,P8,$C$9,$C$10,$C$8,FALSE)</f>
        <v>20.12865819676859</v>
      </c>
      <c r="S8">
        <f>_xll.acq_options_binomial_american_greeks($C$4,$C$5,$C$6,P8,$C$9,$C$10,$C$8,TRUE,500)</f>
        <v>1.372410174366212</v>
      </c>
      <c r="T8">
        <f>_xll.acq_options_binomial_american_greeks($C$4,$C$5,$C$6,P8,$C$9,$C$10,$C$8,FALSE)</f>
        <v>20.163865097563622</v>
      </c>
      <c r="U8">
        <f>_xll.acq_options_blackscholes_greeks($C$4,$C$5,$C$6,P8,$C$9,$C$10,$C$8,TRUE)</f>
        <v>1.3713969167756943</v>
      </c>
      <c r="V8">
        <f>_xll.acq_options_blackscholes_greeks($C$4,$C$5,$C$6,P8,$C$9,$C$10,$C$8,FALSE)</f>
        <v>18.684695143014714</v>
      </c>
      <c r="W8">
        <f>_xll.acq_options_trinomial_american_greeks($C$4,$C$5,$C$6,P8,$C$9,$C$10,$C$8,TRUE,500)</f>
        <v>1.3717766118614212</v>
      </c>
      <c r="X8">
        <f>_xll.acq_options_trinomial_american_greeks($C$4,$C$5,$C$6,P8,$C$9,$C$10,$C$8,FALSE)</f>
        <v>20.162507499201109</v>
      </c>
      <c r="Z8">
        <f t="shared" si="0"/>
        <v>1.9905802969829409</v>
      </c>
      <c r="AA8" s="13"/>
    </row>
    <row r="9" spans="1:27" x14ac:dyDescent="0.25">
      <c r="B9" t="s">
        <v>90</v>
      </c>
      <c r="C9" s="51">
        <v>0.06</v>
      </c>
      <c r="F9">
        <v>50</v>
      </c>
      <c r="G9">
        <f>_xll.acq_options_bjerksund_greeks($C$4,$C$5,F9,$C$7,$C$9,$C$10,$C$8,TRUE)</f>
        <v>30.487152647952069</v>
      </c>
      <c r="H9">
        <f>_xll.acq_options_bjerksund_greeks($C$4,$C$5,F9,$C$7,$C$9,$C$10,$C$8,FALSE)</f>
        <v>0.37549289503182592</v>
      </c>
      <c r="I9">
        <f>_xll.acq_options_binomial_american_greeks($C$4,$C$5,F9,$C$7,$C$9,$C$10,$C$8,TRUE,500)</f>
        <v>30.498607987378957</v>
      </c>
      <c r="J9">
        <f>_xll.acq_options_binomial_american_greeks($C$4,$C$5,F9,$C$7,$C$9,$C$10,$C$8,FALSE)</f>
        <v>0.38098762630663141</v>
      </c>
      <c r="K9">
        <f>_xll.acq_options_trinomial_american_greeks($C$4,$C$5,F9,$C$7,$C$9,$C$10,$C$8,TRUE,500)</f>
        <v>30.498380409808711</v>
      </c>
      <c r="L9">
        <f>_xll.acq_options_trinomial_american_greeks($C$4,$C$5,F9,$C$7,$C$9,$C$10,$C$8,FALSE,500)</f>
        <v>0.38081386927335337</v>
      </c>
      <c r="M9">
        <f>_xll.acq_options_blackscholes_greeks($C$4,$C$5,F9,$C$7,$C$9,$C$10,$C$8,TRUE)</f>
        <v>29.717343880901694</v>
      </c>
      <c r="N9">
        <f>_xll.acq_options_blackscholes_greeks($C$4,$C$5,F9,$C$7,$C$9,$C$10,$C$8,FALSE)</f>
        <v>0.36574925927782242</v>
      </c>
      <c r="P9">
        <v>2</v>
      </c>
      <c r="Q9">
        <f>_xll.acq_options_bjerksund_greeks($C$4,$C$5,$C$6,$P9,$C$9,$C$10,$C$8,TRUE)</f>
        <v>3.5533683946349583</v>
      </c>
      <c r="R9">
        <f>_xll.acq_options_bjerksund_greeks($C$4,$C$5,$C$6,P9,$C$9,$C$10,$C$8,FALSE)</f>
        <v>20.750365893277309</v>
      </c>
      <c r="S9">
        <f>_xll.acq_options_binomial_american_greeks($C$4,$C$5,$C$6,P9,$C$9,$C$10,$C$8,TRUE,500)</f>
        <v>3.553605543926504</v>
      </c>
      <c r="T9">
        <f>_xll.acq_options_binomial_american_greeks($C$4,$C$5,$C$6,P9,$C$9,$C$10,$C$8,FALSE)</f>
        <v>20.792522602415836</v>
      </c>
      <c r="U9">
        <f>_xll.acq_options_blackscholes_greeks($C$4,$C$5,$C$6,P9,$C$9,$C$10,$C$8,TRUE)</f>
        <v>3.5516862799483064</v>
      </c>
      <c r="V9">
        <f>_xll.acq_options_blackscholes_greeks($C$4,$C$5,$C$6,P9,$C$9,$C$10,$C$8,FALSE)</f>
        <v>18.394422240733199</v>
      </c>
      <c r="W9">
        <f>_xll.acq_options_trinomial_american_greeks($C$4,$C$5,$C$6,P9,$C$9,$C$10,$C$8,TRUE,500)</f>
        <v>3.5552974923851526</v>
      </c>
      <c r="X9">
        <f>_xll.acq_options_trinomial_american_greeks($C$4,$C$5,$C$6,P9,$C$9,$C$10,$C$8,FALSE)</f>
        <v>20.7919965425789</v>
      </c>
      <c r="Y9" s="11"/>
      <c r="Z9">
        <f t="shared" si="0"/>
        <v>0.76597191891147176</v>
      </c>
    </row>
    <row r="10" spans="1:27" x14ac:dyDescent="0.25">
      <c r="B10" t="s">
        <v>123</v>
      </c>
      <c r="C10" s="52">
        <v>0.04</v>
      </c>
      <c r="F10">
        <v>60</v>
      </c>
      <c r="G10">
        <f>_xll.acq_options_bjerksund_greeks($C$4,$C$5,F10,$C$7,$C$9,$C$10,$C$8,TRUE)</f>
        <v>22.430820824175672</v>
      </c>
      <c r="H10">
        <f>_xll.acq_options_bjerksund_greeks($C$4,$C$5,F10,$C$7,$C$9,$C$10,$C$8,FALSE)</f>
        <v>1.4628849085821187</v>
      </c>
      <c r="I10">
        <f>_xll.acq_options_binomial_american_greeks($C$4,$C$5,F10,$C$7,$C$9,$C$10,$C$8,TRUE,500)</f>
        <v>22.445588153801527</v>
      </c>
      <c r="J10">
        <f>_xll.acq_options_binomial_american_greeks($C$4,$C$5,F10,$C$7,$C$9,$C$10,$C$8,FALSE)</f>
        <v>1.4797874865549066</v>
      </c>
      <c r="K10">
        <f>_xll.acq_options_trinomial_american_greeks($C$4,$C$5,F10,$C$7,$C$9,$C$10,$C$8,TRUE,500)</f>
        <v>22.446455528312654</v>
      </c>
      <c r="L10">
        <f>_xll.acq_options_trinomial_american_greeks($C$4,$C$5,F10,$C$7,$C$9,$C$10,$C$8,FALSE,500)</f>
        <v>1.480431683143093</v>
      </c>
      <c r="M10">
        <f>_xll.acq_options_blackscholes_greeks($C$4,$C$5,F10,$C$7,$C$9,$C$10,$C$8,TRUE)</f>
        <v>22.146383610307787</v>
      </c>
      <c r="N10">
        <f>_xll.acq_options_blackscholes_greeks($C$4,$C$5,F10,$C$7,$C$9,$C$10,$C$8,FALSE)</f>
        <v>1.401868752934508</v>
      </c>
      <c r="P10">
        <v>3</v>
      </c>
      <c r="Q10">
        <f>_xll.acq_options_bjerksund_greeks($C$4,$C$5,$C$6,$P10,$C$9,$C$10,$C$8,TRUE)</f>
        <v>5.489098402517925</v>
      </c>
      <c r="R10">
        <f>_xll.acq_options_bjerksund_greeks($C$4,$C$5,$C$6,P10,$C$9,$C$10,$C$8,FALSE)</f>
        <v>21.317820273681445</v>
      </c>
      <c r="S10">
        <f>_xll.acq_options_binomial_american_greeks($C$4,$C$5,$C$6,P10,$C$9,$C$10,$C$8,TRUE,500)</f>
        <v>5.4921344238709562</v>
      </c>
      <c r="T10">
        <f>_xll.acq_options_binomial_american_greeks($C$4,$C$5,$C$6,P10,$C$9,$C$10,$C$8,FALSE)</f>
        <v>21.366066041117783</v>
      </c>
      <c r="U10">
        <f>_xll.acq_options_blackscholes_greeks($C$4,$C$5,$C$6,P10,$C$9,$C$10,$C$8,TRUE)</f>
        <v>5.4765239990462931</v>
      </c>
      <c r="V10">
        <f>_xll.acq_options_blackscholes_greeks($C$4,$C$5,$C$6,P10,$C$9,$C$10,$C$8,FALSE)</f>
        <v>18.049910202800888</v>
      </c>
      <c r="W10">
        <f>_xll.acq_options_trinomial_american_greeks($C$4,$C$5,$C$6,P10,$C$9,$C$10,$C$8,TRUE,500)</f>
        <v>5.4919312685658506</v>
      </c>
      <c r="X10">
        <f>_xll.acq_options_trinomial_american_greeks($C$4,$C$5,$C$6,P10,$C$9,$C$10,$C$8,FALSE)</f>
        <v>21.363386936449352</v>
      </c>
      <c r="Z10">
        <f t="shared" si="0"/>
        <v>0.2215089877962555</v>
      </c>
    </row>
    <row r="11" spans="1:27" x14ac:dyDescent="0.25">
      <c r="B11" t="s">
        <v>91</v>
      </c>
      <c r="C11" s="5" t="b">
        <v>1</v>
      </c>
      <c r="F11">
        <v>70</v>
      </c>
      <c r="G11">
        <f>_xll.acq_options_bjerksund_greeks($C$4,$C$5,F11,$C$7,$C$9,$C$10,$C$8,TRUE)</f>
        <v>15.853930971233307</v>
      </c>
      <c r="H11">
        <f>_xll.acq_options_bjerksund_greeks($C$4,$C$5,F11,$C$7,$C$9,$C$10,$C$8,FALSE)</f>
        <v>3.8462442765554528</v>
      </c>
      <c r="I11">
        <f>_xll.acq_options_binomial_american_greeks($C$4,$C$5,F11,$C$7,$C$9,$C$10,$C$8,TRUE,500)</f>
        <v>15.866713732138688</v>
      </c>
      <c r="J11">
        <f>_xll.acq_options_binomial_american_greeks($C$4,$C$5,F11,$C$7,$C$9,$C$10,$C$8,FALSE)</f>
        <v>3.8824119701638331</v>
      </c>
      <c r="K11">
        <f>_xll.acq_options_trinomial_american_greeks($C$4,$C$5,F11,$C$7,$C$9,$C$10,$C$8,TRUE,500)</f>
        <v>15.865993500151173</v>
      </c>
      <c r="L11">
        <f>_xll.acq_options_trinomial_american_greeks($C$4,$C$5,F11,$C$7,$C$9,$C$10,$C$8,FALSE,500)</f>
        <v>3.8810475580777197</v>
      </c>
      <c r="M11">
        <f>_xll.acq_options_blackscholes_greeks($C$4,$C$5,F11,$C$7,$C$9,$C$10,$C$8,TRUE)</f>
        <v>15.749546206029741</v>
      </c>
      <c r="N11">
        <f>_xll.acq_options_blackscholes_greeks($C$4,$C$5,F11,$C$7,$C$9,$C$10,$C$8,FALSE)</f>
        <v>3.61211111290703</v>
      </c>
      <c r="P11">
        <v>4</v>
      </c>
      <c r="Q11">
        <f>_xll.acq_options_bjerksund_greeks($C$4,$C$5,$C$6,$P11,$C$9,$C$10,$C$8,TRUE)</f>
        <v>7.1597639755190912</v>
      </c>
      <c r="R11">
        <f>_xll.acq_options_bjerksund_greeks($C$4,$C$5,$C$6,P11,$C$9,$C$10,$C$8,FALSE)</f>
        <v>21.78394002129593</v>
      </c>
      <c r="S11">
        <f>_xll.acq_options_binomial_american_greeks($C$4,$C$5,$C$6,P11,$C$9,$C$10,$C$8,TRUE,500)</f>
        <v>7.1670978039002691</v>
      </c>
      <c r="T11">
        <f>_xll.acq_options_binomial_american_greeks($C$4,$C$5,$C$6,P11,$C$9,$C$10,$C$8,FALSE)</f>
        <v>21.834705046034131</v>
      </c>
      <c r="U11">
        <f>_xll.acq_options_blackscholes_greeks($C$4,$C$5,$C$6,P11,$C$9,$C$10,$C$8,TRUE)</f>
        <v>7.1184240923643642</v>
      </c>
      <c r="V11">
        <f>_xll.acq_options_blackscholes_greeks($C$4,$C$5,$C$6,P11,$C$9,$C$10,$C$8,FALSE)</f>
        <v>17.60970708172281</v>
      </c>
      <c r="W11">
        <f>_xll.acq_options_trinomial_american_greeks($C$4,$C$5,$C$6,P11,$C$9,$C$10,$C$8,TRUE,500)</f>
        <v>7.1659504190710379</v>
      </c>
      <c r="X11">
        <f>_xll.acq_options_trinomial_american_greeks($C$4,$C$5,$C$6,P11,$C$9,$C$10,$C$8,FALSE)</f>
        <v>21.831061875064631</v>
      </c>
      <c r="Z11">
        <f t="shared" si="0"/>
        <v>-0.15248915104927363</v>
      </c>
    </row>
    <row r="12" spans="1:27" x14ac:dyDescent="0.25">
      <c r="B12" t="s">
        <v>161</v>
      </c>
      <c r="C12" s="50">
        <f>C9-C10</f>
        <v>1.9999999999999997E-2</v>
      </c>
      <c r="F12">
        <v>80</v>
      </c>
      <c r="G12">
        <f>_xll.acq_options_bjerksund_greeks($C$4,$C$5,F12,$C$7,$C$9,$C$10,$C$8,TRUE)</f>
        <v>10.785772502599372</v>
      </c>
      <c r="H12">
        <f>_xll.acq_options_bjerksund_greeks($C$4,$C$5,F12,$C$7,$C$9,$C$10,$C$8,FALSE)</f>
        <v>7.8700177822955482</v>
      </c>
      <c r="I12">
        <f>_xll.acq_options_binomial_american_greeks($C$4,$C$5,F12,$C$7,$C$9,$C$10,$C$8,TRUE,500)</f>
        <v>10.787516089465147</v>
      </c>
      <c r="J12">
        <f>_xll.acq_options_binomial_american_greeks($C$4,$C$5,F12,$C$7,$C$9,$C$10,$C$8,FALSE)</f>
        <v>7.9148107175946514</v>
      </c>
      <c r="K12">
        <f>_xll.acq_options_trinomial_american_greeks($C$4,$C$5,F12,$C$7,$C$9,$C$10,$C$8,TRUE,500)</f>
        <v>10.789799785481252</v>
      </c>
      <c r="L12">
        <f>_xll.acq_options_trinomial_american_greeks($C$4,$C$5,F12,$C$7,$C$9,$C$10,$C$8,FALSE,500)</f>
        <v>7.9151152949034689</v>
      </c>
      <c r="M12">
        <f>_xll.acq_options_blackscholes_greeks($C$4,$C$5,F12,$C$7,$C$9,$C$10,$C$8,TRUE)</f>
        <v>10.747330990955795</v>
      </c>
      <c r="N12">
        <f>_xll.acq_options_blackscholes_greeks($C$4,$C$5,F12,$C$7,$C$9,$C$10,$C$8,FALSE)</f>
        <v>7.2169756620836516</v>
      </c>
      <c r="P12">
        <v>5</v>
      </c>
      <c r="Q12">
        <f>_xll.acq_options_bjerksund_greeks($C$4,$C$5,$C$6,$P12,$C$9,$C$10,$C$8,TRUE)</f>
        <v>8.6069710414120095</v>
      </c>
      <c r="R12">
        <f>_xll.acq_options_bjerksund_greeks($C$4,$C$5,$C$6,P12,$C$9,$C$10,$C$8,FALSE)</f>
        <v>22.164364553620423</v>
      </c>
      <c r="S12">
        <f>_xll.acq_options_binomial_american_greeks($C$4,$C$5,$C$6,P12,$C$9,$C$10,$C$8,TRUE,500)</f>
        <v>8.6208685977530592</v>
      </c>
      <c r="T12">
        <f>_xll.acq_options_binomial_american_greeks($C$4,$C$5,$C$6,P12,$C$9,$C$10,$C$8,FALSE)</f>
        <v>22.216409923670852</v>
      </c>
      <c r="U12">
        <f>_xll.acq_options_blackscholes_greeks($C$4,$C$5,$C$6,P12,$C$9,$C$10,$C$8,TRUE)</f>
        <v>8.5135393274726532</v>
      </c>
      <c r="V12">
        <f>_xll.acq_options_blackscholes_greeks($C$4,$C$5,$C$6,P12,$C$9,$C$10,$C$8,FALSE)</f>
        <v>17.096901149405888</v>
      </c>
      <c r="W12">
        <f>_xll.acq_options_trinomial_american_greeks($C$4,$C$5,$C$6,P12,$C$9,$C$10,$C$8,TRUE,500)</f>
        <v>8.6155333627550021</v>
      </c>
      <c r="X12">
        <f>_xll.acq_options_trinomial_american_greeks($C$4,$C$5,$C$6,P12,$C$9,$C$10,$C$8,FALSE)</f>
        <v>22.210377103114283</v>
      </c>
      <c r="Z12">
        <f t="shared" si="0"/>
        <v>-0.65567083829436656</v>
      </c>
    </row>
    <row r="13" spans="1:27" x14ac:dyDescent="0.25">
      <c r="F13">
        <v>90</v>
      </c>
      <c r="G13">
        <f>_xll.acq_options_bjerksund_greeks($C$4,$C$5,F13,$C$7,$C$9,$C$10,$C$8,TRUE)</f>
        <v>7.102541516770799</v>
      </c>
      <c r="H13">
        <f>_xll.acq_options_bjerksund_greeks($C$4,$C$5,F13,$C$7,$C$9,$C$10,$C$8,FALSE)</f>
        <v>13.629482806088344</v>
      </c>
      <c r="I13">
        <f>_xll.acq_options_binomial_american_greeks($C$4,$C$5,F13,$C$7,$C$9,$C$10,$C$8,TRUE,500)</f>
        <v>7.105659637756867</v>
      </c>
      <c r="J13">
        <f>_xll.acq_options_binomial_american_greeks($C$4,$C$5,F13,$C$7,$C$9,$C$10,$C$8,FALSE)</f>
        <v>13.678926821754601</v>
      </c>
      <c r="K13">
        <f>_xll.acq_options_trinomial_american_greeks($C$4,$C$5,F13,$C$7,$C$9,$C$10,$C$8,TRUE,500)</f>
        <v>7.1050671839426629</v>
      </c>
      <c r="L13">
        <f>_xll.acq_options_trinomial_american_greeks($C$4,$C$5,F13,$C$7,$C$9,$C$10,$C$8,FALSE,500)</f>
        <v>13.67667721163852</v>
      </c>
      <c r="M13">
        <f>_xll.acq_options_blackscholes_greeks($C$4,$C$5,F13,$C$7,$C$9,$C$10,$C$8,TRUE)</f>
        <v>7.0882590547425899</v>
      </c>
      <c r="N13">
        <f>_xll.acq_options_blackscholes_greeks($C$4,$C$5,F13,$C$7,$C$9,$C$10,$C$8,FALSE)</f>
        <v>12.164983490121045</v>
      </c>
      <c r="P13">
        <v>6</v>
      </c>
      <c r="Q13">
        <f>_xll.acq_options_bjerksund_greeks($C$4,$C$5,$C$6,$P13,$C$9,$C$10,$C$8,TRUE)</f>
        <v>9.8690906190489329</v>
      </c>
      <c r="R13">
        <f>_xll.acq_options_bjerksund_greeks($C$4,$C$5,$C$6,P13,$C$9,$C$10,$C$8,FALSE)</f>
        <v>22.477253634679737</v>
      </c>
      <c r="S13">
        <f>_xll.acq_options_binomial_american_greeks($C$4,$C$5,$C$6,P13,$C$9,$C$10,$C$8,TRUE,500)</f>
        <v>9.8784238870998458</v>
      </c>
      <c r="T13">
        <f>_xll.acq_options_binomial_american_greeks($C$4,$C$5,$C$6,P13,$C$9,$C$10,$C$8,FALSE)</f>
        <v>22.526416162511772</v>
      </c>
      <c r="U13">
        <f>_xll.acq_options_blackscholes_greeks($C$4,$C$5,$C$6,P13,$C$9,$C$10,$C$8,TRUE)</f>
        <v>9.6976621265012177</v>
      </c>
      <c r="V13">
        <f>_xll.acq_options_blackscholes_greeks($C$4,$C$5,$C$6,P13,$C$9,$C$10,$C$8,FALSE)</f>
        <v>16.535065848280055</v>
      </c>
      <c r="W13">
        <f>_xll.acq_options_trinomial_american_greeks($C$4,$C$5,$C$6,P13,$C$9,$C$10,$C$8,TRUE,500)</f>
        <v>9.8821952981193775</v>
      </c>
      <c r="X13">
        <f>_xll.acq_options_trinomial_american_greeks($C$4,$C$5,$C$6,P13,$C$9,$C$10,$C$8,FALSE)</f>
        <v>22.521623286708291</v>
      </c>
      <c r="Z13">
        <f t="shared" si="0"/>
        <v>-1.494885592317428</v>
      </c>
    </row>
    <row r="14" spans="1:27" x14ac:dyDescent="0.25">
      <c r="F14">
        <v>100</v>
      </c>
      <c r="G14">
        <f>_xll.acq_options_bjerksund_greeks($C$4,$C$5,F14,$C$7,$C$9,$C$10,$C$8,TRUE)</f>
        <v>4.5564752177547092</v>
      </c>
      <c r="H14">
        <f>_xll.acq_options_bjerksund_greeks($C$4,$C$5,F14,$C$7,$C$9,$C$10,$C$8,FALSE)</f>
        <v>21.046997807419487</v>
      </c>
      <c r="I14">
        <f>_xll.acq_options_binomial_american_greeks($C$4,$C$5,F14,$C$7,$C$9,$C$10,$C$8,TRUE,500)</f>
        <v>4.5560551169431056</v>
      </c>
      <c r="J14" s="43">
        <f>_xll.acq_options_binomial_american_greeks($C$4,$C$5,F14,$C$7,$C$9,$C$10,$C$8,FALSE)</f>
        <v>21.091955921688211</v>
      </c>
      <c r="K14">
        <f>_xll.acq_options_trinomial_american_greeks($C$4,$C$5,F14,$C$7,$C$9,$C$10,$C$8,TRUE,500)</f>
        <v>4.5576258454195173</v>
      </c>
      <c r="L14">
        <f>_xll.acq_options_trinomial_american_greeks($C$4,$C$5,F14,$C$7,$C$9,$C$10,$C$8,FALSE,500)</f>
        <v>21.090392408953964</v>
      </c>
      <c r="M14">
        <f>_xll.acq_options_blackscholes_greeks($C$4,$C$5,F14,$C$7,$C$9,$C$10,$C$8,TRUE)</f>
        <v>4.5511018468385949</v>
      </c>
      <c r="N14">
        <f>_xll.acq_options_blackscholes_greeks($C$4,$C$5,F14,$C$7,$C$9,$C$10,$C$8,FALSE)</f>
        <v>18.234906046467614</v>
      </c>
      <c r="P14">
        <v>7</v>
      </c>
      <c r="Q14">
        <f>_xll.acq_options_bjerksund_greeks($C$4,$C$5,$C$6,$P14,$C$9,$C$10,$C$8,TRUE)</f>
        <v>10.976626329711749</v>
      </c>
      <c r="R14">
        <f>_xll.acq_options_bjerksund_greeks($C$4,$C$5,$C$6,P14,$C$9,$C$10,$C$8,FALSE)</f>
        <v>22.737124892423981</v>
      </c>
      <c r="S14">
        <f>_xll.acq_options_binomial_american_greeks($C$4,$C$5,$C$6,P14,$C$9,$C$10,$C$8,TRUE,500)</f>
        <v>10.994300133623087</v>
      </c>
      <c r="T14">
        <f>_xll.acq_options_binomial_american_greeks($C$4,$C$5,$C$6,P14,$C$9,$C$10,$C$8,FALSE)</f>
        <v>22.78526027783365</v>
      </c>
      <c r="U14">
        <f>_xll.acq_options_blackscholes_greeks($C$4,$C$5,$C$6,P14,$C$9,$C$10,$C$8,TRUE)</f>
        <v>10.70055077793285</v>
      </c>
      <c r="V14">
        <f>_xll.acq_options_blackscholes_greeks($C$4,$C$5,$C$6,P14,$C$9,$C$10,$C$8,FALSE)</f>
        <v>15.942533442980483</v>
      </c>
      <c r="W14">
        <f>_xll.acq_options_trinomial_american_greeks($C$4,$C$5,$C$6,P14,$C$9,$C$10,$C$8,TRUE,500)</f>
        <v>10.9937639191799</v>
      </c>
      <c r="X14">
        <f>_xll.acq_options_trinomial_american_greeks($C$4,$C$5,$C$6,P14,$C$9,$C$10,$C$8,FALSE)</f>
        <v>22.780982213002527</v>
      </c>
      <c r="Z14">
        <f t="shared" si="0"/>
        <v>-2.8489623639054376</v>
      </c>
    </row>
    <row r="15" spans="1:27" x14ac:dyDescent="0.25">
      <c r="F15">
        <v>110</v>
      </c>
      <c r="G15">
        <f>_xll.acq_options_bjerksund_greeks($C$4,$C$5,F15,$C$7,$C$9,$C$10,$C$8,TRUE)</f>
        <v>2.8649835138199933</v>
      </c>
      <c r="H15">
        <f>_xll.acq_options_bjerksund_greeks($C$4,$C$5,F15,$C$7,$C$9,$C$10,$C$8,FALSE)</f>
        <v>30</v>
      </c>
      <c r="I15">
        <f>_xll.acq_options_binomial_american_greeks($C$4,$C$5,F15,$C$7,$C$9,$C$10,$C$8,TRUE,500)</f>
        <v>2.8658896425262248</v>
      </c>
      <c r="J15">
        <f>_xll.acq_options_binomial_american_greeks($C$4,$C$5,F15,$C$7,$C$9,$C$10,$C$8,FALSE)</f>
        <v>30.035232694413907</v>
      </c>
      <c r="K15">
        <f>_xll.acq_options_trinomial_american_greeks($C$4,$C$5,F15,$C$7,$C$9,$C$10,$C$8,TRUE,500)</f>
        <v>2.8641484870550871</v>
      </c>
      <c r="L15">
        <f>_xll.acq_options_trinomial_american_greeks($C$4,$C$5,F15,$C$7,$C$9,$C$10,$C$8,FALSE,500)</f>
        <v>30.037336547675785</v>
      </c>
      <c r="M15">
        <f>_xll.acq_options_blackscholes_greeks($C$4,$C$5,F15,$C$7,$C$9,$C$10,$C$8,TRUE)</f>
        <v>2.862930735575695</v>
      </c>
      <c r="N15">
        <f>_xll.acq_options_blackscholes_greeks($C$4,$C$5,F15,$C$7,$C$9,$C$10,$C$8,FALSE)</f>
        <v>25.153814699455282</v>
      </c>
      <c r="P15">
        <v>8</v>
      </c>
      <c r="Q15">
        <f>_xll.acq_options_bjerksund_greeks($C$4,$C$5,$C$6,$P15,$C$9,$C$10,$C$8,TRUE)</f>
        <v>11.953580710569064</v>
      </c>
      <c r="R15">
        <f>_xll.acq_options_bjerksund_greeks($C$4,$C$5,$C$6,P15,$C$9,$C$10,$C$8,FALSE)</f>
        <v>22.954984683416903</v>
      </c>
      <c r="S15">
        <f>_xll.acq_options_binomial_american_greeks($C$4,$C$5,$C$6,P15,$C$9,$C$10,$C$8,TRUE,500)</f>
        <v>11.974898991092967</v>
      </c>
      <c r="T15">
        <f>_xll.acq_options_binomial_american_greeks($C$4,$C$5,$C$6,P15,$C$9,$C$10,$C$8,FALSE)</f>
        <v>23.001839807411503</v>
      </c>
      <c r="U15">
        <f>_xll.acq_options_blackscholes_greeks($C$4,$C$5,$C$6,P15,$C$9,$C$10,$C$8,TRUE)</f>
        <v>11.546546232333785</v>
      </c>
      <c r="V15">
        <f>_xll.acq_options_blackscholes_greeks($C$4,$C$5,$C$6,P15,$C$9,$C$10,$C$8,FALSE)</f>
        <v>15.332962447052594</v>
      </c>
      <c r="W15">
        <f>_xll.acq_options_trinomial_american_greeks($C$4,$C$5,$C$6,P15,$C$9,$C$10,$C$8,TRUE,500)</f>
        <v>11.971555048494547</v>
      </c>
      <c r="X15">
        <f>_xll.acq_options_trinomial_american_greeks($C$4,$C$5,$C$6,P15,$C$9,$C$10,$C$8,FALSE)</f>
        <v>23.000735550756232</v>
      </c>
      <c r="Z15">
        <f t="shared" si="0"/>
        <v>-4.882304096741116</v>
      </c>
    </row>
    <row r="16" spans="1:27" x14ac:dyDescent="0.25">
      <c r="F16">
        <v>120</v>
      </c>
      <c r="G16">
        <f>_xll.acq_options_bjerksund_greeks($C$4,$C$5,F16,$C$7,$C$9,$C$10,$C$8,TRUE)</f>
        <v>1.7747808899319608</v>
      </c>
      <c r="H16">
        <f>_xll.acq_options_bjerksund_greeks($C$4,$C$5,F16,$C$7,$C$9,$C$10,$C$8,FALSE)</f>
        <v>40</v>
      </c>
      <c r="I16">
        <f>_xll.acq_options_binomial_american_greeks($C$4,$C$5,F16,$C$7,$C$9,$C$10,$C$8,TRUE,500)</f>
        <v>1.7752763323819662</v>
      </c>
      <c r="J16">
        <f>_xll.acq_options_binomial_american_greeks($C$4,$C$5,F16,$C$7,$C$9,$C$10,$C$8,FALSE)</f>
        <v>39.99999999999882</v>
      </c>
      <c r="K16">
        <f>_xll.acq_options_trinomial_american_greeks($C$4,$C$5,F16,$C$7,$C$9,$C$10,$C$8,TRUE,500)</f>
        <v>1.7749433956584808</v>
      </c>
      <c r="L16">
        <f>_xll.acq_options_trinomial_american_greeks($C$4,$C$5,F16,$C$7,$C$9,$C$10,$C$8,FALSE,500)</f>
        <v>40.000000000000014</v>
      </c>
      <c r="M16">
        <f>_xll.acq_options_blackscholes_greeks($C$4,$C$5,F16,$C$7,$C$9,$C$10,$C$8,TRUE)</f>
        <v>1.7739829852483062</v>
      </c>
      <c r="N16">
        <f>_xll.acq_options_blackscholes_greeks($C$4,$C$5,F16,$C$7,$C$9,$C$10,$C$8,FALSE)</f>
        <v>32.671946713378489</v>
      </c>
      <c r="P16">
        <v>9</v>
      </c>
      <c r="Q16">
        <f>_xll.acq_options_bjerksund_greeks($C$4,$C$5,$C$6,$P16,$C$9,$C$10,$C$8,TRUE)</f>
        <v>12.819088931134925</v>
      </c>
      <c r="R16">
        <f>_xll.acq_options_bjerksund_greeks($C$4,$C$5,$C$6,P16,$C$9,$C$10,$C$8,FALSE)</f>
        <v>23.139158276283936</v>
      </c>
      <c r="S16">
        <f>_xll.acq_options_binomial_american_greeks($C$4,$C$5,$C$6,P16,$C$9,$C$10,$C$8,TRUE,500)</f>
        <v>12.836107576563149</v>
      </c>
      <c r="T16">
        <f>_xll.acq_options_binomial_american_greeks($C$4,$C$5,$C$6,P16,$C$9,$C$10,$C$8,FALSE)</f>
        <v>23.185655001003557</v>
      </c>
      <c r="U16">
        <f>_xll.acq_options_blackscholes_greeks($C$4,$C$5,$C$6,P16,$C$9,$C$10,$C$8,TRUE)</f>
        <v>12.255754166105291</v>
      </c>
      <c r="V16">
        <f>_xll.acq_options_blackscholes_greeks($C$4,$C$5,$C$6,P16,$C$9,$C$10,$C$8,FALSE)</f>
        <v>14.71647331782178</v>
      </c>
      <c r="W16">
        <f>_xll.acq_options_trinomial_american_greeks($C$4,$C$5,$C$6,P16,$C$9,$C$10,$C$8,TRUE,500)</f>
        <v>12.836507128490545</v>
      </c>
      <c r="X16">
        <f>_xll.acq_options_trinomial_american_greeks($C$4,$C$5,$C$6,P16,$C$9,$C$10,$C$8,FALSE)</f>
        <v>23.184663050501612</v>
      </c>
      <c r="Z16">
        <f t="shared" si="0"/>
        <v>-7.3270928762113705</v>
      </c>
    </row>
    <row r="17" spans="2:26" ht="15.75" thickBot="1" x14ac:dyDescent="0.3">
      <c r="B17" s="3" t="s">
        <v>169</v>
      </c>
      <c r="F17">
        <v>130</v>
      </c>
      <c r="G17">
        <f>_xll.acq_options_bjerksund_greeks($C$4,$C$5,F17,$C$7,$C$9,$C$10,$C$8,TRUE)</f>
        <v>1.0877976643522516</v>
      </c>
      <c r="H17">
        <f>_xll.acq_options_bjerksund_greeks($C$4,$C$5,F17,$C$7,$C$9,$C$10,$C$8,FALSE)</f>
        <v>50</v>
      </c>
      <c r="I17">
        <f>_xll.acq_options_binomial_american_greeks($C$4,$C$5,F17,$C$7,$C$9,$C$10,$C$8,TRUE,500)</f>
        <v>1.0859947582280787</v>
      </c>
      <c r="J17">
        <f>_xll.acq_options_binomial_american_greeks($C$4,$C$5,F17,$C$7,$C$9,$C$10,$C$8,FALSE)</f>
        <v>49.99999999999882</v>
      </c>
      <c r="K17">
        <f>_xll.acq_options_trinomial_american_greeks($C$4,$C$5,F17,$C$7,$C$9,$C$10,$C$8,TRUE,500)</f>
        <v>1.0875315364274123</v>
      </c>
      <c r="L17">
        <f>_xll.acq_options_trinomial_american_greeks($C$4,$C$5,F17,$C$7,$C$9,$C$10,$C$8,FALSE,500)</f>
        <v>50.000000000000014</v>
      </c>
      <c r="M17">
        <f>_xll.acq_options_blackscholes_greeks($C$4,$C$5,F17,$C$7,$C$9,$C$10,$C$8,TRUE)</f>
        <v>1.0874817137678168</v>
      </c>
      <c r="N17">
        <f>_xll.acq_options_blackscholes_greeks($C$4,$C$5,F17,$C$7,$C$9,$C$10,$C$8,FALSE)</f>
        <v>40.592525206148579</v>
      </c>
      <c r="P17">
        <v>10</v>
      </c>
      <c r="Q17">
        <f>_xll.acq_options_bjerksund_greeks($C$4,$C$5,$C$6,$P17,$C$9,$C$10,$C$8,TRUE)</f>
        <v>13.588657407426926</v>
      </c>
      <c r="R17">
        <f>_xll.acq_options_bjerksund_greeks($C$4,$C$5,$C$6,P17,$C$9,$C$10,$C$8,FALSE)</f>
        <v>23.296007166975251</v>
      </c>
      <c r="S17">
        <f>_xll.acq_options_binomial_american_greeks($C$4,$C$5,$C$6,P17,$C$9,$C$10,$C$8,TRUE,500)</f>
        <v>13.602428476058812</v>
      </c>
      <c r="T17">
        <f>_xll.acq_options_binomial_american_greeks($C$4,$C$5,$C$6,P17,$C$9,$C$10,$C$8,FALSE)</f>
        <v>23.340300244311813</v>
      </c>
      <c r="U17">
        <f>_xll.acq_options_blackscholes_greeks($C$4,$C$5,$C$6,P17,$C$9,$C$10,$C$8,TRUE)</f>
        <v>12.845018758126805</v>
      </c>
      <c r="V17">
        <f>_xll.acq_options_blackscholes_greeks($C$4,$C$5,$C$6,P17,$C$9,$C$10,$C$8,FALSE)</f>
        <v>14.1005786846783</v>
      </c>
      <c r="W17">
        <f>_xll.acq_options_trinomial_american_greeks($C$4,$C$5,$C$6,P17,$C$9,$C$10,$C$8,TRUE,500)</f>
        <v>13.610353346017032</v>
      </c>
      <c r="X17">
        <f>_xll.acq_options_trinomial_american_greeks($C$4,$C$5,$C$6,P17,$C$9,$C$10,$C$8,FALSE)</f>
        <v>23.340568738630711</v>
      </c>
      <c r="Z17">
        <f t="shared" si="0"/>
        <v>-9.4074249711918583</v>
      </c>
    </row>
    <row r="18" spans="2:26" x14ac:dyDescent="0.25">
      <c r="B18" t="s">
        <v>99</v>
      </c>
      <c r="F18">
        <v>140</v>
      </c>
      <c r="G18">
        <f>_xll.acq_options_bjerksund_greeks($C$4,$C$5,F18,$C$7,$C$9,$C$10,$C$8,TRUE)</f>
        <v>0.66194442960889432</v>
      </c>
      <c r="H18">
        <f>_xll.acq_options_bjerksund_greeks($C$4,$C$5,F18,$C$7,$C$9,$C$10,$C$8,FALSE)</f>
        <v>60</v>
      </c>
      <c r="I18">
        <f>_xll.acq_options_binomial_american_greeks($C$4,$C$5,F18,$C$7,$C$9,$C$10,$C$8,TRUE,500)</f>
        <v>0.66062760556418976</v>
      </c>
      <c r="J18">
        <f>_xll.acq_options_binomial_american_greeks($C$4,$C$5,F18,$C$7,$C$9,$C$10,$C$8,FALSE)</f>
        <v>59.99999999999882</v>
      </c>
      <c r="K18">
        <f>_xll.acq_options_trinomial_american_greeks($C$4,$C$5,F18,$C$7,$C$9,$C$10,$C$8,TRUE,500)</f>
        <v>0.66035216158533605</v>
      </c>
      <c r="L18">
        <f>_xll.acq_options_trinomial_american_greeks($C$4,$C$5,F18,$C$7,$C$9,$C$10,$C$8,FALSE,500)</f>
        <v>60.000000000000014</v>
      </c>
      <c r="M18">
        <f>_xll.acq_options_blackscholes_greeks($C$4,$C$5,F18,$C$7,$C$9,$C$10,$C$8,TRUE)</f>
        <v>0.66181689423987855</v>
      </c>
      <c r="N18">
        <f>_xll.acq_options_blackscholes_greeks($C$4,$C$5,F18,$C$7,$C$9,$C$10,$C$8,FALSE)</f>
        <v>48.773940150871198</v>
      </c>
      <c r="P18">
        <v>11</v>
      </c>
      <c r="Q18">
        <f>_xll.acq_options_bjerksund_greeks($C$4,$C$5,$C$6,$P18,$C$9,$C$10,$C$8,TRUE)</f>
        <v>14.275042748570662</v>
      </c>
      <c r="R18">
        <f>_xll.acq_options_bjerksund_greeks($C$4,$C$5,$C$6,P18,$C$9,$C$10,$C$8,FALSE)</f>
        <v>23.430456199878812</v>
      </c>
      <c r="S18">
        <f>_xll.acq_options_binomial_american_greeks($C$4,$C$5,$C$6,P18,$C$9,$C$10,$C$8,TRUE,500)</f>
        <v>14.295498438240386</v>
      </c>
      <c r="T18">
        <f>_xll.acq_options_binomial_american_greeks($C$4,$C$5,$C$6,P18,$C$9,$C$10,$C$8,FALSE)</f>
        <v>23.47315978238187</v>
      </c>
      <c r="U18">
        <f>_xll.acq_options_blackscholes_greeks($C$4,$C$5,$C$6,P18,$C$9,$C$10,$C$8,TRUE)</f>
        <v>13.32864340022109</v>
      </c>
      <c r="V18">
        <f>_xll.acq_options_blackscholes_greeks($C$4,$C$5,$C$6,P18,$C$9,$C$10,$C$8,FALSE)</f>
        <v>13.490863162739707</v>
      </c>
      <c r="W18">
        <f>_xll.acq_options_trinomial_american_greeks($C$4,$C$5,$C$6,P18,$C$9,$C$10,$C$8,TRUE,500)</f>
        <v>14.296489058553618</v>
      </c>
      <c r="X18">
        <f>_xll.acq_options_trinomial_american_greeks($C$4,$C$5,$C$6,P18,$C$9,$C$10,$C$8,FALSE)</f>
        <v>23.470588501533062</v>
      </c>
      <c r="Z18">
        <f t="shared" si="0"/>
        <v>-11.227524581783356</v>
      </c>
    </row>
    <row r="19" spans="2:26" x14ac:dyDescent="0.25">
      <c r="B19" t="s">
        <v>100</v>
      </c>
      <c r="F19">
        <v>150</v>
      </c>
      <c r="G19">
        <f>_xll.acq_options_bjerksund_greeks($C$4,$C$5,F19,$C$7,$C$9,$C$10,$C$8,TRUE)</f>
        <v>0.40100452141440712</v>
      </c>
      <c r="H19">
        <f>_xll.acq_options_bjerksund_greeks($C$4,$C$5,F19,$C$7,$C$9,$C$10,$C$8,FALSE)</f>
        <v>70</v>
      </c>
      <c r="I19">
        <f>_xll.acq_options_binomial_american_greeks($C$4,$C$5,F19,$C$7,$C$9,$C$10,$C$8,TRUE,500)</f>
        <v>0.39967596050848903</v>
      </c>
      <c r="J19">
        <f>_xll.acq_options_binomial_american_greeks($C$4,$C$5,F19,$C$7,$C$9,$C$10,$C$8,FALSE)</f>
        <v>69.99999999999882</v>
      </c>
      <c r="K19">
        <f>_xll.acq_options_trinomial_american_greeks($C$4,$C$5,F19,$C$7,$C$9,$C$10,$C$8,TRUE,500)</f>
        <v>0.40069869352047782</v>
      </c>
      <c r="L19">
        <f>_xll.acq_options_trinomial_american_greeks($C$4,$C$5,F19,$C$7,$C$9,$C$10,$C$8,FALSE,500)</f>
        <v>70.000000000000014</v>
      </c>
      <c r="M19">
        <f>_xll.acq_options_blackscholes_greeks($C$4,$C$5,F19,$C$7,$C$9,$C$10,$C$8,TRUE)</f>
        <v>0.40095203195998286</v>
      </c>
      <c r="N19">
        <f>_xll.acq_options_blackscholes_greeks($C$4,$C$5,F19,$C$7,$C$9,$C$10,$C$8,FALSE)</f>
        <v>57.120155052841895</v>
      </c>
      <c r="P19">
        <v>12</v>
      </c>
      <c r="Q19">
        <f>_xll.acq_options_bjerksund_greeks($C$4,$C$5,$C$6,$P19,$C$9,$C$10,$C$8,TRUE)</f>
        <v>14.888875484549732</v>
      </c>
      <c r="R19">
        <f>_xll.acq_options_bjerksund_greeks($C$4,$C$5,$C$6,P19,$C$9,$C$10,$C$8,FALSE)</f>
        <v>23.546368284992187</v>
      </c>
      <c r="S19">
        <f>_xll.acq_options_binomial_american_greeks($C$4,$C$5,$C$6,P19,$C$9,$C$10,$C$8,TRUE,500)</f>
        <v>14.911991152854359</v>
      </c>
      <c r="T19">
        <f>_xll.acq_options_binomial_american_greeks($C$4,$C$5,$C$6,P19,$C$9,$C$10,$C$8,FALSE)</f>
        <v>23.584843510692622</v>
      </c>
      <c r="U19">
        <f>_xll.acq_options_blackscholes_greeks($C$4,$C$5,$C$6,P19,$C$9,$C$10,$C$8,TRUE)</f>
        <v>13.718916522506802</v>
      </c>
      <c r="V19">
        <f>_xll.acq_options_blackscholes_greeks($C$4,$C$5,$C$6,P19,$C$9,$C$10,$C$8,FALSE)</f>
        <v>12.891470774012703</v>
      </c>
      <c r="W19">
        <f>_xll.acq_options_trinomial_american_greeks($C$4,$C$5,$C$6,P19,$C$9,$C$10,$C$8,TRUE,500)</f>
        <v>14.907287728066489</v>
      </c>
      <c r="X19">
        <f>_xll.acq_options_trinomial_american_greeks($C$4,$C$5,$C$6,P19,$C$9,$C$10,$C$8,FALSE)</f>
        <v>23.579038532429529</v>
      </c>
      <c r="Z19">
        <f t="shared" si="0"/>
        <v>-12.880098285597633</v>
      </c>
    </row>
    <row r="20" spans="2:26" x14ac:dyDescent="0.25">
      <c r="B20" t="s">
        <v>101</v>
      </c>
      <c r="F20">
        <v>160</v>
      </c>
      <c r="G20">
        <f>_xll.acq_options_bjerksund_greeks($C$4,$C$5,F20,$C$7,$C$9,$C$10,$C$8,TRUE)</f>
        <v>0.24236350083225489</v>
      </c>
      <c r="H20">
        <f>_xll.acq_options_bjerksund_greeks($C$4,$C$5,F20,$C$7,$C$9,$C$10,$C$8,FALSE)</f>
        <v>80</v>
      </c>
      <c r="I20">
        <f>_xll.acq_options_binomial_american_greeks($C$4,$C$5,F20,$C$7,$C$9,$C$10,$C$8,TRUE,500)</f>
        <v>0.24169918851687733</v>
      </c>
      <c r="J20">
        <f>_xll.acq_options_binomial_american_greeks($C$4,$C$5,F20,$C$7,$C$9,$C$10,$C$8,FALSE)</f>
        <v>79.99999999999882</v>
      </c>
      <c r="K20">
        <f>_xll.acq_options_trinomial_american_greeks($C$4,$C$5,F20,$C$7,$C$9,$C$10,$C$8,TRUE,500)</f>
        <v>0.24197271431601239</v>
      </c>
      <c r="L20">
        <f>_xll.acq_options_trinomial_american_greeks($C$4,$C$5,F20,$C$7,$C$9,$C$10,$C$8,FALSE,500)</f>
        <v>80.000000000000014</v>
      </c>
      <c r="M20">
        <f>_xll.acq_options_blackscholes_greeks($C$4,$C$5,F20,$C$7,$C$9,$C$10,$C$8,TRUE)</f>
        <v>0.24234147714966259</v>
      </c>
      <c r="N20">
        <f>_xll.acq_options_blackscholes_greeks($C$4,$C$5,F20,$C$7,$C$9,$C$10,$C$8,FALSE)</f>
        <v>65.568624262282157</v>
      </c>
      <c r="P20">
        <v>13</v>
      </c>
      <c r="Q20">
        <f>_xll.acq_options_bjerksund_greeks($C$4,$C$5,$C$6,$P20,$C$9,$C$10,$C$8,TRUE)</f>
        <v>15.43911053354682</v>
      </c>
      <c r="R20">
        <f>_xll.acq_options_bjerksund_greeks($C$4,$C$5,$C$6,P20,$C$9,$C$10,$C$8,FALSE)</f>
        <v>23.646810681268672</v>
      </c>
      <c r="S20">
        <f>_xll.acq_options_binomial_american_greeks($C$4,$C$5,$C$6,P20,$C$9,$C$10,$C$8,TRUE,500)</f>
        <v>15.462162648753464</v>
      </c>
      <c r="T20">
        <f>_xll.acq_options_binomial_american_greeks($C$4,$C$5,$C$6,P20,$C$9,$C$10,$C$8,FALSE)</f>
        <v>23.680439775099803</v>
      </c>
      <c r="U20">
        <f>_xll.acq_options_blackscholes_greeks($C$4,$C$5,$C$6,P20,$C$9,$C$10,$C$8,TRUE)</f>
        <v>14.026499138914556</v>
      </c>
      <c r="V20">
        <f>_xll.acq_options_blackscholes_greeks($C$4,$C$5,$C$6,P20,$C$9,$C$10,$C$8,FALSE)</f>
        <v>12.305456431821359</v>
      </c>
      <c r="W20">
        <f>_xll.acq_options_trinomial_american_greeks($C$4,$C$5,$C$6,P20,$C$9,$C$10,$C$8,TRUE,500)</f>
        <v>15.457808393273426</v>
      </c>
      <c r="X20">
        <f>_xll.acq_options_trinomial_american_greeks($C$4,$C$5,$C$6,P20,$C$9,$C$10,$C$8,FALSE)</f>
        <v>23.671109322291649</v>
      </c>
      <c r="Z20">
        <f t="shared" si="0"/>
        <v>-14.431744500551531</v>
      </c>
    </row>
    <row r="21" spans="2:26" x14ac:dyDescent="0.25">
      <c r="B21" t="s">
        <v>102</v>
      </c>
      <c r="F21">
        <v>170</v>
      </c>
      <c r="G21">
        <f>_xll.acq_options_bjerksund_greeks($C$4,$C$5,F21,$C$7,$C$9,$C$10,$C$8,TRUE)</f>
        <v>0.14639028291574618</v>
      </c>
      <c r="H21">
        <f>_xll.acq_options_bjerksund_greeks($C$4,$C$5,F21,$C$7,$C$9,$C$10,$C$8,FALSE)</f>
        <v>90</v>
      </c>
      <c r="I21">
        <f>_xll.acq_options_binomial_american_greeks($C$4,$C$5,F21,$C$7,$C$9,$C$10,$C$8,TRUE,500)</f>
        <v>0.14568502917523413</v>
      </c>
      <c r="J21">
        <f>_xll.acq_options_binomial_american_greeks($C$4,$C$5,F21,$C$7,$C$9,$C$10,$C$8,FALSE)</f>
        <v>89.99999999999882</v>
      </c>
      <c r="K21">
        <f>_xll.acq_options_trinomial_american_greeks($C$4,$C$5,F21,$C$7,$C$9,$C$10,$C$8,TRUE,500)</f>
        <v>0.14601281191060614</v>
      </c>
      <c r="L21">
        <f>_xll.acq_options_trinomial_american_greeks($C$4,$C$5,F21,$C$7,$C$9,$C$10,$C$8,FALSE,500)</f>
        <v>90.000000000000014</v>
      </c>
      <c r="M21">
        <f>_xll.acq_options_blackscholes_greeks($C$4,$C$5,F21,$C$7,$C$9,$C$10,$C$8,TRUE)</f>
        <v>0.14638086539598461</v>
      </c>
      <c r="N21">
        <f>_xll.acq_options_blackscholes_greeks($C$4,$C$5,F21,$C$7,$C$9,$C$10,$C$8,FALSE)</f>
        <v>74.079743414779045</v>
      </c>
      <c r="P21">
        <v>14</v>
      </c>
      <c r="Q21">
        <f>_xll.acq_options_bjerksund_greeks($C$4,$C$5,$C$6,$P21,$C$9,$C$10,$C$8,TRUE)</f>
        <v>15.933359702623587</v>
      </c>
      <c r="R21">
        <f>_xll.acq_options_bjerksund_greeks($C$4,$C$5,$C$6,P21,$C$9,$C$10,$C$8,FALSE)</f>
        <v>23.734246158697331</v>
      </c>
      <c r="S21">
        <f>_xll.acq_options_binomial_american_greeks($C$4,$C$5,$C$6,P21,$C$9,$C$10,$C$8,TRUE,500)</f>
        <v>15.954537142435116</v>
      </c>
      <c r="T21">
        <f>_xll.acq_options_binomial_american_greeks($C$4,$C$5,$C$6,P21,$C$9,$C$10,$C$8,FALSE)</f>
        <v>23.769689047142705</v>
      </c>
      <c r="U21">
        <f>_xll.acq_options_blackscholes_greeks($C$4,$C$5,$C$6,P21,$C$9,$C$10,$C$8,TRUE)</f>
        <v>14.260715508430181</v>
      </c>
      <c r="V21">
        <f>_xll.acq_options_blackscholes_greeks($C$4,$C$5,$C$6,P21,$C$9,$C$10,$C$8,FALSE)</f>
        <v>11.73504274343296</v>
      </c>
      <c r="W21">
        <f>_xll.acq_options_trinomial_american_greeks($C$4,$C$5,$C$6,P21,$C$9,$C$10,$C$8,TRUE,500)</f>
        <v>15.954057435044053</v>
      </c>
      <c r="X21">
        <f>_xll.acq_options_trinomial_american_greeks($C$4,$C$5,$C$6,P21,$C$9,$C$10,$C$8,FALSE)</f>
        <v>23.752446518069757</v>
      </c>
      <c r="Z21">
        <f t="shared" si="0"/>
        <v>-15.920624638706357</v>
      </c>
    </row>
    <row r="22" spans="2:26" x14ac:dyDescent="0.25">
      <c r="B22" t="s">
        <v>103</v>
      </c>
    </row>
    <row r="23" spans="2:26" x14ac:dyDescent="0.25">
      <c r="B23" t="s">
        <v>104</v>
      </c>
    </row>
    <row r="24" spans="2:26" x14ac:dyDescent="0.25">
      <c r="B24" t="s">
        <v>105</v>
      </c>
    </row>
    <row r="25" spans="2:26" x14ac:dyDescent="0.25">
      <c r="B25" t="s">
        <v>106</v>
      </c>
    </row>
    <row r="54" spans="6:20" x14ac:dyDescent="0.25">
      <c r="F54" s="13"/>
      <c r="T54" s="13"/>
    </row>
    <row r="55" spans="6:20" x14ac:dyDescent="0.25">
      <c r="F55" s="13"/>
      <c r="T55" s="13"/>
    </row>
    <row r="56" spans="6:20" x14ac:dyDescent="0.25">
      <c r="F56" s="13"/>
      <c r="T56" s="13"/>
    </row>
    <row r="57" spans="6:20" x14ac:dyDescent="0.25">
      <c r="F57" s="13"/>
      <c r="T57" s="13"/>
    </row>
  </sheetData>
  <mergeCells count="9">
    <mergeCell ref="W3:X3"/>
    <mergeCell ref="P3:R3"/>
    <mergeCell ref="S3:T3"/>
    <mergeCell ref="U3:V3"/>
    <mergeCell ref="A1:G1"/>
    <mergeCell ref="F3:H3"/>
    <mergeCell ref="I3:J3"/>
    <mergeCell ref="M3:N3"/>
    <mergeCell ref="K3:L3"/>
  </mergeCells>
  <dataValidations count="1">
    <dataValidation type="list" allowBlank="1" showInputMessage="1" showErrorMessage="1" sqref="C4" xr:uid="{0143FBA1-C7DA-494A-8D8A-90DE5E7148A0}">
      <formula1>$B$18:$B$25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9"/>
  <sheetViews>
    <sheetView topLeftCell="A19" workbookViewId="0">
      <selection activeCell="B27" sqref="B27:B29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  <row r="27" spans="2:5" x14ac:dyDescent="0.25">
      <c r="B27" t="s">
        <v>151</v>
      </c>
      <c r="C27" t="s">
        <v>16</v>
      </c>
      <c r="E27" t="s">
        <v>152</v>
      </c>
    </row>
    <row r="28" spans="2:5" x14ac:dyDescent="0.25">
      <c r="B28" t="s">
        <v>158</v>
      </c>
      <c r="C28" t="s">
        <v>16</v>
      </c>
    </row>
    <row r="29" spans="2:5" x14ac:dyDescent="0.25">
      <c r="B29" t="s">
        <v>160</v>
      </c>
      <c r="C29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Utils</vt:lpstr>
      <vt:lpstr>Black</vt:lpstr>
      <vt:lpstr>Bachelier</vt:lpstr>
      <vt:lpstr>BlackScholes</vt:lpstr>
      <vt:lpstr>BjerksundStensland2002</vt:lpstr>
      <vt:lpstr>BinomialAmerican</vt:lpstr>
      <vt:lpstr>TrinomialAmerican</vt:lpstr>
      <vt:lpstr>Comparison-American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2021-12-26T18:12:04Z</dcterms:modified>
</cp:coreProperties>
</file>